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53.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worksheets/sheet51.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sheets/sheet5.xml" ContentType="application/vnd.openxmlformats-officedocument.spreadsheetml.worksheet+xml"/>
  <Override PartName="/xl/externalLinks/externalLink5.xml" ContentType="application/vnd.openxmlformats-officedocument.spreadsheetml.externalLink+xml"/>
  <Override PartName="/xl/worksheets/sheet3.xml" ContentType="application/vnd.openxmlformats-officedocument.spreadsheetml.worksheet+xml"/>
  <Override PartName="/xl/externalLinks/externalLink3.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worksheets/sheet49.xml" ContentType="application/vnd.openxmlformats-officedocument.spreadsheetml.worksheet+xml"/>
  <Override PartName="/xl/externalLinks/externalLink1.xml" ContentType="application/vnd.openxmlformats-officedocument.spreadsheetml.externalLink+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Override PartName="/xl/worksheets/sheet52.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worksheets/sheet59.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7"/>
  <workbookPr backupFile="1" codeName="ThisWorkbook"/>
  <bookViews>
    <workbookView xWindow="-15" yWindow="-15" windowWidth="15330" windowHeight="4425" tabRatio="864"/>
  </bookViews>
  <sheets>
    <sheet name="README" sheetId="38671" r:id="rId1"/>
    <sheet name="- 3 -" sheetId="5" r:id="rId2"/>
    <sheet name="- 4 -" sheetId="6" r:id="rId3"/>
    <sheet name="- 6 -" sheetId="14" r:id="rId4"/>
    <sheet name="- 7 -" sheetId="15" r:id="rId5"/>
    <sheet name="- 8 -" sheetId="16" r:id="rId6"/>
    <sheet name="- 9 -" sheetId="17" r:id="rId7"/>
    <sheet name="- 10 -" sheetId="21" r:id="rId8"/>
    <sheet name="- 12 -" sheetId="22" r:id="rId9"/>
    <sheet name="- 13 -" sheetId="23" r:id="rId10"/>
    <sheet name="- 15 -" sheetId="18" r:id="rId11"/>
    <sheet name="- 16 -" sheetId="19" r:id="rId12"/>
    <sheet name="- 17 -" sheetId="20" r:id="rId13"/>
    <sheet name="- 18 -" sheetId="8" r:id="rId14"/>
    <sheet name="- 19 -" sheetId="9" r:id="rId15"/>
    <sheet name="- 20 -" sheetId="7" r:id="rId16"/>
    <sheet name="- 21 -" sheetId="10" r:id="rId17"/>
    <sheet name="- 22 -" sheetId="11" r:id="rId18"/>
    <sheet name="- 23 -" sheetId="82" r:id="rId19"/>
    <sheet name="- 24 -" sheetId="25" r:id="rId20"/>
    <sheet name="- 25 -" sheetId="26" r:id="rId21"/>
    <sheet name="- 26 -" sheetId="27" r:id="rId22"/>
    <sheet name="- 27 -" sheetId="38655" r:id="rId23"/>
    <sheet name="- 28 -" sheetId="38656" r:id="rId24"/>
    <sheet name="- 29 -" sheetId="34" r:id="rId25"/>
    <sheet name="- 30 -" sheetId="35" r:id="rId26"/>
    <sheet name="- 31 -" sheetId="36" r:id="rId27"/>
    <sheet name="- 32 -" sheetId="37" r:id="rId28"/>
    <sheet name="- 33 -" sheetId="38" r:id="rId29"/>
    <sheet name="- 34 -" sheetId="39" r:id="rId30"/>
    <sheet name="- 35 -" sheetId="40" r:id="rId31"/>
    <sheet name="- 36 -" sheetId="41" r:id="rId32"/>
    <sheet name="- 37 -" sheetId="54" r:id="rId33"/>
    <sheet name="- 38 -" sheetId="76" r:id="rId34"/>
    <sheet name="- 40 -" sheetId="42" r:id="rId35"/>
    <sheet name="- 41 -" sheetId="43" r:id="rId36"/>
    <sheet name="- 42 -" sheetId="44" r:id="rId37"/>
    <sheet name="- 43 -" sheetId="45" r:id="rId38"/>
    <sheet name="- 44 -" sheetId="70" r:id="rId39"/>
    <sheet name="- 45 -" sheetId="33" r:id="rId40"/>
    <sheet name="- 46 -" sheetId="32" r:id="rId41"/>
    <sheet name="- 47 -" sheetId="48" r:id="rId42"/>
    <sheet name="- 48 -" sheetId="38663" r:id="rId43"/>
    <sheet name="- 49 -" sheetId="38665" r:id="rId44"/>
    <sheet name="- 50 -" sheetId="38670" r:id="rId45"/>
    <sheet name="- 51 -" sheetId="38662" r:id="rId46"/>
    <sheet name="- 53 -" sheetId="38651" r:id="rId47"/>
    <sheet name="- 54 - " sheetId="38668" r:id="rId48"/>
    <sheet name="- 55 -" sheetId="38654" r:id="rId49"/>
    <sheet name="- 57 -" sheetId="81" r:id="rId50"/>
    <sheet name="- 58 -" sheetId="47" r:id="rId51"/>
    <sheet name="- 59 -" sheetId="46" r:id="rId52"/>
    <sheet name="- 60 -" sheetId="52" r:id="rId53"/>
    <sheet name="- 61 -" sheetId="78" r:id="rId54"/>
    <sheet name="- 62 -" sheetId="38658" r:id="rId55"/>
    <sheet name="- 63 -" sheetId="38659" r:id="rId56"/>
    <sheet name="- 64 -" sheetId="38666" r:id="rId57"/>
    <sheet name="- 65 -" sheetId="38667" r:id="rId58"/>
    <sheet name="- 66 -" sheetId="38648" r:id="rId59"/>
    <sheet name="Data" sheetId="3188" state="hidden" r:id="rId60"/>
  </sheets>
  <externalReferences>
    <externalReference r:id="rId61"/>
    <externalReference r:id="rId62"/>
    <externalReference r:id="rId63"/>
    <externalReference r:id="rId64"/>
    <externalReference r:id="rId65"/>
  </externalReferences>
  <definedNames>
    <definedName name="_Fill" localSheetId="44" hidden="1">#REF!</definedName>
    <definedName name="_Fill" localSheetId="56" hidden="1">#REF!</definedName>
    <definedName name="_Fill" localSheetId="0" hidden="1">#REF!</definedName>
    <definedName name="_Fill" hidden="1">#REF!</definedName>
    <definedName name="_Order1" hidden="1">0</definedName>
    <definedName name="capyear" localSheetId="42">'- 48 -'!$B$3</definedName>
    <definedName name="capyear" localSheetId="47">#REF!</definedName>
    <definedName name="capyear" localSheetId="56">#REF!</definedName>
    <definedName name="capyear" localSheetId="57">#REF!</definedName>
    <definedName name="capyear">'- 46 -'!$B$3</definedName>
    <definedName name="CurrY" localSheetId="0">[5]Data!$B$5</definedName>
    <definedName name="CurrY">Data!$B$5</definedName>
    <definedName name="DATE_ENTRY" localSheetId="44">#REF!</definedName>
    <definedName name="DATE_ENTRY" localSheetId="0">#REF!</definedName>
    <definedName name="DATE_ENTRY">#REF!</definedName>
    <definedName name="DIV">[1]Data!$A$9:$A$696</definedName>
    <definedName name="DIVNUM">[2]DATA!$B$1</definedName>
    <definedName name="FALLYR" localSheetId="0">[5]Data!$B$6</definedName>
    <definedName name="FALLYR">Data!$B$6</definedName>
    <definedName name="HTML_CodePage" hidden="1">1252</definedName>
    <definedName name="HTML_Control" localSheetId="18" hidden="1">{"'- 4 -'!$A$1:$G$76","'-3 -'!$A$1:$G$77"}</definedName>
    <definedName name="HTML_Control" localSheetId="42" hidden="1">{"'- 4 -'!$A$1:$G$76","'-3 -'!$A$1:$G$77"}</definedName>
    <definedName name="HTML_Control" localSheetId="43" hidden="1">{"'- 4 -'!$A$1:$G$76","'-3 -'!$A$1:$G$77"}</definedName>
    <definedName name="HTML_Control" localSheetId="45" hidden="1">{"'- 4 -'!$A$1:$G$76","'-3 -'!$A$1:$G$77"}</definedName>
    <definedName name="HTML_Control" localSheetId="47" hidden="1">{"'- 4 -'!$A$1:$G$76","'-3 -'!$A$1:$G$77"}</definedName>
    <definedName name="HTML_Control" localSheetId="50" hidden="1">{"'- 4 -'!$A$1:$G$76","'-3 -'!$A$1:$G$77"}</definedName>
    <definedName name="HTML_Control" localSheetId="54" hidden="1">{"'- 4 -'!$A$1:$G$76","'-3 -'!$A$1:$G$77"}</definedName>
    <definedName name="HTML_Control" localSheetId="55" hidden="1">{"'- 4 -'!$A$1:$G$76","'-3 -'!$A$1:$G$77"}</definedName>
    <definedName name="HTML_Control" localSheetId="56" hidden="1">{"'- 4 -'!$A$1:$G$76","'-3 -'!$A$1:$G$77"}</definedName>
    <definedName name="HTML_Control" localSheetId="57" hidden="1">{"'- 4 -'!$A$1:$G$76","'-3 -'!$A$1:$G$77"}</definedName>
    <definedName name="HTML_Control" localSheetId="58" hidden="1">{"'- 4 -'!$A$1:$G$76","'-3 -'!$A$1:$G$77"}</definedName>
    <definedName name="HTML_Control" localSheetId="0" hidden="1">{"'- 4 -'!$A$1:$G$76","'-3 -'!$A$1:$G$77"}</definedName>
    <definedName name="HTML_Control" hidden="1">{"'- 4 -'!$A$1:$G$76","'-3 -'!$A$1:$G$77"}</definedName>
    <definedName name="HTML_Description" hidden="1">""</definedName>
    <definedName name="HTML_Email" hidden="1">""</definedName>
    <definedName name="HTML_Header" hidden="1">"- 8 -"</definedName>
    <definedName name="HTML_LastUpdate" hidden="1">"1999-01-20"</definedName>
    <definedName name="HTML_LineAfter" hidden="1">FALSE</definedName>
    <definedName name="HTML_LineBefore" hidden="1">FALSE</definedName>
    <definedName name="HTML_Name" hidden="1">"Chris J. Anderson"</definedName>
    <definedName name="HTML_OBDlg2" hidden="1">TRUE</definedName>
    <definedName name="HTML_OBDlg4" hidden="1">TRUE</definedName>
    <definedName name="HTML_OS" hidden="1">0</definedName>
    <definedName name="HTML_PathFile" hidden="1">"C:\frame\FIN98\MyHTML.htm"</definedName>
    <definedName name="HTML_Title" hidden="1">"98AFRAME"</definedName>
    <definedName name="LIST">[2]DATA!$D$1:$D$39</definedName>
    <definedName name="LOADED1" localSheetId="44">#REF!</definedName>
    <definedName name="LOADED1" localSheetId="0">#REF!</definedName>
    <definedName name="LOADED1">#REF!</definedName>
    <definedName name="LOADED2" localSheetId="44">#REF!</definedName>
    <definedName name="LOADED2">#REF!</definedName>
    <definedName name="LOADED3" localSheetId="44">#REF!</definedName>
    <definedName name="LOADED3">#REF!</definedName>
    <definedName name="NOW" localSheetId="44">#REF!</definedName>
    <definedName name="NOW">#REF!</definedName>
    <definedName name="OD_FINISH" localSheetId="44">#REF!</definedName>
    <definedName name="OD_FINISH">#REF!</definedName>
    <definedName name="OD_FIRST" localSheetId="44">#REF!</definedName>
    <definedName name="OD_FIRST">#REF!</definedName>
    <definedName name="OD_LAST" localSheetId="44">#REF!</definedName>
    <definedName name="OD_LAST">#REF!</definedName>
    <definedName name="OD_START" localSheetId="44">#REF!</definedName>
    <definedName name="OD_START">#REF!</definedName>
    <definedName name="ONE_AM" localSheetId="44">#REF!</definedName>
    <definedName name="ONE_AM">#REF!</definedName>
    <definedName name="ONE_PM" localSheetId="44">#REF!</definedName>
    <definedName name="ONE_PM">#REF!</definedName>
    <definedName name="OPYEAR" localSheetId="0">'[5]- 3 -'!$A$3</definedName>
    <definedName name="OPYEAR">'- 3 -'!$A$3</definedName>
    <definedName name="PrevY" localSheetId="0">[5]Data!$B$4</definedName>
    <definedName name="PrevY">Data!$B$4</definedName>
    <definedName name="_xlnm.Print_Area" localSheetId="7">'- 10 -'!$A$2:$L$28</definedName>
    <definedName name="_xlnm.Print_Area" localSheetId="8">'- 12 -'!$A$2:$L$52</definedName>
    <definedName name="_xlnm.Print_Area" localSheetId="9">'- 13 -'!$A$2:$L$54</definedName>
    <definedName name="_xlnm.Print_Area" localSheetId="10">'- 15 -'!$A$1:$I$52</definedName>
    <definedName name="_xlnm.Print_Area" localSheetId="11">'- 16 -'!$A$1:$I$52</definedName>
    <definedName name="_xlnm.Print_Area" localSheetId="12">'- 17 -'!$A$1:$J$52</definedName>
    <definedName name="_xlnm.Print_Area" localSheetId="13">'- 18 -'!$A$1:$G$52</definedName>
    <definedName name="_xlnm.Print_Area" localSheetId="14">'- 19 -'!$A$1:$J$53</definedName>
    <definedName name="_xlnm.Print_Area" localSheetId="15">'- 20 -'!$A$1:$I$53</definedName>
    <definedName name="_xlnm.Print_Area" localSheetId="16">'- 21 -'!$A$1:$I$55</definedName>
    <definedName name="_xlnm.Print_Area" localSheetId="17">'- 22 -'!$A$1:$J$54</definedName>
    <definedName name="_xlnm.Print_Area" localSheetId="18">'- 23 -'!$A$1:$F$52</definedName>
    <definedName name="_xlnm.Print_Area" localSheetId="19">'- 24 -'!$A$1:$I$52</definedName>
    <definedName name="_xlnm.Print_Area" localSheetId="20">'- 25 -'!$A$1:$J$52</definedName>
    <definedName name="_xlnm.Print_Area" localSheetId="21">'- 26 -'!$A$1:$E$52</definedName>
    <definedName name="_xlnm.Print_Area" localSheetId="22">'- 27 -'!$A$1:$J$52</definedName>
    <definedName name="_xlnm.Print_Area" localSheetId="23">'- 28 -'!$A$1:$J$53</definedName>
    <definedName name="_xlnm.Print_Area" localSheetId="24">'- 29 -'!$A$1:$G$52</definedName>
    <definedName name="_xlnm.Print_Area" localSheetId="1">'- 3 -'!$A$2:$F$58</definedName>
    <definedName name="_xlnm.Print_Area" localSheetId="25">'- 30 -'!$A$1:$G$52</definedName>
    <definedName name="_xlnm.Print_Area" localSheetId="26">'- 31 -'!$A$1:$G$52</definedName>
    <definedName name="_xlnm.Print_Area" localSheetId="27">'- 32 -'!$A$1:$F$52</definedName>
    <definedName name="_xlnm.Print_Area" localSheetId="28">'- 33 -'!$A$1:$G$52</definedName>
    <definedName name="_xlnm.Print_Area" localSheetId="29">'- 34 -'!$A$1:$H$52</definedName>
    <definedName name="_xlnm.Print_Area" localSheetId="30">'- 35 -'!$A$1:$E$52</definedName>
    <definedName name="_xlnm.Print_Area" localSheetId="31">'- 36 -'!$A$1:$G$54</definedName>
    <definedName name="_xlnm.Print_Area" localSheetId="32">'- 37 -'!$A$1:$J$56</definedName>
    <definedName name="_xlnm.Print_Area" localSheetId="33">'- 38 -'!$A$1:$H$54</definedName>
    <definedName name="_xlnm.Print_Area" localSheetId="2">'- 4 -'!$A$1:$E$56</definedName>
    <definedName name="_xlnm.Print_Area" localSheetId="34">'- 40 -'!$A$1:$H$55</definedName>
    <definedName name="_xlnm.Print_Area" localSheetId="35">'- 41 -'!$A$1:$I$62</definedName>
    <definedName name="_xlnm.Print_Area" localSheetId="36">'- 42 -'!$A$1:$I$57</definedName>
    <definedName name="_xlnm.Print_Area" localSheetId="37">'- 43 -'!$A$1:$I$52</definedName>
    <definedName name="_xlnm.Print_Area" localSheetId="38">'- 44 -'!$A$2:$E$60</definedName>
    <definedName name="_xlnm.Print_Area" localSheetId="39">'- 45 -'!$A$1:$F$56</definedName>
    <definedName name="_xlnm.Print_Area" localSheetId="40">'- 46 -'!$A$1:$F$54</definedName>
    <definedName name="_xlnm.Print_Area" localSheetId="41">'- 47 -'!$A$1:$E$59</definedName>
    <definedName name="_xlnm.Print_Area" localSheetId="42">'- 48 -'!$A$1:$G$57</definedName>
    <definedName name="_xlnm.Print_Area" localSheetId="43">'- 49 -'!$A$1:$H$55</definedName>
    <definedName name="_xlnm.Print_Area" localSheetId="44">'- 50 -'!$A$1:$E$59</definedName>
    <definedName name="_xlnm.Print_Area" localSheetId="45">'- 51 -'!$A$1:$D$58</definedName>
    <definedName name="_xlnm.Print_Area" localSheetId="46">'- 53 -'!$A$1:$G$57</definedName>
    <definedName name="_xlnm.Print_Area" localSheetId="47">'- 54 - '!$A$1:$F$53</definedName>
    <definedName name="_xlnm.Print_Area" localSheetId="48">'- 55 -'!$A$1:$F$52</definedName>
    <definedName name="_xlnm.Print_Area" localSheetId="49">'- 57 -'!$A$1:$G$54</definedName>
    <definedName name="_xlnm.Print_Area" localSheetId="50">'- 58 -'!$A$1:$G$54</definedName>
    <definedName name="_xlnm.Print_Area" localSheetId="51">'- 59 -'!$A$1:$F$55</definedName>
    <definedName name="_xlnm.Print_Area" localSheetId="3">'- 6 -'!$A$1:$H$54</definedName>
    <definedName name="_xlnm.Print_Area" localSheetId="52">'- 60 -'!$A$1:$F$53</definedName>
    <definedName name="_xlnm.Print_Area" localSheetId="53">'- 61 -'!$A$1:$F$59</definedName>
    <definedName name="_xlnm.Print_Area" localSheetId="54">'- 62 -'!$A$2:$G$64</definedName>
    <definedName name="_xlnm.Print_Area" localSheetId="55">'- 63 -'!$A$2:$G$55</definedName>
    <definedName name="_xlnm.Print_Area" localSheetId="56">'- 64 -'!$A$1:$I$57</definedName>
    <definedName name="_xlnm.Print_Area" localSheetId="57">'- 65 -'!$A$2:$G$54</definedName>
    <definedName name="_xlnm.Print_Area" localSheetId="58">'- 66 -'!$A$1:$I$58</definedName>
    <definedName name="_xlnm.Print_Area" localSheetId="4">'- 7 -'!$A$1:$G$56</definedName>
    <definedName name="_xlnm.Print_Area" localSheetId="5">'- 8 -'!$A$1:$G$59</definedName>
    <definedName name="_xlnm.Print_Area" localSheetId="6">'- 9 -'!$A$1:$D$58</definedName>
    <definedName name="REVYEAR" localSheetId="0">'[5]- 42 -'!$B$1</definedName>
    <definedName name="REVYEAR">'- 41 -'!$B$1</definedName>
    <definedName name="SPRINGYR" localSheetId="0">[5]Data!$B$7</definedName>
    <definedName name="SPRINGYR">Data!$B$7</definedName>
    <definedName name="STAMP" localSheetId="44">#REF!</definedName>
    <definedName name="STAMP" localSheetId="0">#REF!</definedName>
    <definedName name="STAMP">#REF!</definedName>
    <definedName name="STATDATE" localSheetId="0">'[5]- 6 -'!$B$3</definedName>
    <definedName name="STATDATE">'- 6 -'!$B$3</definedName>
    <definedName name="TAXYEAR" localSheetId="47">'[3]- 46 -'!$B$3</definedName>
    <definedName name="TAXYEAR" localSheetId="0">'[5]- 52 -'!$B$3</definedName>
    <definedName name="TAXYEAR">'- 51 -'!$B$3</definedName>
    <definedName name="TOTAL1" localSheetId="44">#REF!</definedName>
    <definedName name="TOTAL1" localSheetId="0">#REF!</definedName>
    <definedName name="TOTAL1">#REF!</definedName>
    <definedName name="TOTAL2" localSheetId="44">#REF!</definedName>
    <definedName name="TOTAL2">#REF!</definedName>
    <definedName name="TOTAL3" localSheetId="44">#REF!</definedName>
    <definedName name="TOTAL3">#REF!</definedName>
    <definedName name="TWO" localSheetId="44">#REF!</definedName>
    <definedName name="TWO">#REF!</definedName>
  </definedNames>
  <calcPr calcId="125725"/>
</workbook>
</file>

<file path=xl/calcChain.xml><?xml version="1.0" encoding="utf-8"?>
<calcChain xmlns="http://schemas.openxmlformats.org/spreadsheetml/2006/main">
  <c r="E7" i="70"/>
  <c r="D48" i="25" l="1"/>
  <c r="B60" i="3188" l="1"/>
  <c r="B61" s="1"/>
  <c r="B62" s="1"/>
  <c r="B63" s="1"/>
  <c r="B64" s="1"/>
  <c r="B65" s="1"/>
  <c r="B66" s="1"/>
  <c r="B67" s="1"/>
  <c r="B68" s="1"/>
  <c r="B69" s="1"/>
  <c r="B70" s="1"/>
  <c r="B71" s="1"/>
  <c r="B59"/>
  <c r="B58"/>
  <c r="B57"/>
  <c r="E48" i="26" l="1"/>
  <c r="B48" i="82" l="1"/>
  <c r="D48" i="48" l="1"/>
  <c r="C48"/>
  <c r="B48"/>
  <c r="F48" i="32"/>
  <c r="B48" i="35" l="1"/>
  <c r="B48" i="33"/>
  <c r="F48" i="34"/>
  <c r="D48" i="35"/>
  <c r="D48" i="33"/>
  <c r="B48" i="34"/>
  <c r="C48" i="33"/>
  <c r="D48" i="34"/>
  <c r="H48" i="26"/>
  <c r="B48" i="27" l="1"/>
  <c r="E48" i="38655"/>
  <c r="B48" i="38656"/>
  <c r="E48" i="8"/>
  <c r="E48" i="9"/>
  <c r="B48" i="7"/>
  <c r="E48" i="10"/>
  <c r="B48" i="11"/>
  <c r="H48"/>
  <c r="D48" i="82"/>
  <c r="H48" i="25"/>
  <c r="B48" i="9"/>
  <c r="H48"/>
  <c r="H48" i="10"/>
  <c r="B48" i="25"/>
  <c r="F48"/>
  <c r="H48" i="38655"/>
  <c r="E48" i="38656"/>
  <c r="B48" i="38655"/>
  <c r="B48" i="26"/>
  <c r="E48" i="11"/>
  <c r="B48" i="10"/>
  <c r="B48" i="8"/>
  <c r="B48" i="5" l="1"/>
  <c r="C13" i="46" l="1"/>
  <c r="C20"/>
  <c r="C12"/>
  <c r="C17"/>
  <c r="C21"/>
  <c r="C25"/>
  <c r="C28"/>
  <c r="C29"/>
  <c r="C32"/>
  <c r="C33"/>
  <c r="C36"/>
  <c r="C37"/>
  <c r="C40"/>
  <c r="C41"/>
  <c r="C44"/>
  <c r="C45"/>
  <c r="C51"/>
  <c r="C16"/>
  <c r="C24"/>
  <c r="F48" i="47"/>
  <c r="C48" i="81"/>
  <c r="E48"/>
  <c r="G48"/>
  <c r="E48" i="38665"/>
  <c r="G48"/>
  <c r="C48" i="70"/>
  <c r="B48" i="45"/>
  <c r="F48" i="44"/>
  <c r="B48"/>
  <c r="D48" i="43"/>
  <c r="D48" i="37"/>
  <c r="B48" i="36"/>
  <c r="C14" i="46"/>
  <c r="C18"/>
  <c r="C22"/>
  <c r="C26"/>
  <c r="C30"/>
  <c r="C34"/>
  <c r="C38"/>
  <c r="C42"/>
  <c r="C46"/>
  <c r="C15"/>
  <c r="C19"/>
  <c r="C23"/>
  <c r="C27"/>
  <c r="C31"/>
  <c r="C35"/>
  <c r="C39"/>
  <c r="C43"/>
  <c r="C50"/>
  <c r="Q48" i="3188"/>
  <c r="S48"/>
  <c r="R48"/>
  <c r="C48" i="47"/>
  <c r="D48"/>
  <c r="E48"/>
  <c r="B48" i="81"/>
  <c r="D48"/>
  <c r="F48"/>
  <c r="C48" i="38665"/>
  <c r="F48"/>
  <c r="B48" i="70"/>
  <c r="D48" i="44"/>
  <c r="G48" i="43"/>
  <c r="C48"/>
  <c r="A53" i="44" s="1"/>
  <c r="D48" i="36"/>
  <c r="C11" i="46"/>
  <c r="F48" i="36"/>
  <c r="B48" i="37"/>
  <c r="H48" i="44"/>
  <c r="D48" i="45"/>
  <c r="B48" i="38665"/>
  <c r="B48" i="47"/>
  <c r="C48" i="38668"/>
  <c r="E48" i="43" l="1"/>
  <c r="C50" i="38658"/>
  <c r="P48" i="3188"/>
  <c r="F48" i="46"/>
  <c r="B48" i="52"/>
  <c r="D48"/>
  <c r="B48" i="46"/>
  <c r="E48"/>
  <c r="C48" i="78"/>
  <c r="D48" i="46"/>
  <c r="E48" i="78"/>
  <c r="D48"/>
  <c r="O48" i="3188"/>
  <c r="C48" i="52"/>
  <c r="J48" i="3188"/>
  <c r="E48"/>
  <c r="I48"/>
  <c r="H48"/>
  <c r="C48"/>
  <c r="B48" i="78"/>
  <c r="D48" i="3188"/>
  <c r="F48"/>
  <c r="G48"/>
  <c r="I28" i="41" l="1"/>
  <c r="A3" i="38666" l="1"/>
  <c r="A3" i="38651"/>
  <c r="A3" i="38668" s="1"/>
  <c r="A57" i="78" l="1"/>
  <c r="C48" i="38654" l="1"/>
  <c r="C46"/>
  <c r="C45"/>
  <c r="C44"/>
  <c r="C43"/>
  <c r="C42"/>
  <c r="C41"/>
  <c r="C40"/>
  <c r="C39"/>
  <c r="C38"/>
  <c r="C37"/>
  <c r="C36"/>
  <c r="C35"/>
  <c r="C34"/>
  <c r="C33"/>
  <c r="C32"/>
  <c r="C31"/>
  <c r="C30"/>
  <c r="C29"/>
  <c r="C28"/>
  <c r="C27"/>
  <c r="C26"/>
  <c r="C25"/>
  <c r="C24"/>
  <c r="C23"/>
  <c r="C22"/>
  <c r="C21"/>
  <c r="C20"/>
  <c r="C19"/>
  <c r="C18"/>
  <c r="C17"/>
  <c r="C16"/>
  <c r="C15"/>
  <c r="C14"/>
  <c r="C13"/>
  <c r="C12"/>
  <c r="C11"/>
  <c r="F48"/>
  <c r="F46"/>
  <c r="F45"/>
  <c r="F44"/>
  <c r="F43"/>
  <c r="F42"/>
  <c r="F41"/>
  <c r="F40"/>
  <c r="F39"/>
  <c r="F38"/>
  <c r="F37"/>
  <c r="F36"/>
  <c r="F35"/>
  <c r="F34"/>
  <c r="F33"/>
  <c r="F32"/>
  <c r="F31"/>
  <c r="F30"/>
  <c r="F29"/>
  <c r="F28"/>
  <c r="F27"/>
  <c r="F26"/>
  <c r="F25"/>
  <c r="F24"/>
  <c r="F23"/>
  <c r="F22"/>
  <c r="F21"/>
  <c r="F20"/>
  <c r="F19"/>
  <c r="F18"/>
  <c r="F17"/>
  <c r="F16"/>
  <c r="F15"/>
  <c r="F14"/>
  <c r="F13"/>
  <c r="F12"/>
  <c r="F11"/>
  <c r="H47" i="23" l="1"/>
  <c r="I16" i="21"/>
  <c r="H48" i="22"/>
  <c r="Z48" i="3188" l="1"/>
  <c r="I48" i="41" s="1"/>
  <c r="I50"/>
  <c r="I46"/>
  <c r="I45"/>
  <c r="I44"/>
  <c r="I43"/>
  <c r="I42"/>
  <c r="I41"/>
  <c r="I40"/>
  <c r="I39"/>
  <c r="I38"/>
  <c r="I37"/>
  <c r="I36"/>
  <c r="I35"/>
  <c r="I34"/>
  <c r="I33"/>
  <c r="I32"/>
  <c r="I31"/>
  <c r="I30"/>
  <c r="I29"/>
  <c r="I27"/>
  <c r="I26"/>
  <c r="I25"/>
  <c r="I24"/>
  <c r="I23"/>
  <c r="I22"/>
  <c r="I21"/>
  <c r="I20"/>
  <c r="I19"/>
  <c r="I18"/>
  <c r="I17"/>
  <c r="I16"/>
  <c r="I15"/>
  <c r="I14"/>
  <c r="I13"/>
  <c r="I12"/>
  <c r="I11"/>
  <c r="I9"/>
  <c r="B46" i="38668"/>
  <c r="B45"/>
  <c r="B44"/>
  <c r="B43"/>
  <c r="B42"/>
  <c r="B41"/>
  <c r="B40"/>
  <c r="B39"/>
  <c r="B38"/>
  <c r="B37"/>
  <c r="B36"/>
  <c r="B35"/>
  <c r="B34"/>
  <c r="B33"/>
  <c r="B32"/>
  <c r="B31"/>
  <c r="B30"/>
  <c r="B29"/>
  <c r="B28"/>
  <c r="B27"/>
  <c r="B26"/>
  <c r="B25"/>
  <c r="B24"/>
  <c r="B23"/>
  <c r="B22"/>
  <c r="B21"/>
  <c r="B20"/>
  <c r="B19"/>
  <c r="B18"/>
  <c r="B17"/>
  <c r="B16"/>
  <c r="B15"/>
  <c r="B14"/>
  <c r="B13"/>
  <c r="B12"/>
  <c r="D46"/>
  <c r="D45"/>
  <c r="D44"/>
  <c r="D43"/>
  <c r="D42"/>
  <c r="D41"/>
  <c r="D40"/>
  <c r="D39"/>
  <c r="D38"/>
  <c r="D37"/>
  <c r="D36"/>
  <c r="D35"/>
  <c r="D34"/>
  <c r="D33"/>
  <c r="D32"/>
  <c r="D31"/>
  <c r="D30"/>
  <c r="D29"/>
  <c r="D28"/>
  <c r="D27"/>
  <c r="D26"/>
  <c r="D25"/>
  <c r="D24"/>
  <c r="D23"/>
  <c r="D22"/>
  <c r="D21"/>
  <c r="D20"/>
  <c r="D19"/>
  <c r="D18"/>
  <c r="D17"/>
  <c r="D16"/>
  <c r="D15"/>
  <c r="D14"/>
  <c r="D13"/>
  <c r="D12"/>
  <c r="D11"/>
  <c r="B11"/>
  <c r="I51" i="38648"/>
  <c r="I50"/>
  <c r="I14"/>
  <c r="I21" i="21"/>
  <c r="F45" i="23"/>
  <c r="F21" i="21" s="1"/>
  <c r="B45" i="23"/>
  <c r="F19" i="21" s="1"/>
  <c r="J28" i="23"/>
  <c r="D21" i="21"/>
  <c r="D19"/>
  <c r="B21" i="23"/>
  <c r="C19" i="21" s="1"/>
  <c r="J48" i="22"/>
  <c r="H45"/>
  <c r="F16" i="21" s="1"/>
  <c r="D45" i="22"/>
  <c r="F14" i="21" s="1"/>
  <c r="J34" i="23"/>
  <c r="F39" i="22"/>
  <c r="E15" i="21" s="1"/>
  <c r="D17"/>
  <c r="D16"/>
  <c r="D15"/>
  <c r="D14"/>
  <c r="D13"/>
  <c r="H21" i="22"/>
  <c r="C16" i="21" s="1"/>
  <c r="H50" i="23"/>
  <c r="J50" s="1"/>
  <c r="B7" i="3188"/>
  <c r="B2" i="32" s="1"/>
  <c r="B2" i="33" s="1"/>
  <c r="B89" i="3188"/>
  <c r="A53" i="81" s="1"/>
  <c r="B9" i="38648"/>
  <c r="C9"/>
  <c r="H9"/>
  <c r="K6" i="38667"/>
  <c r="L6"/>
  <c r="J7"/>
  <c r="K7"/>
  <c r="L7"/>
  <c r="J47"/>
  <c r="K47"/>
  <c r="L47"/>
  <c r="J20" i="38659"/>
  <c r="E2" i="38658"/>
  <c r="I16"/>
  <c r="I20"/>
  <c r="K51"/>
  <c r="B3" i="38654"/>
  <c r="G11" i="38648"/>
  <c r="G12"/>
  <c r="F12" i="38651"/>
  <c r="G12" s="1"/>
  <c r="J12" s="1"/>
  <c r="G13" i="38648"/>
  <c r="F13" i="38651"/>
  <c r="G14" i="38648"/>
  <c r="G15"/>
  <c r="F15" i="38651"/>
  <c r="G15" s="1"/>
  <c r="I15" i="38648" s="1"/>
  <c r="G16"/>
  <c r="F16" i="38651"/>
  <c r="G17" i="38648"/>
  <c r="F17" i="38651"/>
  <c r="G18" i="38648"/>
  <c r="F18" i="38651"/>
  <c r="G18" s="1"/>
  <c r="I18" i="38648" s="1"/>
  <c r="G19"/>
  <c r="F19" i="38651"/>
  <c r="G20" i="38648"/>
  <c r="F20" i="38651"/>
  <c r="G21" i="38648"/>
  <c r="F21" i="38651"/>
  <c r="G22" i="38648"/>
  <c r="F22" i="38651"/>
  <c r="G23" i="38648"/>
  <c r="F23" i="38651"/>
  <c r="G24" i="38648"/>
  <c r="F24" i="38651"/>
  <c r="G25" i="38648"/>
  <c r="F25" i="38651"/>
  <c r="G26" i="38648"/>
  <c r="F26" i="38651"/>
  <c r="G27" i="38648"/>
  <c r="F27" i="38651"/>
  <c r="G27" s="1"/>
  <c r="G28" i="38648"/>
  <c r="F28" i="38651"/>
  <c r="G29" i="38648"/>
  <c r="F29" i="38651"/>
  <c r="G30" i="38648"/>
  <c r="F30" i="38651"/>
  <c r="G31" i="38648"/>
  <c r="F31" i="38651"/>
  <c r="G31" s="1"/>
  <c r="I31" i="38648" s="1"/>
  <c r="G32"/>
  <c r="F32" i="38651"/>
  <c r="G32" s="1"/>
  <c r="J31" s="1"/>
  <c r="G33" i="38648"/>
  <c r="F33" i="38651"/>
  <c r="G33" s="1"/>
  <c r="I33" i="38648" s="1"/>
  <c r="G34"/>
  <c r="F34" i="38651"/>
  <c r="G35" i="38648"/>
  <c r="F35" i="38651"/>
  <c r="G35" s="1"/>
  <c r="I35" i="38648" s="1"/>
  <c r="G36"/>
  <c r="F36" i="38651"/>
  <c r="G37" i="38648"/>
  <c r="F37" i="38651"/>
  <c r="G38" i="38648"/>
  <c r="F38" i="38651"/>
  <c r="G39" i="38648"/>
  <c r="F39" i="38651"/>
  <c r="G39" s="1"/>
  <c r="I39" i="38648" s="1"/>
  <c r="G40"/>
  <c r="F40" i="38651"/>
  <c r="G41" i="38648"/>
  <c r="F41" i="38651"/>
  <c r="G41" s="1"/>
  <c r="I41" i="38648" s="1"/>
  <c r="G42"/>
  <c r="F42" i="38651"/>
  <c r="G43" i="38648"/>
  <c r="F43" i="38651"/>
  <c r="G43" s="1"/>
  <c r="I43" i="38648" s="1"/>
  <c r="G44"/>
  <c r="F44" i="38651"/>
  <c r="G45" i="38648"/>
  <c r="F45" i="38651"/>
  <c r="G46" i="38648"/>
  <c r="F46" i="38651"/>
  <c r="G48" i="38648"/>
  <c r="E11" i="38651"/>
  <c r="I11"/>
  <c r="E12"/>
  <c r="I12"/>
  <c r="E13"/>
  <c r="I13"/>
  <c r="E14"/>
  <c r="I14"/>
  <c r="E15"/>
  <c r="I15"/>
  <c r="E16"/>
  <c r="I16"/>
  <c r="E17"/>
  <c r="I17"/>
  <c r="E18"/>
  <c r="I18"/>
  <c r="E19"/>
  <c r="I19"/>
  <c r="E20"/>
  <c r="I20"/>
  <c r="E21"/>
  <c r="I21"/>
  <c r="E22"/>
  <c r="I22"/>
  <c r="E23"/>
  <c r="I23"/>
  <c r="E24"/>
  <c r="I24"/>
  <c r="E25"/>
  <c r="I25"/>
  <c r="E26"/>
  <c r="I26"/>
  <c r="E27"/>
  <c r="I27"/>
  <c r="E28"/>
  <c r="I28"/>
  <c r="E29"/>
  <c r="I29"/>
  <c r="E30"/>
  <c r="I30"/>
  <c r="E31"/>
  <c r="I31"/>
  <c r="E32"/>
  <c r="I32"/>
  <c r="E33"/>
  <c r="I33"/>
  <c r="E34"/>
  <c r="I34"/>
  <c r="E35"/>
  <c r="I35"/>
  <c r="E36"/>
  <c r="I36"/>
  <c r="E37"/>
  <c r="I37"/>
  <c r="E38"/>
  <c r="I38"/>
  <c r="E39"/>
  <c r="I39"/>
  <c r="E40"/>
  <c r="I40"/>
  <c r="E41"/>
  <c r="I41"/>
  <c r="E42"/>
  <c r="I42"/>
  <c r="E43"/>
  <c r="I43"/>
  <c r="E44"/>
  <c r="I44"/>
  <c r="E45"/>
  <c r="I45"/>
  <c r="E46"/>
  <c r="B48"/>
  <c r="B53" s="1"/>
  <c r="C48"/>
  <c r="C53" s="1"/>
  <c r="D48"/>
  <c r="E50"/>
  <c r="E51"/>
  <c r="D53"/>
  <c r="A5" i="38662"/>
  <c r="B11"/>
  <c r="C11" s="1"/>
  <c r="B12"/>
  <c r="C12" s="1"/>
  <c r="B12" i="38654" s="1"/>
  <c r="D12" s="1"/>
  <c r="B13" i="38662"/>
  <c r="C13" s="1"/>
  <c r="B13" i="38654" s="1"/>
  <c r="D13" s="1"/>
  <c r="B14" i="38662"/>
  <c r="C14" s="1"/>
  <c r="B14" i="38654" s="1"/>
  <c r="D14" s="1"/>
  <c r="B15" i="38662"/>
  <c r="C15" s="1"/>
  <c r="B15" i="38654" s="1"/>
  <c r="D15" s="1"/>
  <c r="B16" i="38662"/>
  <c r="C16" s="1"/>
  <c r="B16" i="38654" s="1"/>
  <c r="D16" s="1"/>
  <c r="B17" i="38662"/>
  <c r="C17" s="1"/>
  <c r="B17" i="38654" s="1"/>
  <c r="D17" s="1"/>
  <c r="B18" i="38662"/>
  <c r="C18" s="1"/>
  <c r="B18" i="38654" s="1"/>
  <c r="D18" s="1"/>
  <c r="B19" i="38662"/>
  <c r="C19" s="1"/>
  <c r="B19" i="38654" s="1"/>
  <c r="D19" s="1"/>
  <c r="B20" i="38662"/>
  <c r="C20" s="1"/>
  <c r="B20" i="38654" s="1"/>
  <c r="D20" s="1"/>
  <c r="B21" i="38662"/>
  <c r="C21" s="1"/>
  <c r="B21" i="38654" s="1"/>
  <c r="D21" s="1"/>
  <c r="B22" i="38662"/>
  <c r="C22" s="1"/>
  <c r="B22" i="38654" s="1"/>
  <c r="D22" s="1"/>
  <c r="B23" i="38662"/>
  <c r="C23" s="1"/>
  <c r="B23" i="38654" s="1"/>
  <c r="D23" s="1"/>
  <c r="B24" i="38662"/>
  <c r="C24" s="1"/>
  <c r="B24" i="38654" s="1"/>
  <c r="D24" s="1"/>
  <c r="B25" i="38662"/>
  <c r="C25" s="1"/>
  <c r="B25" i="38654" s="1"/>
  <c r="D25" s="1"/>
  <c r="B26" i="38662"/>
  <c r="C26" s="1"/>
  <c r="B26" i="38654" s="1"/>
  <c r="D26" s="1"/>
  <c r="B27" i="38662"/>
  <c r="C27" s="1"/>
  <c r="B27" i="38654" s="1"/>
  <c r="D27" s="1"/>
  <c r="B28" i="38662"/>
  <c r="C28" s="1"/>
  <c r="B28" i="38654" s="1"/>
  <c r="D28" s="1"/>
  <c r="B29" i="38662"/>
  <c r="C29" s="1"/>
  <c r="B29" i="38654" s="1"/>
  <c r="D29" s="1"/>
  <c r="B30" i="38662"/>
  <c r="C30" s="1"/>
  <c r="B30" i="38654" s="1"/>
  <c r="D30" s="1"/>
  <c r="B31" i="38662"/>
  <c r="C31" s="1"/>
  <c r="B31" i="38654" s="1"/>
  <c r="D31" s="1"/>
  <c r="B32" i="38662"/>
  <c r="C32" s="1"/>
  <c r="B32" i="38654" s="1"/>
  <c r="D32" s="1"/>
  <c r="B33" i="38662"/>
  <c r="C33" s="1"/>
  <c r="B33" i="38654" s="1"/>
  <c r="D33" s="1"/>
  <c r="B34" i="38662"/>
  <c r="C34" s="1"/>
  <c r="B34" i="38654" s="1"/>
  <c r="D34" s="1"/>
  <c r="B35" i="38662"/>
  <c r="C35" s="1"/>
  <c r="B35" i="38654" s="1"/>
  <c r="D35" s="1"/>
  <c r="B36" i="38662"/>
  <c r="C36" s="1"/>
  <c r="B36" i="38654" s="1"/>
  <c r="D36" s="1"/>
  <c r="B37" i="38662"/>
  <c r="C37" s="1"/>
  <c r="B37" i="38654" s="1"/>
  <c r="D37" s="1"/>
  <c r="B38" i="38662"/>
  <c r="C38" s="1"/>
  <c r="B38" i="38654" s="1"/>
  <c r="D38" s="1"/>
  <c r="B39" i="38662"/>
  <c r="C39" s="1"/>
  <c r="B39" i="38654" s="1"/>
  <c r="D39" s="1"/>
  <c r="B40" i="38662"/>
  <c r="C40" s="1"/>
  <c r="B40" i="38654" s="1"/>
  <c r="D40" s="1"/>
  <c r="B41" i="38662"/>
  <c r="C41" s="1"/>
  <c r="B41" i="38654" s="1"/>
  <c r="D41" s="1"/>
  <c r="B42" i="38662"/>
  <c r="C42" s="1"/>
  <c r="B42" i="38654" s="1"/>
  <c r="D42" s="1"/>
  <c r="B43" i="38662"/>
  <c r="C43" s="1"/>
  <c r="B43" i="38654" s="1"/>
  <c r="D43" s="1"/>
  <c r="B44" i="38662"/>
  <c r="C44" s="1"/>
  <c r="B44" i="38654" s="1"/>
  <c r="D44" s="1"/>
  <c r="B45" i="38662"/>
  <c r="C45" s="1"/>
  <c r="B45" i="38654" s="1"/>
  <c r="D45" s="1"/>
  <c r="B46" i="38662"/>
  <c r="C46" s="1"/>
  <c r="B46" i="38654" s="1"/>
  <c r="D46" s="1"/>
  <c r="B50" i="38662"/>
  <c r="B51"/>
  <c r="C51" s="1"/>
  <c r="A2" i="38665"/>
  <c r="A2" i="38670" s="1"/>
  <c r="C3" i="70"/>
  <c r="D14" i="40"/>
  <c r="D27"/>
  <c r="D50"/>
  <c r="D50" i="39"/>
  <c r="F50"/>
  <c r="H50"/>
  <c r="D11" i="16"/>
  <c r="D12"/>
  <c r="D13"/>
  <c r="D14"/>
  <c r="D15"/>
  <c r="D16"/>
  <c r="D17"/>
  <c r="D18"/>
  <c r="D19"/>
  <c r="D20"/>
  <c r="D21"/>
  <c r="D22"/>
  <c r="D23"/>
  <c r="D24"/>
  <c r="D25"/>
  <c r="D26"/>
  <c r="D27"/>
  <c r="D28"/>
  <c r="D29"/>
  <c r="D30"/>
  <c r="D31"/>
  <c r="D32"/>
  <c r="D33"/>
  <c r="D34"/>
  <c r="D35"/>
  <c r="D36"/>
  <c r="D37"/>
  <c r="D38"/>
  <c r="D39"/>
  <c r="D40"/>
  <c r="D41"/>
  <c r="D42"/>
  <c r="D43"/>
  <c r="D44"/>
  <c r="D45"/>
  <c r="D46"/>
  <c r="B48"/>
  <c r="C48"/>
  <c r="F48"/>
  <c r="D50"/>
  <c r="D51"/>
  <c r="B3" i="14"/>
  <c r="B3" i="17" s="1"/>
  <c r="F11" i="38651"/>
  <c r="G11" s="1"/>
  <c r="D9" i="38667"/>
  <c r="G9" s="1"/>
  <c r="J44" i="23"/>
  <c r="G34" i="38651"/>
  <c r="J33" s="1"/>
  <c r="G19"/>
  <c r="I19" i="38648" s="1"/>
  <c r="G26" i="38651"/>
  <c r="I26" i="38648" s="1"/>
  <c r="G23" i="38651"/>
  <c r="I23" i="38648" s="1"/>
  <c r="I17" i="21"/>
  <c r="J41" i="23"/>
  <c r="J13"/>
  <c r="F51"/>
  <c r="J45" i="22"/>
  <c r="F17" i="21" s="1"/>
  <c r="D21" i="23"/>
  <c r="J15"/>
  <c r="F39"/>
  <c r="E21" i="21" s="1"/>
  <c r="K22"/>
  <c r="J19" i="23"/>
  <c r="J37"/>
  <c r="J42"/>
  <c r="J43"/>
  <c r="D20" i="21"/>
  <c r="J22" i="23"/>
  <c r="J24"/>
  <c r="J38"/>
  <c r="H48"/>
  <c r="J48" s="1"/>
  <c r="G25" i="21"/>
  <c r="B39" i="23"/>
  <c r="E19" i="21" s="1"/>
  <c r="J21" i="22"/>
  <c r="D21"/>
  <c r="C14" i="21" s="1"/>
  <c r="F21" i="22"/>
  <c r="C15" i="21" s="1"/>
  <c r="B45" i="22"/>
  <c r="D39" i="23"/>
  <c r="E20" i="21" s="1"/>
  <c r="J27" i="23"/>
  <c r="D45"/>
  <c r="F20" i="21" s="1"/>
  <c r="I15"/>
  <c r="F48" i="22"/>
  <c r="J14" i="23"/>
  <c r="F21"/>
  <c r="C21" i="21" s="1"/>
  <c r="J29" i="23"/>
  <c r="J17"/>
  <c r="J30"/>
  <c r="J31"/>
  <c r="J32"/>
  <c r="J33"/>
  <c r="J35"/>
  <c r="H25" i="21"/>
  <c r="H49" i="23"/>
  <c r="J49" s="1"/>
  <c r="B39" i="22"/>
  <c r="E13" i="21" s="1"/>
  <c r="J20" i="23"/>
  <c r="J26"/>
  <c r="J25"/>
  <c r="J18"/>
  <c r="B48" i="38668" l="1"/>
  <c r="D48"/>
  <c r="I27" i="38648"/>
  <c r="J26" i="38651"/>
  <c r="J22"/>
  <c r="B2" i="38659"/>
  <c r="A3" i="5"/>
  <c r="B3" i="36" s="1"/>
  <c r="B2" i="38663"/>
  <c r="B1" i="43"/>
  <c r="B2" i="48"/>
  <c r="J42" i="38651"/>
  <c r="G42"/>
  <c r="I42" i="38648" s="1"/>
  <c r="G40" i="38651"/>
  <c r="J39" s="1"/>
  <c r="B3" i="15"/>
  <c r="B9" i="38667"/>
  <c r="F9" s="1"/>
  <c r="A3" i="38648"/>
  <c r="A3" i="38667" s="1"/>
  <c r="H51" i="23"/>
  <c r="H53" s="1"/>
  <c r="I42" i="38666"/>
  <c r="J40" i="38651"/>
  <c r="B48" i="38662"/>
  <c r="B53" s="1"/>
  <c r="E48" i="38651"/>
  <c r="J18"/>
  <c r="F33" i="38658"/>
  <c r="F23"/>
  <c r="I40" i="38666"/>
  <c r="L48" i="3188"/>
  <c r="D9" i="38648"/>
  <c r="I32" i="38666"/>
  <c r="I24"/>
  <c r="H50" i="38658"/>
  <c r="C50" i="38659"/>
  <c r="I43" i="38666"/>
  <c r="I33"/>
  <c r="I15"/>
  <c r="I14"/>
  <c r="F32" i="38658"/>
  <c r="F28"/>
  <c r="F26"/>
  <c r="F24"/>
  <c r="F22"/>
  <c r="F17"/>
  <c r="F13"/>
  <c r="F43"/>
  <c r="F25"/>
  <c r="I50" i="38666"/>
  <c r="I46"/>
  <c r="I41"/>
  <c r="I38"/>
  <c r="I35"/>
  <c r="I29"/>
  <c r="I28"/>
  <c r="I26"/>
  <c r="I25"/>
  <c r="I19"/>
  <c r="I16"/>
  <c r="I12"/>
  <c r="C48"/>
  <c r="D53" i="23"/>
  <c r="K19" i="21"/>
  <c r="F48" i="38658"/>
  <c r="F46"/>
  <c r="F45"/>
  <c r="F42"/>
  <c r="F39"/>
  <c r="F15"/>
  <c r="F14"/>
  <c r="F44"/>
  <c r="B53" i="23"/>
  <c r="D50" i="38658"/>
  <c r="B50"/>
  <c r="I50" i="38659"/>
  <c r="I51" i="38666"/>
  <c r="I45"/>
  <c r="I44"/>
  <c r="I39"/>
  <c r="I37"/>
  <c r="I36"/>
  <c r="I34"/>
  <c r="I31"/>
  <c r="I30"/>
  <c r="I27"/>
  <c r="I23"/>
  <c r="I22"/>
  <c r="I21"/>
  <c r="I20"/>
  <c r="I18"/>
  <c r="I17"/>
  <c r="I13"/>
  <c r="H48"/>
  <c r="B48"/>
  <c r="G48"/>
  <c r="E48"/>
  <c r="F53" i="23"/>
  <c r="D25" i="21"/>
  <c r="F52" i="38658"/>
  <c r="F37"/>
  <c r="F35"/>
  <c r="F34"/>
  <c r="D48" i="16"/>
  <c r="D50" i="38659"/>
  <c r="F48" i="38666"/>
  <c r="D48"/>
  <c r="I11"/>
  <c r="M48" i="3188"/>
  <c r="E53" i="38651"/>
  <c r="G30"/>
  <c r="J29" s="1"/>
  <c r="G25"/>
  <c r="I25" i="38648" s="1"/>
  <c r="G24" i="38651"/>
  <c r="J23" s="1"/>
  <c r="G46"/>
  <c r="I46" i="38648" s="1"/>
  <c r="G45" i="38651"/>
  <c r="I45" i="38648" s="1"/>
  <c r="G44" i="38651"/>
  <c r="J43" s="1"/>
  <c r="G38"/>
  <c r="J37" s="1"/>
  <c r="G37"/>
  <c r="I37" i="38648" s="1"/>
  <c r="G36" i="38651"/>
  <c r="J35" s="1"/>
  <c r="G29"/>
  <c r="I29" i="38648" s="1"/>
  <c r="G28" i="38651"/>
  <c r="I28" i="38648" s="1"/>
  <c r="G22" i="38651"/>
  <c r="I22" i="38648" s="1"/>
  <c r="G21" i="38651"/>
  <c r="I21" i="38648" s="1"/>
  <c r="G20" i="38651"/>
  <c r="I20" i="38648" s="1"/>
  <c r="G17" i="38651"/>
  <c r="I17" i="38648" s="1"/>
  <c r="G13" i="38651"/>
  <c r="J13" s="1"/>
  <c r="J51" i="23"/>
  <c r="F47" i="38658"/>
  <c r="F40"/>
  <c r="F38"/>
  <c r="F30"/>
  <c r="F29"/>
  <c r="F19"/>
  <c r="F18"/>
  <c r="J11" i="38651"/>
  <c r="I11" i="38648"/>
  <c r="J41" i="38651"/>
  <c r="I40" i="38648"/>
  <c r="G16" i="38651"/>
  <c r="F48"/>
  <c r="G48" s="1"/>
  <c r="I48" i="38648" s="1"/>
  <c r="M47" i="38667"/>
  <c r="I47" s="1"/>
  <c r="J32" i="38651"/>
  <c r="J14"/>
  <c r="J30"/>
  <c r="J25"/>
  <c r="J17"/>
  <c r="J38"/>
  <c r="F41" i="38658"/>
  <c r="F36"/>
  <c r="F31"/>
  <c r="F27"/>
  <c r="F21"/>
  <c r="J16" i="23"/>
  <c r="C48" i="38662"/>
  <c r="C53" s="1"/>
  <c r="B11" i="38654"/>
  <c r="H39" i="22"/>
  <c r="I12" i="38648"/>
  <c r="I32"/>
  <c r="I34"/>
  <c r="J34" i="38651"/>
  <c r="J36" i="23"/>
  <c r="K21" i="21"/>
  <c r="B21" i="22"/>
  <c r="C13" i="21" s="1"/>
  <c r="D39" i="22"/>
  <c r="J39"/>
  <c r="J50" s="1"/>
  <c r="F45"/>
  <c r="F15" i="21" s="1"/>
  <c r="K15" s="1"/>
  <c r="C20"/>
  <c r="K20" s="1"/>
  <c r="I25"/>
  <c r="C17"/>
  <c r="F13"/>
  <c r="I30" i="38648" l="1"/>
  <c r="J16" i="38651"/>
  <c r="I38" i="38648"/>
  <c r="B3" i="54"/>
  <c r="I24" i="38648"/>
  <c r="J24" i="38651"/>
  <c r="J19"/>
  <c r="I44" i="38648"/>
  <c r="J27" i="38651"/>
  <c r="J28"/>
  <c r="J21"/>
  <c r="I13" i="38648"/>
  <c r="J45" i="38651"/>
  <c r="J36"/>
  <c r="B2" i="52"/>
  <c r="B2" i="44"/>
  <c r="B2" i="45"/>
  <c r="B2" i="78"/>
  <c r="A2" i="42"/>
  <c r="B2" i="81"/>
  <c r="B2" i="47"/>
  <c r="B2" i="46"/>
  <c r="B3" i="26"/>
  <c r="B3" i="38"/>
  <c r="B3" i="38656"/>
  <c r="A3" i="41"/>
  <c r="B3" i="82"/>
  <c r="B3" i="37"/>
  <c r="B3" i="9"/>
  <c r="B3" i="18"/>
  <c r="B3" i="38655"/>
  <c r="B3" i="27"/>
  <c r="B3" i="39"/>
  <c r="B3" i="25"/>
  <c r="B3" i="7"/>
  <c r="C2" i="23"/>
  <c r="D2" i="22"/>
  <c r="B3" i="34"/>
  <c r="B3" i="10"/>
  <c r="B3" i="40"/>
  <c r="B3" i="20"/>
  <c r="B3" i="35"/>
  <c r="C3" i="11"/>
  <c r="B3" i="8"/>
  <c r="B3" i="19"/>
  <c r="B3" i="76"/>
  <c r="C2" i="21"/>
  <c r="J44" i="38651"/>
  <c r="I36" i="38648"/>
  <c r="J20" i="38651"/>
  <c r="I48" i="38666"/>
  <c r="F50" i="22"/>
  <c r="B50"/>
  <c r="J21" i="23"/>
  <c r="F50" i="38658"/>
  <c r="I16" i="38648"/>
  <c r="J15" i="38651"/>
  <c r="E16" i="21"/>
  <c r="K16" s="1"/>
  <c r="H50" i="22"/>
  <c r="D11" i="38654"/>
  <c r="D48" s="1"/>
  <c r="B48"/>
  <c r="E17" i="21"/>
  <c r="K17" s="1"/>
  <c r="J39" i="23"/>
  <c r="J45"/>
  <c r="E14" i="21"/>
  <c r="D50" i="22"/>
  <c r="C25" i="21"/>
  <c r="F25"/>
  <c r="K13"/>
  <c r="J53" i="23" l="1"/>
  <c r="K50" i="22" s="1"/>
  <c r="N27" i="23" s="1"/>
  <c r="K14" i="21"/>
  <c r="K25" s="1"/>
  <c r="E25"/>
  <c r="I24" i="22" l="1"/>
  <c r="E43" i="23"/>
  <c r="C20" i="22"/>
  <c r="C35"/>
  <c r="E45" i="23"/>
  <c r="C41"/>
  <c r="G39"/>
  <c r="E32"/>
  <c r="C27"/>
  <c r="G53"/>
  <c r="N30" s="1"/>
  <c r="G30" i="22"/>
  <c r="C30"/>
  <c r="E26" i="23"/>
  <c r="E21"/>
  <c r="E25"/>
  <c r="K20" i="22"/>
  <c r="I35"/>
  <c r="G36"/>
  <c r="K48" i="23"/>
  <c r="N16" s="1"/>
  <c r="I25" i="22"/>
  <c r="K51" i="23"/>
  <c r="C50" i="22"/>
  <c r="N23" i="23" s="1"/>
  <c r="G15"/>
  <c r="E50" i="22"/>
  <c r="N24" i="23" s="1"/>
  <c r="C21" i="22"/>
  <c r="K44"/>
  <c r="K28" i="23"/>
  <c r="C15"/>
  <c r="G34"/>
  <c r="C32" i="22"/>
  <c r="C33"/>
  <c r="E38" i="23"/>
  <c r="G43"/>
  <c r="K22"/>
  <c r="N13" s="1"/>
  <c r="C20"/>
  <c r="G15" i="22"/>
  <c r="E41"/>
  <c r="K26"/>
  <c r="E44" i="23"/>
  <c r="C17"/>
  <c r="E36" i="22"/>
  <c r="I17"/>
  <c r="I30"/>
  <c r="K41" i="23"/>
  <c r="C14" i="22"/>
  <c r="G33" i="23"/>
  <c r="K17" i="22"/>
  <c r="I37"/>
  <c r="E16"/>
  <c r="G18" i="23"/>
  <c r="K38"/>
  <c r="G38" i="22"/>
  <c r="E18" i="23"/>
  <c r="K49"/>
  <c r="G28" i="22"/>
  <c r="G20"/>
  <c r="K25"/>
  <c r="G39"/>
  <c r="E32"/>
  <c r="K35" i="23"/>
  <c r="E38" i="22"/>
  <c r="C28"/>
  <c r="G18"/>
  <c r="I15"/>
  <c r="C39" i="23"/>
  <c r="G21" i="22"/>
  <c r="G24" i="23"/>
  <c r="C26"/>
  <c r="E17" i="22"/>
  <c r="I44"/>
  <c r="K41"/>
  <c r="G14"/>
  <c r="I38"/>
  <c r="I50" i="23"/>
  <c r="C45" i="22"/>
  <c r="K50" i="23"/>
  <c r="G29" i="22"/>
  <c r="G32" i="23"/>
  <c r="I34" i="22"/>
  <c r="I53" i="23"/>
  <c r="N31" s="1"/>
  <c r="I50" i="22"/>
  <c r="N26" i="23" s="1"/>
  <c r="I39" i="22"/>
  <c r="I14"/>
  <c r="K44" i="23"/>
  <c r="K18" i="22"/>
  <c r="I42"/>
  <c r="G42" i="23"/>
  <c r="C31"/>
  <c r="G22" i="22"/>
  <c r="G28" i="23"/>
  <c r="I33" i="22"/>
  <c r="K26" i="23"/>
  <c r="K35" i="22"/>
  <c r="I48" i="23"/>
  <c r="E42" i="22"/>
  <c r="K36"/>
  <c r="G45"/>
  <c r="C24" i="23"/>
  <c r="E25" i="22"/>
  <c r="K21"/>
  <c r="E43"/>
  <c r="G42"/>
  <c r="E29" i="23"/>
  <c r="I18" i="22"/>
  <c r="I29"/>
  <c r="K32" i="23"/>
  <c r="K31"/>
  <c r="G43" i="22"/>
  <c r="K24"/>
  <c r="G29" i="23"/>
  <c r="G26" i="22"/>
  <c r="I22"/>
  <c r="E24"/>
  <c r="K33" i="23"/>
  <c r="C25"/>
  <c r="C27" i="22"/>
  <c r="G38" i="23"/>
  <c r="G22"/>
  <c r="E28"/>
  <c r="K15"/>
  <c r="E34"/>
  <c r="K20"/>
  <c r="I28" i="22"/>
  <c r="K27" i="23"/>
  <c r="G25" i="22"/>
  <c r="C44" i="23"/>
  <c r="G44" i="22"/>
  <c r="C36"/>
  <c r="G27"/>
  <c r="C36" i="23"/>
  <c r="E39" i="22"/>
  <c r="G36" i="23"/>
  <c r="I20" i="22"/>
  <c r="E31" i="23"/>
  <c r="K37" i="22"/>
  <c r="E22"/>
  <c r="I26"/>
  <c r="C44"/>
  <c r="C34"/>
  <c r="C37" i="23"/>
  <c r="K21"/>
  <c r="N12" s="1"/>
  <c r="K30"/>
  <c r="K25"/>
  <c r="E53"/>
  <c r="N29" s="1"/>
  <c r="I51"/>
  <c r="G44"/>
  <c r="K14"/>
  <c r="C39" i="22"/>
  <c r="E39" i="23"/>
  <c r="G17"/>
  <c r="C43"/>
  <c r="G24" i="22"/>
  <c r="E31"/>
  <c r="E20" i="23"/>
  <c r="C42"/>
  <c r="E34" i="22"/>
  <c r="G31"/>
  <c r="K14"/>
  <c r="K16" i="23"/>
  <c r="G17" i="22"/>
  <c r="C28" i="23"/>
  <c r="G37"/>
  <c r="E33"/>
  <c r="K45" i="22"/>
  <c r="G37"/>
  <c r="C35" i="23"/>
  <c r="C24" i="22"/>
  <c r="G41"/>
  <c r="E17" i="23"/>
  <c r="C14"/>
  <c r="C38"/>
  <c r="K28" i="22"/>
  <c r="K18" i="23"/>
  <c r="C30"/>
  <c r="E35" i="22"/>
  <c r="K29" i="23"/>
  <c r="I49"/>
  <c r="K45"/>
  <c r="N15" s="1"/>
  <c r="C41" i="22"/>
  <c r="I32"/>
  <c r="G27" i="23"/>
  <c r="E27"/>
  <c r="K38" i="22"/>
  <c r="C17"/>
  <c r="E30" i="23"/>
  <c r="K37"/>
  <c r="K31" i="22"/>
  <c r="I43"/>
  <c r="C53" i="23"/>
  <c r="N28" s="1"/>
  <c r="G16"/>
  <c r="E19" i="22"/>
  <c r="E16" i="23"/>
  <c r="K43"/>
  <c r="C15" i="22"/>
  <c r="C22" i="23"/>
  <c r="C31" i="22"/>
  <c r="E14" i="23"/>
  <c r="G34" i="22"/>
  <c r="K43"/>
  <c r="E36" i="23"/>
  <c r="C21"/>
  <c r="E26" i="22"/>
  <c r="C25"/>
  <c r="E45"/>
  <c r="I41"/>
  <c r="K17" i="23"/>
  <c r="K39"/>
  <c r="N14" s="1"/>
  <c r="G21"/>
  <c r="E21" i="22"/>
  <c r="I45"/>
  <c r="K15"/>
  <c r="I31"/>
  <c r="K29"/>
  <c r="C43"/>
  <c r="C26"/>
  <c r="C18" i="23"/>
  <c r="E42"/>
  <c r="K22" i="22"/>
  <c r="C38"/>
  <c r="G31" i="23"/>
  <c r="E37"/>
  <c r="E24"/>
  <c r="G25"/>
  <c r="I27" i="22"/>
  <c r="K53" i="23"/>
  <c r="K42"/>
  <c r="C16" i="22"/>
  <c r="C16" i="23"/>
  <c r="K27" i="22"/>
  <c r="E15"/>
  <c r="G33"/>
  <c r="K32"/>
  <c r="I36"/>
  <c r="E20"/>
  <c r="C42"/>
  <c r="K24" i="23"/>
  <c r="G30"/>
  <c r="E27" i="22"/>
  <c r="E15" i="23"/>
  <c r="K13"/>
  <c r="E33" i="22"/>
  <c r="K33"/>
  <c r="I16"/>
  <c r="G32"/>
  <c r="C29"/>
  <c r="E30"/>
  <c r="G14" i="23"/>
  <c r="K16" i="22"/>
  <c r="C45" i="23"/>
  <c r="E35"/>
  <c r="E28" i="22"/>
  <c r="G35" i="23"/>
  <c r="K36"/>
  <c r="K34" i="22"/>
  <c r="I21"/>
  <c r="E44"/>
  <c r="K34" i="23"/>
  <c r="K42" i="22"/>
  <c r="G26" i="23"/>
  <c r="C33"/>
  <c r="E22"/>
  <c r="K30" i="22"/>
  <c r="G45" i="23"/>
  <c r="G16" i="22"/>
  <c r="E37"/>
  <c r="G41" i="23"/>
  <c r="E18" i="22"/>
  <c r="C18"/>
  <c r="C29" i="23"/>
  <c r="C37" i="22"/>
  <c r="E14"/>
  <c r="C34" i="23"/>
  <c r="E41"/>
  <c r="G35" i="22"/>
  <c r="C22"/>
  <c r="C32" i="23"/>
  <c r="E29" i="22"/>
  <c r="G20" i="23"/>
  <c r="K19"/>
  <c r="K39" i="22"/>
  <c r="G50"/>
  <c r="N25" i="23" s="1"/>
  <c r="N17" l="1"/>
  <c r="N19" s="1"/>
  <c r="N33"/>
  <c r="G29" i="38663" l="1"/>
  <c r="G29" i="8"/>
  <c r="G29" i="9"/>
  <c r="C29" i="38670"/>
  <c r="E29" i="52"/>
  <c r="C29" i="15" l="1"/>
  <c r="E29" s="1"/>
  <c r="E29" i="41" s="1"/>
  <c r="E30" i="52"/>
  <c r="E29" i="33"/>
  <c r="B29" i="38670"/>
  <c r="D29" i="70"/>
  <c r="H29" i="20"/>
  <c r="G29" i="47"/>
  <c r="G30"/>
  <c r="E29" i="7"/>
  <c r="F29" i="52"/>
  <c r="F29" i="78" l="1"/>
  <c r="B29" i="43" s="1"/>
  <c r="E29" i="16"/>
  <c r="F30" i="52"/>
  <c r="D29" i="32"/>
  <c r="I29" i="7"/>
  <c r="G29"/>
  <c r="H29"/>
  <c r="F29"/>
  <c r="J29" i="20"/>
  <c r="D29" i="7"/>
  <c r="F29" i="43" l="1"/>
  <c r="H29" s="1"/>
  <c r="F30" i="78"/>
  <c r="B30" i="43" s="1"/>
  <c r="F30" s="1"/>
  <c r="H30" s="1"/>
  <c r="K29" i="3188"/>
  <c r="C29" i="5" s="1"/>
  <c r="F30" i="45"/>
  <c r="D29" i="9"/>
  <c r="B29" i="39"/>
  <c r="G29" i="38656"/>
  <c r="E29" i="18"/>
  <c r="D29" i="10"/>
  <c r="J29" i="11"/>
  <c r="G29" i="38655"/>
  <c r="J29" i="26"/>
  <c r="H29" i="18"/>
  <c r="D29" i="27"/>
  <c r="D29" i="76" s="1"/>
  <c r="B29"/>
  <c r="B29" i="41"/>
  <c r="D29" i="19"/>
  <c r="D29" i="26"/>
  <c r="D29" i="8"/>
  <c r="B29" i="18"/>
  <c r="G29" i="26"/>
  <c r="J29" i="38655"/>
  <c r="D29" i="11"/>
  <c r="E31" i="38658"/>
  <c r="D29" i="38656"/>
  <c r="F29" i="41"/>
  <c r="G29" s="1"/>
  <c r="J29" i="9"/>
  <c r="G29" i="10"/>
  <c r="B29" i="40"/>
  <c r="D29" s="1"/>
  <c r="G29" i="11"/>
  <c r="B29" i="19"/>
  <c r="E29" i="20"/>
  <c r="F29" i="45"/>
  <c r="B29" i="20"/>
  <c r="E29" i="38648"/>
  <c r="I29" i="45" l="1"/>
  <c r="G29" i="44" s="1"/>
  <c r="E29" i="42" s="1"/>
  <c r="I30" i="45"/>
  <c r="C30" i="44" s="1"/>
  <c r="C30" i="42" s="1"/>
  <c r="G29" i="38667"/>
  <c r="G29" i="20"/>
  <c r="D29"/>
  <c r="D29" i="38655"/>
  <c r="G29" i="19"/>
  <c r="C29" i="41"/>
  <c r="D29"/>
  <c r="E29" i="5"/>
  <c r="G31" i="38658"/>
  <c r="J29" i="38667"/>
  <c r="D29" i="18"/>
  <c r="F29" i="19"/>
  <c r="K29" i="38667"/>
  <c r="G29" i="18"/>
  <c r="D29" i="39"/>
  <c r="H29"/>
  <c r="F29"/>
  <c r="E29" i="45" l="1"/>
  <c r="H29" i="42" s="1"/>
  <c r="I29" i="44"/>
  <c r="F29" i="42" s="1"/>
  <c r="C29" i="44"/>
  <c r="C29" i="42" s="1"/>
  <c r="G29" i="45"/>
  <c r="E29" i="44"/>
  <c r="D29" i="42" s="1"/>
  <c r="I29" i="43"/>
  <c r="B29" i="42" s="1"/>
  <c r="C29" i="45"/>
  <c r="G29" i="42" s="1"/>
  <c r="I30" i="44"/>
  <c r="F30" i="42" s="1"/>
  <c r="I30" i="43"/>
  <c r="B30" i="42" s="1"/>
  <c r="G30" i="44"/>
  <c r="E30" i="42" s="1"/>
  <c r="C30" i="45"/>
  <c r="G30" i="42" s="1"/>
  <c r="G30" i="45"/>
  <c r="E30" i="44"/>
  <c r="D30" i="42" s="1"/>
  <c r="E30" i="45"/>
  <c r="H30" i="42" s="1"/>
  <c r="I29" i="19"/>
  <c r="L29" i="38667"/>
  <c r="M29" s="1"/>
  <c r="I29" s="1"/>
  <c r="I31" i="38658"/>
  <c r="F31" i="38659"/>
  <c r="J29" i="42" l="1"/>
  <c r="J30"/>
  <c r="J30" i="9" l="1"/>
  <c r="G30"/>
  <c r="C30" i="38670"/>
  <c r="E30" i="7" l="1"/>
  <c r="G30" s="1"/>
  <c r="D31" i="70"/>
  <c r="E30" i="33"/>
  <c r="C30" i="15"/>
  <c r="E30" s="1"/>
  <c r="H30" i="20"/>
  <c r="D30" i="70"/>
  <c r="B30" i="38670"/>
  <c r="F30" i="7" l="1"/>
  <c r="I30"/>
  <c r="G30" i="38663"/>
  <c r="H30" i="7"/>
  <c r="D30"/>
  <c r="J30" i="20"/>
  <c r="E30" i="41"/>
  <c r="E30" i="16"/>
  <c r="J51" i="9" l="1"/>
  <c r="G51"/>
  <c r="G50" i="8"/>
  <c r="J50" i="9"/>
  <c r="G50"/>
  <c r="G46"/>
  <c r="J45"/>
  <c r="G45"/>
  <c r="G44" i="8"/>
  <c r="J44" i="9"/>
  <c r="J43"/>
  <c r="G43"/>
  <c r="J42"/>
  <c r="G42"/>
  <c r="G41" i="8"/>
  <c r="J41" i="9"/>
  <c r="G41"/>
  <c r="G40"/>
  <c r="J39"/>
  <c r="G39"/>
  <c r="G38"/>
  <c r="G37" i="8"/>
  <c r="G37" i="9"/>
  <c r="J36"/>
  <c r="G36"/>
  <c r="G35"/>
  <c r="G34"/>
  <c r="J33"/>
  <c r="G33"/>
  <c r="G32"/>
  <c r="J31"/>
  <c r="G31"/>
  <c r="G28" i="8"/>
  <c r="J28" i="9"/>
  <c r="G28"/>
  <c r="J27"/>
  <c r="G27"/>
  <c r="G26"/>
  <c r="G25"/>
  <c r="G24"/>
  <c r="J23"/>
  <c r="G23"/>
  <c r="G22" i="8"/>
  <c r="J22" i="9"/>
  <c r="G22"/>
  <c r="G21" i="8"/>
  <c r="J21" i="9"/>
  <c r="G21"/>
  <c r="J20"/>
  <c r="G20"/>
  <c r="J19"/>
  <c r="G19"/>
  <c r="J18"/>
  <c r="G18"/>
  <c r="J17"/>
  <c r="G17"/>
  <c r="J16"/>
  <c r="G16"/>
  <c r="J15"/>
  <c r="G15"/>
  <c r="G14" i="8"/>
  <c r="J14" i="9"/>
  <c r="G13"/>
  <c r="J12"/>
  <c r="G12"/>
  <c r="F48" i="14"/>
  <c r="F51" i="39"/>
  <c r="D51" i="40"/>
  <c r="D51" i="39"/>
  <c r="H27"/>
  <c r="F27"/>
  <c r="C51" i="38670"/>
  <c r="C50"/>
  <c r="C46"/>
  <c r="C45"/>
  <c r="C44"/>
  <c r="C43"/>
  <c r="C42"/>
  <c r="C41"/>
  <c r="C40"/>
  <c r="C39"/>
  <c r="C38"/>
  <c r="C37"/>
  <c r="C36"/>
  <c r="C35"/>
  <c r="C34"/>
  <c r="C33"/>
  <c r="C32"/>
  <c r="C31"/>
  <c r="B31" s="1"/>
  <c r="C28"/>
  <c r="C27"/>
  <c r="C26"/>
  <c r="C25"/>
  <c r="C24"/>
  <c r="C23"/>
  <c r="C22"/>
  <c r="C21"/>
  <c r="C20"/>
  <c r="C19"/>
  <c r="C18"/>
  <c r="C17"/>
  <c r="C16"/>
  <c r="C15"/>
  <c r="C14"/>
  <c r="C13"/>
  <c r="C12"/>
  <c r="H48" i="14" l="1"/>
  <c r="D30" i="32"/>
  <c r="D48" i="38663"/>
  <c r="E21" i="33"/>
  <c r="E43"/>
  <c r="E25"/>
  <c r="E50"/>
  <c r="C12" i="15"/>
  <c r="E12" s="1"/>
  <c r="C13"/>
  <c r="E13" s="1"/>
  <c r="E13" i="41" s="1"/>
  <c r="C14" i="15"/>
  <c r="E14" s="1"/>
  <c r="E14" i="16" s="1"/>
  <c r="C15" i="15"/>
  <c r="E15" s="1"/>
  <c r="E15" i="41" s="1"/>
  <c r="C16" i="15"/>
  <c r="E16" s="1"/>
  <c r="C17"/>
  <c r="E17" s="1"/>
  <c r="E17" i="16" s="1"/>
  <c r="C18" i="15"/>
  <c r="E18" s="1"/>
  <c r="E18" i="16" s="1"/>
  <c r="C19" i="15"/>
  <c r="E19" s="1"/>
  <c r="E19" i="41" s="1"/>
  <c r="C20" i="15"/>
  <c r="E20" s="1"/>
  <c r="C23"/>
  <c r="E23" s="1"/>
  <c r="E23" i="16" s="1"/>
  <c r="C24" i="15"/>
  <c r="E24" s="1"/>
  <c r="E24" i="41" s="1"/>
  <c r="C25" i="15"/>
  <c r="E25" s="1"/>
  <c r="E25" i="41" s="1"/>
  <c r="C26" i="15"/>
  <c r="E26" s="1"/>
  <c r="C27"/>
  <c r="E27" s="1"/>
  <c r="E27" i="41" s="1"/>
  <c r="C31" i="15"/>
  <c r="E31" s="1"/>
  <c r="E31" i="16" s="1"/>
  <c r="C32" i="15"/>
  <c r="E32" s="1"/>
  <c r="E32" i="16" s="1"/>
  <c r="C33" i="15"/>
  <c r="E33" s="1"/>
  <c r="C34"/>
  <c r="E34" s="1"/>
  <c r="E34" i="16" s="1"/>
  <c r="C35" i="15"/>
  <c r="E35" s="1"/>
  <c r="E35" i="16" s="1"/>
  <c r="C21" i="15"/>
  <c r="E21" s="1"/>
  <c r="E21" i="16" s="1"/>
  <c r="C22" i="15"/>
  <c r="E22" s="1"/>
  <c r="C28"/>
  <c r="E28" s="1"/>
  <c r="E28" i="16" s="1"/>
  <c r="G50" i="47"/>
  <c r="G45"/>
  <c r="G43"/>
  <c r="G41"/>
  <c r="G39"/>
  <c r="G35"/>
  <c r="G33"/>
  <c r="G31"/>
  <c r="G27"/>
  <c r="G25"/>
  <c r="G23"/>
  <c r="G21"/>
  <c r="G19"/>
  <c r="G17"/>
  <c r="G15"/>
  <c r="D18" i="70"/>
  <c r="D14"/>
  <c r="G11" i="47"/>
  <c r="B27" i="38670"/>
  <c r="D27" i="70"/>
  <c r="D25"/>
  <c r="B23" i="38670"/>
  <c r="D23" i="70"/>
  <c r="D21"/>
  <c r="B19" i="38670"/>
  <c r="D19" i="70"/>
  <c r="D17"/>
  <c r="B15" i="38670"/>
  <c r="D15" i="70"/>
  <c r="D13"/>
  <c r="H13" i="20"/>
  <c r="H17"/>
  <c r="H21"/>
  <c r="H25"/>
  <c r="H31"/>
  <c r="H35"/>
  <c r="H39"/>
  <c r="H43"/>
  <c r="H50"/>
  <c r="E48" i="39"/>
  <c r="D48" i="14"/>
  <c r="J11" i="9"/>
  <c r="G37" i="47"/>
  <c r="G51"/>
  <c r="G46"/>
  <c r="G44"/>
  <c r="G42"/>
  <c r="G40"/>
  <c r="G38"/>
  <c r="G36"/>
  <c r="G34"/>
  <c r="G32"/>
  <c r="G28"/>
  <c r="G26"/>
  <c r="G24"/>
  <c r="G22"/>
  <c r="G20"/>
  <c r="G18"/>
  <c r="G16"/>
  <c r="G14"/>
  <c r="G12"/>
  <c r="E22" i="33"/>
  <c r="E26"/>
  <c r="E36"/>
  <c r="E44"/>
  <c r="G13" i="38663"/>
  <c r="G17"/>
  <c r="G21"/>
  <c r="G25"/>
  <c r="G31"/>
  <c r="G39"/>
  <c r="G43"/>
  <c r="G50"/>
  <c r="E36" i="7"/>
  <c r="E37"/>
  <c r="E38"/>
  <c r="E39"/>
  <c r="E40"/>
  <c r="E41"/>
  <c r="E42"/>
  <c r="E43"/>
  <c r="E44"/>
  <c r="E45"/>
  <c r="E46"/>
  <c r="E50"/>
  <c r="E51"/>
  <c r="B28" i="38670"/>
  <c r="D28" i="70"/>
  <c r="D16"/>
  <c r="D51"/>
  <c r="D46"/>
  <c r="D44"/>
  <c r="D42"/>
  <c r="B40" i="38670"/>
  <c r="D40" i="70"/>
  <c r="D38"/>
  <c r="D36"/>
  <c r="D34"/>
  <c r="D32"/>
  <c r="H12" i="20"/>
  <c r="H16"/>
  <c r="H20"/>
  <c r="H24"/>
  <c r="H28"/>
  <c r="H34"/>
  <c r="H38"/>
  <c r="H42"/>
  <c r="H46"/>
  <c r="C48" i="40"/>
  <c r="G11" i="9"/>
  <c r="C48" i="14"/>
  <c r="G13" i="47"/>
  <c r="E51" i="52"/>
  <c r="E46"/>
  <c r="F46" s="1"/>
  <c r="E44"/>
  <c r="E42"/>
  <c r="F42" s="1"/>
  <c r="E40"/>
  <c r="E38"/>
  <c r="F38" s="1"/>
  <c r="E36"/>
  <c r="E34"/>
  <c r="F34" s="1"/>
  <c r="E32"/>
  <c r="E28"/>
  <c r="F28" s="1"/>
  <c r="E26"/>
  <c r="E24"/>
  <c r="F24" s="1"/>
  <c r="E22"/>
  <c r="E20"/>
  <c r="F20" s="1"/>
  <c r="E18"/>
  <c r="E16"/>
  <c r="F16" s="1"/>
  <c r="E14"/>
  <c r="E12"/>
  <c r="E13" i="33"/>
  <c r="E14"/>
  <c r="E17"/>
  <c r="E18"/>
  <c r="E31"/>
  <c r="E32"/>
  <c r="E35"/>
  <c r="E39"/>
  <c r="E40"/>
  <c r="E51"/>
  <c r="E48" i="38663"/>
  <c r="B21" i="38670"/>
  <c r="B25"/>
  <c r="B38"/>
  <c r="B42"/>
  <c r="B51"/>
  <c r="G48" i="14"/>
  <c r="D24" i="70"/>
  <c r="H11" i="20"/>
  <c r="B48" i="38"/>
  <c r="H15" i="20"/>
  <c r="H19"/>
  <c r="H23"/>
  <c r="H27"/>
  <c r="H33"/>
  <c r="H37"/>
  <c r="H41"/>
  <c r="H45"/>
  <c r="F48" i="38"/>
  <c r="D48"/>
  <c r="C48" i="39"/>
  <c r="B48" i="14"/>
  <c r="C11" i="15"/>
  <c r="E12" i="41"/>
  <c r="E12" i="16"/>
  <c r="E16" i="41"/>
  <c r="E16" i="16"/>
  <c r="E20" i="41"/>
  <c r="E20" i="16"/>
  <c r="E22"/>
  <c r="E22" i="41"/>
  <c r="E23"/>
  <c r="E26"/>
  <c r="E26" i="16"/>
  <c r="E33" i="41"/>
  <c r="E33" i="16"/>
  <c r="G11" i="38663"/>
  <c r="G15"/>
  <c r="G19"/>
  <c r="G23"/>
  <c r="G27"/>
  <c r="G33"/>
  <c r="G35"/>
  <c r="G37"/>
  <c r="G41"/>
  <c r="G45"/>
  <c r="D26" i="70"/>
  <c r="D22"/>
  <c r="D20"/>
  <c r="D12"/>
  <c r="B50" i="38670"/>
  <c r="D50" i="70"/>
  <c r="B45" i="38670"/>
  <c r="D45" i="70"/>
  <c r="D43"/>
  <c r="B41" i="38670"/>
  <c r="D41" i="70"/>
  <c r="D39"/>
  <c r="B37" i="38670"/>
  <c r="D37" i="70"/>
  <c r="B35" i="38670"/>
  <c r="D35" i="70"/>
  <c r="B33" i="38670"/>
  <c r="D33" i="70"/>
  <c r="H14" i="20"/>
  <c r="H18"/>
  <c r="H22"/>
  <c r="H26"/>
  <c r="H32"/>
  <c r="H36"/>
  <c r="H40"/>
  <c r="H44"/>
  <c r="H51"/>
  <c r="C11" i="38670"/>
  <c r="G48" i="39"/>
  <c r="E11" i="7"/>
  <c r="E48" i="14"/>
  <c r="B48" i="15"/>
  <c r="G11" i="8"/>
  <c r="E50" i="52"/>
  <c r="E45"/>
  <c r="E43"/>
  <c r="E41"/>
  <c r="E39"/>
  <c r="E37"/>
  <c r="E35"/>
  <c r="E33"/>
  <c r="E31"/>
  <c r="E27"/>
  <c r="E25"/>
  <c r="E23"/>
  <c r="E21"/>
  <c r="E19"/>
  <c r="E17"/>
  <c r="E15"/>
  <c r="E13"/>
  <c r="E11"/>
  <c r="E12" i="33"/>
  <c r="E15"/>
  <c r="E16"/>
  <c r="E19"/>
  <c r="E20"/>
  <c r="E23"/>
  <c r="E24"/>
  <c r="E27"/>
  <c r="E28"/>
  <c r="E33"/>
  <c r="E34"/>
  <c r="E37"/>
  <c r="E38"/>
  <c r="E41"/>
  <c r="E42"/>
  <c r="E45"/>
  <c r="E46"/>
  <c r="G18" i="38663"/>
  <c r="G22"/>
  <c r="G26"/>
  <c r="G36"/>
  <c r="G51"/>
  <c r="B12" i="38670"/>
  <c r="B13"/>
  <c r="B14"/>
  <c r="B16"/>
  <c r="B17"/>
  <c r="B18"/>
  <c r="B20"/>
  <c r="B22"/>
  <c r="B24"/>
  <c r="B26"/>
  <c r="B32"/>
  <c r="B34"/>
  <c r="B36"/>
  <c r="B39"/>
  <c r="B43"/>
  <c r="B44"/>
  <c r="B46"/>
  <c r="E12" i="7"/>
  <c r="E13"/>
  <c r="E14"/>
  <c r="E15"/>
  <c r="E16"/>
  <c r="E17"/>
  <c r="E18"/>
  <c r="E19"/>
  <c r="E20"/>
  <c r="E21"/>
  <c r="E22"/>
  <c r="E23"/>
  <c r="E24"/>
  <c r="E25"/>
  <c r="E26"/>
  <c r="E27"/>
  <c r="E28"/>
  <c r="E31"/>
  <c r="E32"/>
  <c r="E33"/>
  <c r="E34"/>
  <c r="E35"/>
  <c r="C36" i="15"/>
  <c r="E36" s="1"/>
  <c r="C37"/>
  <c r="E37" s="1"/>
  <c r="C38"/>
  <c r="E38" s="1"/>
  <c r="C39"/>
  <c r="E39" s="1"/>
  <c r="C40"/>
  <c r="E40" s="1"/>
  <c r="C41"/>
  <c r="E41" s="1"/>
  <c r="C42"/>
  <c r="E42" s="1"/>
  <c r="C43"/>
  <c r="E43" s="1"/>
  <c r="C44"/>
  <c r="E44" s="1"/>
  <c r="C45"/>
  <c r="E45" s="1"/>
  <c r="C46"/>
  <c r="E46" s="1"/>
  <c r="C50"/>
  <c r="E50" s="1"/>
  <c r="C51"/>
  <c r="E51" s="1"/>
  <c r="F12" i="52"/>
  <c r="E27" i="16" l="1"/>
  <c r="E34" i="41"/>
  <c r="E28"/>
  <c r="E17"/>
  <c r="E13" i="16"/>
  <c r="C72" i="3188"/>
  <c r="E35" i="41"/>
  <c r="F12" i="78"/>
  <c r="B12" i="43" s="1"/>
  <c r="F12" s="1"/>
  <c r="H12" s="1"/>
  <c r="E14" i="41"/>
  <c r="E31"/>
  <c r="E24" i="16"/>
  <c r="E18" i="41"/>
  <c r="F20" i="78"/>
  <c r="B20" i="43" s="1"/>
  <c r="F20" s="1"/>
  <c r="H20" s="1"/>
  <c r="F28" i="78"/>
  <c r="B28" i="43" s="1"/>
  <c r="F28" s="1"/>
  <c r="H28" s="1"/>
  <c r="F38" i="78"/>
  <c r="B38" i="43" s="1"/>
  <c r="F38" s="1"/>
  <c r="H38" s="1"/>
  <c r="F46" i="78"/>
  <c r="B46" i="43" s="1"/>
  <c r="E25" i="16"/>
  <c r="F26" i="52"/>
  <c r="F26" i="78" s="1"/>
  <c r="B26" i="43" s="1"/>
  <c r="F26" s="1"/>
  <c r="H26" s="1"/>
  <c r="F36" i="52"/>
  <c r="F36" i="78" s="1"/>
  <c r="B36" i="43" s="1"/>
  <c r="F36" s="1"/>
  <c r="H36" s="1"/>
  <c r="F44" i="52"/>
  <c r="F44" i="78" s="1"/>
  <c r="B44" i="43" s="1"/>
  <c r="F44" s="1"/>
  <c r="H44" s="1"/>
  <c r="F24" i="78"/>
  <c r="B24" i="43" s="1"/>
  <c r="F24" s="1"/>
  <c r="H24" s="1"/>
  <c r="F42" i="78"/>
  <c r="B42" i="43" s="1"/>
  <c r="F42" s="1"/>
  <c r="H42" s="1"/>
  <c r="F18" i="52"/>
  <c r="F18" i="78" s="1"/>
  <c r="B18" i="43" s="1"/>
  <c r="F18" s="1"/>
  <c r="H18" s="1"/>
  <c r="E21" i="41"/>
  <c r="E19" i="16"/>
  <c r="E15"/>
  <c r="F34" i="78"/>
  <c r="B34" i="43" s="1"/>
  <c r="F34" s="1"/>
  <c r="H34" s="1"/>
  <c r="E32" i="41"/>
  <c r="F16" i="78"/>
  <c r="B16" i="43" s="1"/>
  <c r="F16" s="1"/>
  <c r="H16" s="1"/>
  <c r="G34" i="38663"/>
  <c r="C48" i="46"/>
  <c r="A54" s="1"/>
  <c r="F14" i="52"/>
  <c r="K30" i="3188"/>
  <c r="C30" i="5" s="1"/>
  <c r="B15" i="41"/>
  <c r="G42" i="38663"/>
  <c r="G24"/>
  <c r="F19" i="52"/>
  <c r="F27"/>
  <c r="F37"/>
  <c r="F45"/>
  <c r="B48" i="38663"/>
  <c r="F13" i="52"/>
  <c r="F13" i="78" s="1"/>
  <c r="B13" i="43" s="1"/>
  <c r="F13" s="1"/>
  <c r="H13" s="1"/>
  <c r="F51" i="52"/>
  <c r="F22"/>
  <c r="F22" i="78" s="1"/>
  <c r="B22" i="43" s="1"/>
  <c r="F22" s="1"/>
  <c r="H22" s="1"/>
  <c r="F39" i="52"/>
  <c r="F31"/>
  <c r="G27" i="38656"/>
  <c r="G36" i="26"/>
  <c r="J50" i="11"/>
  <c r="F32" i="52"/>
  <c r="F17"/>
  <c r="F25"/>
  <c r="F35"/>
  <c r="F43"/>
  <c r="F21"/>
  <c r="F11"/>
  <c r="F11" i="78" s="1"/>
  <c r="F40" i="52"/>
  <c r="D25" i="8"/>
  <c r="B28" i="41"/>
  <c r="B33"/>
  <c r="G50" i="26"/>
  <c r="J36" i="11"/>
  <c r="F50" i="52"/>
  <c r="G16" i="38663"/>
  <c r="F48"/>
  <c r="F15" i="52"/>
  <c r="F23"/>
  <c r="F33"/>
  <c r="F41"/>
  <c r="D32" i="38656"/>
  <c r="J30" i="11"/>
  <c r="G51" i="26"/>
  <c r="G35" i="11"/>
  <c r="J37" i="38655"/>
  <c r="D13" i="8"/>
  <c r="J30" i="26"/>
  <c r="D30" i="11"/>
  <c r="G29" i="54"/>
  <c r="E30" i="20"/>
  <c r="B30" i="41"/>
  <c r="G30" i="38655"/>
  <c r="B30" i="39"/>
  <c r="F30" i="41"/>
  <c r="G30" s="1"/>
  <c r="F17"/>
  <c r="G17" s="1"/>
  <c r="F39" i="45"/>
  <c r="F50"/>
  <c r="E51" i="16"/>
  <c r="E51" i="41"/>
  <c r="E44"/>
  <c r="E44" i="16"/>
  <c r="E40"/>
  <c r="E40" i="41"/>
  <c r="E36" i="16"/>
  <c r="E36" i="41"/>
  <c r="H27" i="7"/>
  <c r="I27"/>
  <c r="F27"/>
  <c r="G27"/>
  <c r="F25"/>
  <c r="H25"/>
  <c r="I25"/>
  <c r="D25"/>
  <c r="G25"/>
  <c r="F23"/>
  <c r="I23"/>
  <c r="H23"/>
  <c r="G23"/>
  <c r="D23"/>
  <c r="H20"/>
  <c r="F20"/>
  <c r="I20"/>
  <c r="D20"/>
  <c r="G20"/>
  <c r="D18"/>
  <c r="H18"/>
  <c r="F18"/>
  <c r="G18"/>
  <c r="I18"/>
  <c r="G16"/>
  <c r="H16"/>
  <c r="F16"/>
  <c r="I16"/>
  <c r="D11"/>
  <c r="G11"/>
  <c r="E48"/>
  <c r="F11"/>
  <c r="I11"/>
  <c r="H11"/>
  <c r="J44" i="20"/>
  <c r="J36"/>
  <c r="J26"/>
  <c r="J18"/>
  <c r="J41"/>
  <c r="J33"/>
  <c r="J23"/>
  <c r="J15"/>
  <c r="D44" i="7"/>
  <c r="G44"/>
  <c r="F44"/>
  <c r="H44"/>
  <c r="I44"/>
  <c r="G42"/>
  <c r="H42"/>
  <c r="F42"/>
  <c r="I42"/>
  <c r="G37"/>
  <c r="H37"/>
  <c r="F37"/>
  <c r="I37"/>
  <c r="J50" i="20"/>
  <c r="J39"/>
  <c r="J31"/>
  <c r="J21"/>
  <c r="J13"/>
  <c r="D43" i="32"/>
  <c r="D31"/>
  <c r="D38"/>
  <c r="D20"/>
  <c r="D50"/>
  <c r="D44"/>
  <c r="D40"/>
  <c r="D23"/>
  <c r="D24"/>
  <c r="D18"/>
  <c r="G48" i="47"/>
  <c r="D30" i="38656"/>
  <c r="J30" i="38655"/>
  <c r="F46" i="41"/>
  <c r="G46" s="1"/>
  <c r="D39" i="38656"/>
  <c r="D30" i="8"/>
  <c r="J29" i="54"/>
  <c r="G30"/>
  <c r="J22" i="11"/>
  <c r="G19"/>
  <c r="E32" i="38658"/>
  <c r="E45" i="41"/>
  <c r="E45" i="16"/>
  <c r="E41" i="41"/>
  <c r="E41" i="16"/>
  <c r="E37" i="41"/>
  <c r="E37" i="16"/>
  <c r="G34" i="7"/>
  <c r="I34"/>
  <c r="H34"/>
  <c r="F34"/>
  <c r="I32"/>
  <c r="H32"/>
  <c r="G32"/>
  <c r="F32"/>
  <c r="G14"/>
  <c r="D14"/>
  <c r="H14"/>
  <c r="F14"/>
  <c r="I14"/>
  <c r="F12"/>
  <c r="I12"/>
  <c r="H12"/>
  <c r="G12"/>
  <c r="D12"/>
  <c r="B11" i="38670"/>
  <c r="B48" s="1"/>
  <c r="C48"/>
  <c r="H48" i="20"/>
  <c r="J42"/>
  <c r="J34"/>
  <c r="J24"/>
  <c r="J16"/>
  <c r="F50" i="7"/>
  <c r="G50"/>
  <c r="D50"/>
  <c r="I50"/>
  <c r="H50"/>
  <c r="H45"/>
  <c r="I45"/>
  <c r="F45"/>
  <c r="G45"/>
  <c r="G40"/>
  <c r="D40"/>
  <c r="H40"/>
  <c r="I40"/>
  <c r="F40"/>
  <c r="G38"/>
  <c r="F38"/>
  <c r="I38"/>
  <c r="H38"/>
  <c r="D41" i="32"/>
  <c r="D21"/>
  <c r="G38" i="38663"/>
  <c r="G20"/>
  <c r="D19" i="32"/>
  <c r="C48" i="38663"/>
  <c r="J30" i="54"/>
  <c r="D26" i="38656"/>
  <c r="B30" i="20"/>
  <c r="G30" i="26"/>
  <c r="D17" i="27"/>
  <c r="D17" i="76" s="1"/>
  <c r="B17"/>
  <c r="F27" i="45"/>
  <c r="D29" i="54"/>
  <c r="E29" i="76"/>
  <c r="D30" i="9"/>
  <c r="D14" i="54"/>
  <c r="D18" i="8"/>
  <c r="D20"/>
  <c r="B37" i="41"/>
  <c r="B16"/>
  <c r="B30" i="19"/>
  <c r="D30" i="54"/>
  <c r="G30" i="10"/>
  <c r="D30" i="26"/>
  <c r="D30" i="19"/>
  <c r="D30" i="27"/>
  <c r="D30" i="76" s="1"/>
  <c r="B30"/>
  <c r="E30" s="1"/>
  <c r="F38" i="45"/>
  <c r="E46" i="41"/>
  <c r="E46" i="16"/>
  <c r="E42"/>
  <c r="E42" i="41"/>
  <c r="E38"/>
  <c r="E38" i="16"/>
  <c r="G28" i="7"/>
  <c r="F28"/>
  <c r="D28"/>
  <c r="H28"/>
  <c r="I28"/>
  <c r="H26"/>
  <c r="I26"/>
  <c r="G26"/>
  <c r="F26"/>
  <c r="I24"/>
  <c r="G24"/>
  <c r="F24"/>
  <c r="H24"/>
  <c r="H21"/>
  <c r="G21"/>
  <c r="F21"/>
  <c r="I21"/>
  <c r="G19"/>
  <c r="D19"/>
  <c r="H19"/>
  <c r="I19"/>
  <c r="F19"/>
  <c r="I17"/>
  <c r="F17"/>
  <c r="D17"/>
  <c r="G17"/>
  <c r="H17"/>
  <c r="F15"/>
  <c r="G15"/>
  <c r="D15"/>
  <c r="I15"/>
  <c r="H15"/>
  <c r="J51" i="20"/>
  <c r="J40"/>
  <c r="J32"/>
  <c r="J22"/>
  <c r="J14"/>
  <c r="J45"/>
  <c r="J37"/>
  <c r="J27"/>
  <c r="J19"/>
  <c r="F51" i="7"/>
  <c r="G51"/>
  <c r="I51"/>
  <c r="D51"/>
  <c r="H51"/>
  <c r="F43"/>
  <c r="I43"/>
  <c r="G43"/>
  <c r="H43"/>
  <c r="D43"/>
  <c r="G36"/>
  <c r="I36"/>
  <c r="D36"/>
  <c r="F36"/>
  <c r="H36"/>
  <c r="J43" i="20"/>
  <c r="J35"/>
  <c r="J25"/>
  <c r="J17"/>
  <c r="D12" i="32"/>
  <c r="D45"/>
  <c r="D34"/>
  <c r="D25"/>
  <c r="D16"/>
  <c r="D13"/>
  <c r="D27"/>
  <c r="D35"/>
  <c r="D32"/>
  <c r="D15"/>
  <c r="D14"/>
  <c r="D33"/>
  <c r="G44" i="38663"/>
  <c r="G32"/>
  <c r="G14"/>
  <c r="D48" i="38670"/>
  <c r="F24" i="41"/>
  <c r="G24" s="1"/>
  <c r="F45"/>
  <c r="G45" s="1"/>
  <c r="G30" i="11"/>
  <c r="G32" i="26"/>
  <c r="F25" i="45"/>
  <c r="G26" i="11"/>
  <c r="B34" i="41"/>
  <c r="B44"/>
  <c r="B25"/>
  <c r="B21"/>
  <c r="E30" i="18"/>
  <c r="D30" i="10"/>
  <c r="B30" i="40"/>
  <c r="D30" s="1"/>
  <c r="H30" i="18"/>
  <c r="G30" i="38656"/>
  <c r="B48" i="32"/>
  <c r="F41" i="45"/>
  <c r="E50" i="41"/>
  <c r="E50" i="16"/>
  <c r="E43"/>
  <c r="E43" i="41"/>
  <c r="E39"/>
  <c r="E39" i="16"/>
  <c r="G35" i="7"/>
  <c r="I35"/>
  <c r="H35"/>
  <c r="F35"/>
  <c r="I33"/>
  <c r="H33"/>
  <c r="G33"/>
  <c r="F33"/>
  <c r="F31"/>
  <c r="G31"/>
  <c r="I31"/>
  <c r="H31"/>
  <c r="H22"/>
  <c r="G22"/>
  <c r="I22"/>
  <c r="F22"/>
  <c r="I13"/>
  <c r="G13"/>
  <c r="H13"/>
  <c r="F13"/>
  <c r="C48" i="15"/>
  <c r="E11"/>
  <c r="J11" i="20" s="1"/>
  <c r="J46"/>
  <c r="J38"/>
  <c r="J28"/>
  <c r="J20"/>
  <c r="J12"/>
  <c r="G46" i="7"/>
  <c r="I46"/>
  <c r="F46"/>
  <c r="H46"/>
  <c r="H41"/>
  <c r="F41"/>
  <c r="I41"/>
  <c r="G41"/>
  <c r="H39"/>
  <c r="G39"/>
  <c r="I39"/>
  <c r="F39"/>
  <c r="D39"/>
  <c r="D11" i="70"/>
  <c r="D22" i="32"/>
  <c r="D46"/>
  <c r="D37"/>
  <c r="D28"/>
  <c r="D17"/>
  <c r="D26"/>
  <c r="D39"/>
  <c r="D36"/>
  <c r="G46" i="38663"/>
  <c r="G28"/>
  <c r="G12"/>
  <c r="D42" i="32"/>
  <c r="G40" i="38663"/>
  <c r="D51" i="32"/>
  <c r="E11" i="33"/>
  <c r="E48" s="1"/>
  <c r="D38" i="11"/>
  <c r="E16" i="38648"/>
  <c r="E35"/>
  <c r="E28"/>
  <c r="E23"/>
  <c r="E12"/>
  <c r="E41"/>
  <c r="E32"/>
  <c r="E13"/>
  <c r="E19"/>
  <c r="E31"/>
  <c r="E36"/>
  <c r="E14"/>
  <c r="E44"/>
  <c r="E34"/>
  <c r="E17"/>
  <c r="E46"/>
  <c r="E42"/>
  <c r="E38"/>
  <c r="E20"/>
  <c r="E26"/>
  <c r="E15"/>
  <c r="E45"/>
  <c r="E21"/>
  <c r="E50"/>
  <c r="E43"/>
  <c r="E22"/>
  <c r="E33"/>
  <c r="E27"/>
  <c r="E18"/>
  <c r="E51"/>
  <c r="E40"/>
  <c r="E25"/>
  <c r="D13" i="7"/>
  <c r="D51" i="11"/>
  <c r="D46"/>
  <c r="D37"/>
  <c r="D43"/>
  <c r="K37" i="3188"/>
  <c r="C37" i="5" s="1"/>
  <c r="D34" i="7"/>
  <c r="K38" i="3188"/>
  <c r="C38" i="5" s="1"/>
  <c r="D26" i="7"/>
  <c r="K50" i="3188"/>
  <c r="C50" i="5" s="1"/>
  <c r="K46" i="3188"/>
  <c r="C46" i="5" s="1"/>
  <c r="K45" i="3188"/>
  <c r="C45" i="5" s="1"/>
  <c r="K42" i="3188"/>
  <c r="C42" i="5" s="1"/>
  <c r="E11" i="38648"/>
  <c r="E39"/>
  <c r="E30"/>
  <c r="E24"/>
  <c r="E37"/>
  <c r="K44" i="3188"/>
  <c r="C44" i="5" s="1"/>
  <c r="F15" i="78" l="1"/>
  <c r="B15" i="43" s="1"/>
  <c r="F15" s="1"/>
  <c r="H15" s="1"/>
  <c r="F23" i="78"/>
  <c r="B23" i="43" s="1"/>
  <c r="F23" s="1"/>
  <c r="H23" s="1"/>
  <c r="F21" i="78"/>
  <c r="B21" i="43" s="1"/>
  <c r="F21" s="1"/>
  <c r="H21" s="1"/>
  <c r="F17" i="78"/>
  <c r="B17" i="43" s="1"/>
  <c r="F17" s="1"/>
  <c r="H17" s="1"/>
  <c r="F27" i="78"/>
  <c r="B27" i="43" s="1"/>
  <c r="F27" s="1"/>
  <c r="H27" s="1"/>
  <c r="F43" i="78"/>
  <c r="B43" i="43" s="1"/>
  <c r="F43" s="1"/>
  <c r="H43" s="1"/>
  <c r="F32" i="78"/>
  <c r="B32" i="43" s="1"/>
  <c r="F32" s="1"/>
  <c r="H32" s="1"/>
  <c r="F19" i="78"/>
  <c r="B19" i="43" s="1"/>
  <c r="F19" s="1"/>
  <c r="H19" s="1"/>
  <c r="F33" i="78"/>
  <c r="B33" i="43" s="1"/>
  <c r="F33" s="1"/>
  <c r="H33" s="1"/>
  <c r="F25" i="78"/>
  <c r="B25" i="43" s="1"/>
  <c r="F25" s="1"/>
  <c r="H25" s="1"/>
  <c r="I25" i="45" s="1"/>
  <c r="G25" s="1"/>
  <c r="F39" i="78"/>
  <c r="B39" i="43" s="1"/>
  <c r="F39" s="1"/>
  <c r="H39" s="1"/>
  <c r="I39" i="45" s="1"/>
  <c r="F51" i="78"/>
  <c r="B51" i="43" s="1"/>
  <c r="F51" s="1"/>
  <c r="H51" s="1"/>
  <c r="F37" i="78"/>
  <c r="B37" i="43" s="1"/>
  <c r="F37" s="1"/>
  <c r="H37" s="1"/>
  <c r="F40" i="78"/>
  <c r="B40" i="43" s="1"/>
  <c r="F40" s="1"/>
  <c r="H40" s="1"/>
  <c r="F31" i="78"/>
  <c r="B31" i="43" s="1"/>
  <c r="F31" s="1"/>
  <c r="H31" s="1"/>
  <c r="F41" i="78"/>
  <c r="B41" i="43" s="1"/>
  <c r="F41" s="1"/>
  <c r="H41" s="1"/>
  <c r="I41" i="45" s="1"/>
  <c r="I41" i="43" s="1"/>
  <c r="B41" i="42" s="1"/>
  <c r="F50" i="78"/>
  <c r="B50" i="43" s="1"/>
  <c r="F50" s="1"/>
  <c r="H50" s="1"/>
  <c r="I50" i="45" s="1"/>
  <c r="E50" i="44" s="1"/>
  <c r="D50" i="42" s="1"/>
  <c r="F35" i="78"/>
  <c r="B35" i="43" s="1"/>
  <c r="F35" s="1"/>
  <c r="H35" s="1"/>
  <c r="F45" i="78"/>
  <c r="B45" i="43" s="1"/>
  <c r="F45" s="1"/>
  <c r="H45" s="1"/>
  <c r="F14" i="78"/>
  <c r="B14" i="43" s="1"/>
  <c r="F14" s="1"/>
  <c r="H14" s="1"/>
  <c r="F18" i="45"/>
  <c r="I18" s="1"/>
  <c r="I18" i="44" s="1"/>
  <c r="F18" i="42" s="1"/>
  <c r="F40" i="45"/>
  <c r="F23"/>
  <c r="F44"/>
  <c r="I44" s="1"/>
  <c r="G44" s="1"/>
  <c r="F43"/>
  <c r="F16"/>
  <c r="I16" s="1"/>
  <c r="G16" s="1"/>
  <c r="F37"/>
  <c r="F17"/>
  <c r="K13" i="3188"/>
  <c r="C13" i="5" s="1"/>
  <c r="K17" i="3188"/>
  <c r="C17" i="5" s="1"/>
  <c r="K36" i="3188"/>
  <c r="C36" i="5" s="1"/>
  <c r="K21" i="3188"/>
  <c r="C21" i="5" s="1"/>
  <c r="K51" i="3188"/>
  <c r="C51" i="5" s="1"/>
  <c r="K40" i="3188"/>
  <c r="C40" i="5" s="1"/>
  <c r="K26" i="3188"/>
  <c r="C26" i="5" s="1"/>
  <c r="K39" i="3188"/>
  <c r="C39" i="5" s="1"/>
  <c r="K19" i="3188"/>
  <c r="C19" i="5" s="1"/>
  <c r="K24" i="3188"/>
  <c r="C24" i="5" s="1"/>
  <c r="K16" i="3188"/>
  <c r="C16" i="5" s="1"/>
  <c r="E35" i="20"/>
  <c r="G35" s="1"/>
  <c r="K20" i="3188"/>
  <c r="C20" i="5" s="1"/>
  <c r="E27" i="20"/>
  <c r="G27" s="1"/>
  <c r="F46" i="45"/>
  <c r="F32"/>
  <c r="F14"/>
  <c r="F35"/>
  <c r="F19"/>
  <c r="F46" i="43"/>
  <c r="H46" s="1"/>
  <c r="K15" i="3188"/>
  <c r="C15" i="5" s="1"/>
  <c r="K43" i="3188"/>
  <c r="C43" i="5" s="1"/>
  <c r="K33" i="3188"/>
  <c r="C33" i="5" s="1"/>
  <c r="K32" i="3188"/>
  <c r="C32" i="5" s="1"/>
  <c r="K23" i="3188"/>
  <c r="C23" i="5" s="1"/>
  <c r="B46" i="20"/>
  <c r="D46" s="1"/>
  <c r="G48" i="38663"/>
  <c r="F11" i="45"/>
  <c r="G32" i="38658"/>
  <c r="F32" i="38659" s="1"/>
  <c r="E48" i="52"/>
  <c r="K14" i="3188"/>
  <c r="C14" i="5" s="1"/>
  <c r="F42" i="45"/>
  <c r="I42" s="1"/>
  <c r="C42" s="1"/>
  <c r="G42" i="42" s="1"/>
  <c r="K25" i="3188"/>
  <c r="C25" i="5" s="1"/>
  <c r="K41" i="3188"/>
  <c r="C41" i="5" s="1"/>
  <c r="K34" i="3188"/>
  <c r="C34" i="5" s="1"/>
  <c r="K28" i="3188"/>
  <c r="C28" i="5" s="1"/>
  <c r="K31" i="3188"/>
  <c r="C31" i="5" s="1"/>
  <c r="K35" i="3188"/>
  <c r="C35" i="5" s="1"/>
  <c r="K18" i="3188"/>
  <c r="C18" i="5" s="1"/>
  <c r="K27" i="3188"/>
  <c r="C27" i="5" s="1"/>
  <c r="K22" i="3188"/>
  <c r="C22" i="5" s="1"/>
  <c r="F24" i="45"/>
  <c r="I24" s="1"/>
  <c r="G24" s="1"/>
  <c r="B32" i="39"/>
  <c r="D51" i="9"/>
  <c r="D33" i="7"/>
  <c r="D11" i="11"/>
  <c r="E15" i="18"/>
  <c r="D15" i="10"/>
  <c r="D43" i="26"/>
  <c r="D43" i="19"/>
  <c r="J43" i="26"/>
  <c r="G36" i="8"/>
  <c r="D32" i="26"/>
  <c r="D17" i="9"/>
  <c r="D44" i="8"/>
  <c r="B44" i="18"/>
  <c r="C48" i="32"/>
  <c r="D11"/>
  <c r="D48" s="1"/>
  <c r="D20" i="9"/>
  <c r="D42" i="7"/>
  <c r="J12" i="11"/>
  <c r="G11" i="10"/>
  <c r="D13" i="11"/>
  <c r="B20" i="18"/>
  <c r="J37" i="9"/>
  <c r="D41" i="7"/>
  <c r="J34" i="9"/>
  <c r="D13"/>
  <c r="D26"/>
  <c r="G15" i="10"/>
  <c r="G12"/>
  <c r="G15" i="11"/>
  <c r="B43" i="41"/>
  <c r="D15" i="9"/>
  <c r="G31" i="54"/>
  <c r="J44"/>
  <c r="G14" i="9"/>
  <c r="B41" i="18"/>
  <c r="D41" i="8"/>
  <c r="J35" i="9"/>
  <c r="E11" i="18"/>
  <c r="D11" i="10"/>
  <c r="D14" i="11"/>
  <c r="D15"/>
  <c r="I38" i="45"/>
  <c r="G38" s="1"/>
  <c r="G24" i="8"/>
  <c r="D51"/>
  <c r="B51" i="18"/>
  <c r="D39" i="9"/>
  <c r="E13" i="18"/>
  <c r="D13" i="10"/>
  <c r="D12" i="11"/>
  <c r="E14" i="18"/>
  <c r="D14" i="10"/>
  <c r="D17" i="11"/>
  <c r="D18"/>
  <c r="G12"/>
  <c r="B43" i="19"/>
  <c r="B43" i="40"/>
  <c r="D43" s="1"/>
  <c r="J15" i="11"/>
  <c r="G17" i="10"/>
  <c r="D24" i="11"/>
  <c r="D22"/>
  <c r="D20"/>
  <c r="B13" i="18"/>
  <c r="B43" i="39"/>
  <c r="B43" i="76"/>
  <c r="D43" i="27"/>
  <c r="D43" i="76" s="1"/>
  <c r="G14" i="10"/>
  <c r="E18" i="18"/>
  <c r="D18" i="10"/>
  <c r="G25" i="8"/>
  <c r="G20" i="11"/>
  <c r="G22" i="10"/>
  <c r="J23" i="11"/>
  <c r="E19" i="18"/>
  <c r="D19" i="10"/>
  <c r="E17" i="18"/>
  <c r="D17" i="10"/>
  <c r="D34" i="9"/>
  <c r="J40"/>
  <c r="G23" i="8"/>
  <c r="B43" i="20"/>
  <c r="E45" i="38658"/>
  <c r="G45" s="1"/>
  <c r="G30" i="8"/>
  <c r="E16" i="18"/>
  <c r="D16" i="10"/>
  <c r="J19" i="11"/>
  <c r="J16"/>
  <c r="F43" i="41"/>
  <c r="G43" s="1"/>
  <c r="G44" i="9"/>
  <c r="D33"/>
  <c r="J13" i="11"/>
  <c r="E42" i="18"/>
  <c r="D42" i="10"/>
  <c r="B12" i="19"/>
  <c r="H12" i="18"/>
  <c r="H20"/>
  <c r="H35"/>
  <c r="H41"/>
  <c r="D15" i="26"/>
  <c r="D15" i="19"/>
  <c r="D23" i="26"/>
  <c r="D34"/>
  <c r="D34" i="19"/>
  <c r="G33" i="38655"/>
  <c r="G37"/>
  <c r="B12" i="40"/>
  <c r="D12" s="1"/>
  <c r="B18"/>
  <c r="D18" s="1"/>
  <c r="B20"/>
  <c r="D20" s="1"/>
  <c r="B23"/>
  <c r="D23" s="1"/>
  <c r="B25"/>
  <c r="D25" s="1"/>
  <c r="B28"/>
  <c r="D28" s="1"/>
  <c r="B34"/>
  <c r="D34" s="1"/>
  <c r="B37" i="39"/>
  <c r="B42" i="40"/>
  <c r="D42" s="1"/>
  <c r="B50"/>
  <c r="E15" i="38658"/>
  <c r="G15" s="1"/>
  <c r="E30"/>
  <c r="E35"/>
  <c r="E39"/>
  <c r="G39" s="1"/>
  <c r="E42"/>
  <c r="E47"/>
  <c r="H24" i="18"/>
  <c r="H28"/>
  <c r="D38" i="10"/>
  <c r="J36" i="26"/>
  <c r="J46"/>
  <c r="D12" i="38656"/>
  <c r="G46" i="38655"/>
  <c r="B31" i="40"/>
  <c r="D31" s="1"/>
  <c r="E13" i="20"/>
  <c r="H15" i="18"/>
  <c r="H46"/>
  <c r="B51" i="40"/>
  <c r="B31" i="39"/>
  <c r="B35"/>
  <c r="D41" i="19"/>
  <c r="D41" i="26"/>
  <c r="G38" i="38655"/>
  <c r="D11" i="54"/>
  <c r="B42" i="39"/>
  <c r="E20" i="18"/>
  <c r="D20" i="10"/>
  <c r="G43" i="38656"/>
  <c r="B33" i="18"/>
  <c r="D33" i="8"/>
  <c r="J14" i="11"/>
  <c r="H23" i="18"/>
  <c r="E38" i="38658"/>
  <c r="G38" s="1"/>
  <c r="G12" i="26"/>
  <c r="G17" i="38655"/>
  <c r="G36"/>
  <c r="J24" i="26"/>
  <c r="D39" i="19"/>
  <c r="D39" i="26"/>
  <c r="D28" i="19"/>
  <c r="D28" i="26"/>
  <c r="D16"/>
  <c r="G12" i="8"/>
  <c r="G43" i="10"/>
  <c r="G18"/>
  <c r="D32" i="9"/>
  <c r="J33" i="26"/>
  <c r="J44"/>
  <c r="G19" i="38655"/>
  <c r="J38" i="9"/>
  <c r="G19" i="54"/>
  <c r="J15" i="26"/>
  <c r="H50" i="18"/>
  <c r="D23" i="9"/>
  <c r="J13" i="26"/>
  <c r="B26" i="20"/>
  <c r="E38"/>
  <c r="E44"/>
  <c r="E45"/>
  <c r="B51" i="41"/>
  <c r="C51" s="1"/>
  <c r="J50" i="26"/>
  <c r="B26" i="19"/>
  <c r="E12" i="20"/>
  <c r="G51" i="54"/>
  <c r="G36"/>
  <c r="D34" i="27"/>
  <c r="D34" i="76" s="1"/>
  <c r="B34"/>
  <c r="E34" s="1"/>
  <c r="E44" i="18"/>
  <c r="D44" i="10"/>
  <c r="G13" i="26"/>
  <c r="G17"/>
  <c r="G16" i="38656"/>
  <c r="G25" i="10"/>
  <c r="D50" i="54"/>
  <c r="G39" i="8"/>
  <c r="F23" i="41"/>
  <c r="G23" s="1"/>
  <c r="J41" i="11"/>
  <c r="B41" i="20"/>
  <c r="G16" i="54"/>
  <c r="B39" i="18"/>
  <c r="D39" i="8"/>
  <c r="G31"/>
  <c r="G40" i="10"/>
  <c r="B17" i="40"/>
  <c r="D17" s="1"/>
  <c r="B40" i="19"/>
  <c r="D25" i="54"/>
  <c r="G37" i="26"/>
  <c r="G17" i="54"/>
  <c r="D21"/>
  <c r="D33" i="38656"/>
  <c r="F14" i="41"/>
  <c r="G14" s="1"/>
  <c r="F18"/>
  <c r="G18" s="1"/>
  <c r="E23" i="20"/>
  <c r="F35" i="41"/>
  <c r="G35" s="1"/>
  <c r="B16" i="40"/>
  <c r="D16" s="1"/>
  <c r="B41" i="41"/>
  <c r="B50"/>
  <c r="D37" i="9"/>
  <c r="D45"/>
  <c r="G37" i="10"/>
  <c r="J22" i="38655"/>
  <c r="B13" i="41"/>
  <c r="D35" i="27"/>
  <c r="D35" i="76" s="1"/>
  <c r="B35"/>
  <c r="E35" s="1"/>
  <c r="G44" i="38656"/>
  <c r="G12"/>
  <c r="G40"/>
  <c r="E36" i="20"/>
  <c r="J14" i="26"/>
  <c r="D28" i="11"/>
  <c r="B28" i="76"/>
  <c r="E28" s="1"/>
  <c r="D28" i="27"/>
  <c r="D28" i="76" s="1"/>
  <c r="B27" i="20"/>
  <c r="F32" i="41"/>
  <c r="G32" s="1"/>
  <c r="G28" i="11"/>
  <c r="J45" i="38655"/>
  <c r="G19" i="26"/>
  <c r="G23" i="11"/>
  <c r="G46" i="38656"/>
  <c r="B15" i="20"/>
  <c r="B23"/>
  <c r="G14" i="54"/>
  <c r="D12" i="27"/>
  <c r="D12" i="76" s="1"/>
  <c r="B12"/>
  <c r="B43" i="18"/>
  <c r="D43" i="8"/>
  <c r="D13" i="54"/>
  <c r="G25"/>
  <c r="G38" i="8"/>
  <c r="B31" i="18"/>
  <c r="D31" i="8"/>
  <c r="E36" i="18"/>
  <c r="D36" i="10"/>
  <c r="G42"/>
  <c r="B13" i="20"/>
  <c r="D21" i="38656"/>
  <c r="B17" i="19"/>
  <c r="B25"/>
  <c r="D24" i="9"/>
  <c r="D41" i="38656"/>
  <c r="D40" i="26"/>
  <c r="E26" i="38658"/>
  <c r="G26" s="1"/>
  <c r="G33" i="11"/>
  <c r="B24" i="76"/>
  <c r="E24" s="1"/>
  <c r="D24" i="27"/>
  <c r="D24" i="76" s="1"/>
  <c r="B34" i="20"/>
  <c r="G25" i="26"/>
  <c r="G13" i="38656"/>
  <c r="G21"/>
  <c r="B33" i="20"/>
  <c r="B19" i="41"/>
  <c r="G40" i="8"/>
  <c r="J17" i="38655"/>
  <c r="J44"/>
  <c r="J13" i="54"/>
  <c r="G38" i="11"/>
  <c r="D22" i="27"/>
  <c r="D22" i="76" s="1"/>
  <c r="B22"/>
  <c r="E22" s="1"/>
  <c r="F34" i="41"/>
  <c r="G34" s="1"/>
  <c r="G23" i="38656"/>
  <c r="G38"/>
  <c r="B46" i="39"/>
  <c r="G15" i="54"/>
  <c r="G35"/>
  <c r="G45"/>
  <c r="G28" i="26"/>
  <c r="E29" i="38658"/>
  <c r="D31" i="54"/>
  <c r="B25" i="20"/>
  <c r="J39" i="26"/>
  <c r="J41" i="38655"/>
  <c r="F16" i="41"/>
  <c r="G16" s="1"/>
  <c r="G46" i="11"/>
  <c r="D19" i="27"/>
  <c r="D19" i="76" s="1"/>
  <c r="B19"/>
  <c r="E19" s="1"/>
  <c r="D41" i="54"/>
  <c r="J33" i="11"/>
  <c r="D19" i="19"/>
  <c r="D19" i="26"/>
  <c r="E21" i="20"/>
  <c r="D27" i="19"/>
  <c r="G31" i="11"/>
  <c r="G32" i="10"/>
  <c r="G46"/>
  <c r="B37" i="19"/>
  <c r="E27" i="18"/>
  <c r="D36" i="11"/>
  <c r="G40"/>
  <c r="B45" i="19"/>
  <c r="J33" i="38655"/>
  <c r="F37" i="41"/>
  <c r="G37" s="1"/>
  <c r="D34" i="8"/>
  <c r="B34" i="18"/>
  <c r="B45" i="20"/>
  <c r="B36" i="41"/>
  <c r="J39" i="54"/>
  <c r="F12" i="41"/>
  <c r="G12" s="1"/>
  <c r="B44" i="76"/>
  <c r="E44" s="1"/>
  <c r="D44" i="27"/>
  <c r="D44" i="76" s="1"/>
  <c r="J40" i="11"/>
  <c r="J38" i="38655"/>
  <c r="G24" i="26"/>
  <c r="B18" i="41"/>
  <c r="B38" i="20"/>
  <c r="J51" i="38655"/>
  <c r="D11" i="38656"/>
  <c r="D24" i="26"/>
  <c r="D24" i="19"/>
  <c r="H25" i="18"/>
  <c r="G30"/>
  <c r="K30" i="38667"/>
  <c r="D21" i="41"/>
  <c r="C21"/>
  <c r="C44"/>
  <c r="D44"/>
  <c r="D37"/>
  <c r="C37"/>
  <c r="G29" i="76"/>
  <c r="F30" i="39"/>
  <c r="H30"/>
  <c r="D30"/>
  <c r="G30" i="20"/>
  <c r="C33" i="41"/>
  <c r="D33"/>
  <c r="D35" i="7"/>
  <c r="K12" i="3188"/>
  <c r="C12" i="5" s="1"/>
  <c r="F21" i="45"/>
  <c r="B30" i="18"/>
  <c r="F34" i="45"/>
  <c r="F28"/>
  <c r="B25" i="18"/>
  <c r="E34" i="20"/>
  <c r="G17" i="11"/>
  <c r="E12" i="18"/>
  <c r="D12" i="10"/>
  <c r="G13"/>
  <c r="E43" i="20"/>
  <c r="D19" i="11"/>
  <c r="G20" i="10"/>
  <c r="J21" i="11"/>
  <c r="G24"/>
  <c r="D25"/>
  <c r="D23" i="8"/>
  <c r="B23" i="18"/>
  <c r="D22" i="9"/>
  <c r="G43" i="8"/>
  <c r="G42"/>
  <c r="D36" i="9"/>
  <c r="J11" i="11"/>
  <c r="D26"/>
  <c r="D41" i="9"/>
  <c r="J43" i="38655"/>
  <c r="D27" i="10"/>
  <c r="E39" i="18"/>
  <c r="D39" i="10"/>
  <c r="H40" i="18"/>
  <c r="H45"/>
  <c r="D11" i="19"/>
  <c r="D11" i="26"/>
  <c r="D13"/>
  <c r="D13" i="19"/>
  <c r="J22" i="26"/>
  <c r="D38"/>
  <c r="D38" i="19"/>
  <c r="J12" i="38655"/>
  <c r="G16"/>
  <c r="G20"/>
  <c r="G24"/>
  <c r="G28"/>
  <c r="G40"/>
  <c r="B13" i="40"/>
  <c r="D13" s="1"/>
  <c r="B14" i="39"/>
  <c r="B21" i="40"/>
  <c r="D21" s="1"/>
  <c r="B22" i="39"/>
  <c r="B24"/>
  <c r="B26" i="40"/>
  <c r="D26" s="1"/>
  <c r="B33"/>
  <c r="D33" s="1"/>
  <c r="B41"/>
  <c r="D41" s="1"/>
  <c r="B46"/>
  <c r="D46" s="1"/>
  <c r="B11" i="41"/>
  <c r="E18" i="38658"/>
  <c r="G18" s="1"/>
  <c r="E22"/>
  <c r="G22" s="1"/>
  <c r="E28"/>
  <c r="E41"/>
  <c r="G41" s="1"/>
  <c r="E28" i="18"/>
  <c r="D28" i="10"/>
  <c r="E45" i="18"/>
  <c r="D45" i="10"/>
  <c r="H22" i="18"/>
  <c r="H32"/>
  <c r="J12" i="26"/>
  <c r="J42"/>
  <c r="G45" i="38655"/>
  <c r="B11" i="20"/>
  <c r="B40" i="39"/>
  <c r="B12"/>
  <c r="F11" i="41"/>
  <c r="B39" i="40"/>
  <c r="D39" s="1"/>
  <c r="G44" i="38655"/>
  <c r="B33" i="39"/>
  <c r="E46" i="38658"/>
  <c r="G11" i="26"/>
  <c r="J32"/>
  <c r="G34" i="38655"/>
  <c r="B12" i="20"/>
  <c r="J20" i="26"/>
  <c r="D46"/>
  <c r="D33"/>
  <c r="D18"/>
  <c r="D18" i="19"/>
  <c r="D51" i="38655"/>
  <c r="G51" i="19"/>
  <c r="D43" i="10"/>
  <c r="J17" i="11"/>
  <c r="D27" i="8"/>
  <c r="B27" i="18"/>
  <c r="D50" i="9"/>
  <c r="J40" i="26"/>
  <c r="G11" i="11"/>
  <c r="H44" i="18"/>
  <c r="B36" i="39"/>
  <c r="G33" i="8"/>
  <c r="D12" i="9"/>
  <c r="F38" i="41"/>
  <c r="G38" s="1"/>
  <c r="F42"/>
  <c r="G42" s="1"/>
  <c r="B45"/>
  <c r="F44"/>
  <c r="G44" s="1"/>
  <c r="B22" i="19"/>
  <c r="D40" i="38656"/>
  <c r="D27" i="11"/>
  <c r="J44"/>
  <c r="G33" i="26"/>
  <c r="J20" i="54"/>
  <c r="B21" i="76"/>
  <c r="D21" i="27"/>
  <c r="D21" i="76" s="1"/>
  <c r="F36" i="41"/>
  <c r="G36" s="1"/>
  <c r="G11" i="38656"/>
  <c r="G33"/>
  <c r="B21" i="20"/>
  <c r="D40" i="9"/>
  <c r="J24" i="54"/>
  <c r="D21" i="9"/>
  <c r="G34" i="10"/>
  <c r="J46" i="38655"/>
  <c r="J46" i="9"/>
  <c r="G41" i="54"/>
  <c r="G39" i="38655"/>
  <c r="D15" i="38656"/>
  <c r="D20"/>
  <c r="D23"/>
  <c r="D28"/>
  <c r="J39" i="38655"/>
  <c r="G51" i="38656"/>
  <c r="B12" i="41"/>
  <c r="E16" i="20"/>
  <c r="F22" i="41"/>
  <c r="G22" s="1"/>
  <c r="E32" i="20"/>
  <c r="G51" i="38655"/>
  <c r="D45" i="38656"/>
  <c r="E46" i="20"/>
  <c r="E51"/>
  <c r="B17" i="39"/>
  <c r="B21" i="18"/>
  <c r="D21" i="8"/>
  <c r="D17"/>
  <c r="J35" i="11"/>
  <c r="G39" i="10"/>
  <c r="G44"/>
  <c r="D31" i="11"/>
  <c r="F50" i="41"/>
  <c r="G50" s="1"/>
  <c r="E50" i="18"/>
  <c r="D50" i="10"/>
  <c r="D16" i="38656"/>
  <c r="E28" i="20"/>
  <c r="J31" i="26"/>
  <c r="B28" i="19"/>
  <c r="G51" i="10"/>
  <c r="B24" i="19"/>
  <c r="J37" i="11"/>
  <c r="G23" i="26"/>
  <c r="G27"/>
  <c r="E43" i="18"/>
  <c r="D44" i="54"/>
  <c r="J40"/>
  <c r="J34"/>
  <c r="B15" i="39"/>
  <c r="G39" i="54"/>
  <c r="D51"/>
  <c r="J42" i="11"/>
  <c r="D42"/>
  <c r="G26" i="10"/>
  <c r="F20" i="41"/>
  <c r="G20" s="1"/>
  <c r="D33" i="54"/>
  <c r="J42"/>
  <c r="B28" i="20"/>
  <c r="H13" i="18"/>
  <c r="H51"/>
  <c r="D33" i="11"/>
  <c r="D41"/>
  <c r="D51" i="38656"/>
  <c r="J20" i="38655"/>
  <c r="B13" i="19"/>
  <c r="E24" i="20"/>
  <c r="J31" i="38655"/>
  <c r="D51" i="19"/>
  <c r="D51" i="26"/>
  <c r="D15" i="27"/>
  <c r="D15" i="76" s="1"/>
  <c r="B15"/>
  <c r="E15" s="1"/>
  <c r="E18" i="20"/>
  <c r="G34" i="26"/>
  <c r="G20" i="38656"/>
  <c r="G35"/>
  <c r="B31" i="20"/>
  <c r="B26" i="41"/>
  <c r="G23" i="54"/>
  <c r="G34"/>
  <c r="J13" i="38655"/>
  <c r="G42" i="38656"/>
  <c r="G45"/>
  <c r="D42" i="9"/>
  <c r="D14" i="38656"/>
  <c r="B33" i="19"/>
  <c r="G32" i="38656"/>
  <c r="G15" i="26"/>
  <c r="G22" i="38656"/>
  <c r="G36"/>
  <c r="J20" i="11"/>
  <c r="G46" i="54"/>
  <c r="D42"/>
  <c r="B17" i="20"/>
  <c r="B50"/>
  <c r="G38" i="54"/>
  <c r="G51" i="11"/>
  <c r="B21" i="19"/>
  <c r="E17" i="20"/>
  <c r="E31"/>
  <c r="B17" i="41"/>
  <c r="G27" i="11"/>
  <c r="G41"/>
  <c r="B34" i="19"/>
  <c r="G41" i="26"/>
  <c r="D40" i="8"/>
  <c r="B40" i="18"/>
  <c r="G37" i="11"/>
  <c r="F25" i="41"/>
  <c r="G25" s="1"/>
  <c r="D32" i="11"/>
  <c r="G21" i="26"/>
  <c r="D27" i="9"/>
  <c r="D15" i="8"/>
  <c r="B15" i="18"/>
  <c r="D45" i="54"/>
  <c r="J46"/>
  <c r="D41" i="27"/>
  <c r="D41" i="76" s="1"/>
  <c r="B41"/>
  <c r="E41" s="1"/>
  <c r="D15" i="54"/>
  <c r="E22" i="20"/>
  <c r="B35" i="41"/>
  <c r="G21" i="11"/>
  <c r="D38" i="9"/>
  <c r="H38" i="18"/>
  <c r="E50" i="20"/>
  <c r="F33" i="41"/>
  <c r="G33" s="1"/>
  <c r="G27" i="10"/>
  <c r="D48" i="70"/>
  <c r="E30" i="5"/>
  <c r="C30" i="41"/>
  <c r="D30"/>
  <c r="D46" i="7"/>
  <c r="D39" i="11"/>
  <c r="E25" i="20"/>
  <c r="D38" i="7"/>
  <c r="D45" i="11"/>
  <c r="F22" i="45"/>
  <c r="J32" i="9"/>
  <c r="D46"/>
  <c r="G51" i="8"/>
  <c r="J18" i="11"/>
  <c r="J17" i="54"/>
  <c r="E21" i="18"/>
  <c r="D21" i="10"/>
  <c r="D43" i="9"/>
  <c r="G35" i="8"/>
  <c r="D38"/>
  <c r="B38" i="18"/>
  <c r="D18" i="9"/>
  <c r="H27" i="18"/>
  <c r="H39"/>
  <c r="D21" i="26"/>
  <c r="D21" i="19"/>
  <c r="D27" i="26"/>
  <c r="J37"/>
  <c r="G30" i="38658"/>
  <c r="G32" i="38655"/>
  <c r="G42"/>
  <c r="B19" i="39"/>
  <c r="B20"/>
  <c r="B27" i="40"/>
  <c r="B36"/>
  <c r="D36" s="1"/>
  <c r="B40"/>
  <c r="D40" s="1"/>
  <c r="E13" i="38658"/>
  <c r="E14"/>
  <c r="F13" i="41"/>
  <c r="G13" s="1"/>
  <c r="E25" i="38658"/>
  <c r="G25" s="1"/>
  <c r="E34"/>
  <c r="G34" s="1"/>
  <c r="E44"/>
  <c r="G44" s="1"/>
  <c r="H18" i="18"/>
  <c r="H26"/>
  <c r="H31"/>
  <c r="H36"/>
  <c r="H42"/>
  <c r="D11" i="27"/>
  <c r="D11" i="76" s="1"/>
  <c r="B11"/>
  <c r="E11" s="1"/>
  <c r="J23" i="26"/>
  <c r="B14" i="41"/>
  <c r="H17" i="18"/>
  <c r="B13" i="39"/>
  <c r="B39"/>
  <c r="B45"/>
  <c r="B27"/>
  <c r="D27" s="1"/>
  <c r="G11" i="54"/>
  <c r="B11" i="40"/>
  <c r="J11" i="26"/>
  <c r="D11" i="9"/>
  <c r="E32" i="18"/>
  <c r="D32" i="10"/>
  <c r="B45" i="40"/>
  <c r="D45" s="1"/>
  <c r="D11" i="8"/>
  <c r="B11" i="18"/>
  <c r="D26" i="10"/>
  <c r="J25" i="54"/>
  <c r="B22" i="18"/>
  <c r="D22" i="8"/>
  <c r="D25" i="9"/>
  <c r="G22" i="11"/>
  <c r="J25" i="26"/>
  <c r="G13" i="38655"/>
  <c r="J18" i="26"/>
  <c r="D44"/>
  <c r="D44" i="19"/>
  <c r="D35" i="26"/>
  <c r="D35" i="19"/>
  <c r="D20" i="26"/>
  <c r="D20" i="19"/>
  <c r="G50" i="38655"/>
  <c r="G15" i="8"/>
  <c r="J16" i="54"/>
  <c r="G27" i="8"/>
  <c r="D16"/>
  <c r="J28" i="26"/>
  <c r="G25" i="38655"/>
  <c r="H34" i="18"/>
  <c r="B35"/>
  <c r="D35" i="8"/>
  <c r="B50" i="18"/>
  <c r="D50" i="8"/>
  <c r="B23" i="39"/>
  <c r="B20" i="20"/>
  <c r="B22"/>
  <c r="G43" i="11"/>
  <c r="E37" i="18"/>
  <c r="D37" i="10"/>
  <c r="G27" i="38655"/>
  <c r="E40" i="20"/>
  <c r="D26" i="8"/>
  <c r="B26" i="18"/>
  <c r="F40" i="41"/>
  <c r="G40" s="1"/>
  <c r="B40"/>
  <c r="B14" i="19"/>
  <c r="D25" i="27"/>
  <c r="D25" i="76" s="1"/>
  <c r="B25"/>
  <c r="E25" s="1"/>
  <c r="F27" i="41"/>
  <c r="G27" s="1"/>
  <c r="D14" i="8"/>
  <c r="B14" i="18"/>
  <c r="J37" i="54"/>
  <c r="D14" i="27"/>
  <c r="D14" i="76" s="1"/>
  <c r="B14"/>
  <c r="E14" s="1"/>
  <c r="B40" i="20"/>
  <c r="G24" i="38656"/>
  <c r="B19" i="20"/>
  <c r="B44" i="39"/>
  <c r="G34" i="8"/>
  <c r="D39" i="54"/>
  <c r="D26" i="27"/>
  <c r="D26" i="76" s="1"/>
  <c r="B26"/>
  <c r="G41" i="38656"/>
  <c r="D34" i="54"/>
  <c r="B15" i="19"/>
  <c r="J15" i="54"/>
  <c r="G32"/>
  <c r="J14" i="38655"/>
  <c r="J22" i="54"/>
  <c r="D28"/>
  <c r="D36" i="38656"/>
  <c r="D46" i="54"/>
  <c r="B16" i="20"/>
  <c r="E15"/>
  <c r="E19"/>
  <c r="F31" i="41"/>
  <c r="G31" s="1"/>
  <c r="E42" i="20"/>
  <c r="J24" i="9"/>
  <c r="G28" i="54"/>
  <c r="D42" i="8"/>
  <c r="B42" i="18"/>
  <c r="G35" i="10"/>
  <c r="J35" i="38655"/>
  <c r="J31" i="54"/>
  <c r="G15" i="38656"/>
  <c r="F19" i="41"/>
  <c r="G19" s="1"/>
  <c r="E35" i="18"/>
  <c r="D35" i="10"/>
  <c r="E41" i="18"/>
  <c r="D41" i="10"/>
  <c r="D31" i="26"/>
  <c r="D31" i="19"/>
  <c r="J45" i="26"/>
  <c r="B41" i="39"/>
  <c r="F28" i="41"/>
  <c r="G28" s="1"/>
  <c r="G34" i="11"/>
  <c r="D12" i="19"/>
  <c r="D12" i="26"/>
  <c r="D35" i="54"/>
  <c r="D31" i="27"/>
  <c r="D31" i="76" s="1"/>
  <c r="B31"/>
  <c r="E31" s="1"/>
  <c r="J50" i="54"/>
  <c r="J24" i="38655"/>
  <c r="B37" i="40"/>
  <c r="D37" s="1"/>
  <c r="J45" i="54"/>
  <c r="B11" i="19"/>
  <c r="B21" i="39"/>
  <c r="B37" i="20"/>
  <c r="J25" i="9"/>
  <c r="J38" i="54"/>
  <c r="G26" i="26"/>
  <c r="F41" i="41"/>
  <c r="G41" s="1"/>
  <c r="J32" i="11"/>
  <c r="G41" i="10"/>
  <c r="B46" i="19"/>
  <c r="G50" i="38656"/>
  <c r="G25"/>
  <c r="B20" i="19"/>
  <c r="E39" i="20"/>
  <c r="G33" i="10"/>
  <c r="E51" i="18"/>
  <c r="D51" i="10"/>
  <c r="J51" i="26"/>
  <c r="B42" i="76"/>
  <c r="E42" s="1"/>
  <c r="D42" i="27"/>
  <c r="D42" i="76" s="1"/>
  <c r="E33" i="20"/>
  <c r="D26" i="19"/>
  <c r="D26" i="26"/>
  <c r="B27" i="19"/>
  <c r="D45" i="26"/>
  <c r="B35" i="20"/>
  <c r="G19" i="38656"/>
  <c r="G31"/>
  <c r="G42" i="26"/>
  <c r="B20" i="41"/>
  <c r="G23" i="10"/>
  <c r="J28" i="11"/>
  <c r="G44" i="26"/>
  <c r="G13" i="8"/>
  <c r="B19" i="19"/>
  <c r="B50" i="76"/>
  <c r="E50" s="1"/>
  <c r="D50" i="27"/>
  <c r="D50" i="76" s="1"/>
  <c r="D18" i="54"/>
  <c r="G18" i="38656"/>
  <c r="G34"/>
  <c r="B23" i="41"/>
  <c r="D37" i="54"/>
  <c r="G35" i="26"/>
  <c r="G31" i="10"/>
  <c r="B51" i="76"/>
  <c r="E51" s="1"/>
  <c r="D51" i="27"/>
  <c r="D51" i="76" s="1"/>
  <c r="J28" i="54"/>
  <c r="E43" i="38658"/>
  <c r="F15" i="41"/>
  <c r="G15" s="1"/>
  <c r="B18" i="19"/>
  <c r="D39" i="27"/>
  <c r="D39" i="76" s="1"/>
  <c r="B39"/>
  <c r="E39" s="1"/>
  <c r="D37" i="19"/>
  <c r="E11" i="20"/>
  <c r="G20" i="54"/>
  <c r="G38" i="10"/>
  <c r="D45" i="19"/>
  <c r="D25" i="38656"/>
  <c r="E22" i="18"/>
  <c r="D22" i="10"/>
  <c r="G36" i="11"/>
  <c r="B42" i="19"/>
  <c r="F21" i="41"/>
  <c r="G21" s="1"/>
  <c r="J33" i="54"/>
  <c r="D19"/>
  <c r="D28" i="8"/>
  <c r="B28" i="18"/>
  <c r="D32" i="54"/>
  <c r="E14" i="20"/>
  <c r="J25" i="38655"/>
  <c r="B51" i="20"/>
  <c r="D16" i="54"/>
  <c r="D19" i="8"/>
  <c r="B19" i="18"/>
  <c r="B31" i="41"/>
  <c r="G50" i="11"/>
  <c r="J19" i="54"/>
  <c r="D27"/>
  <c r="D34" i="11"/>
  <c r="D13" i="27"/>
  <c r="D13" i="76" s="1"/>
  <c r="B13"/>
  <c r="E13" s="1"/>
  <c r="E48" i="15"/>
  <c r="E48" i="41" s="1"/>
  <c r="E11" i="16"/>
  <c r="E48" s="1"/>
  <c r="E11" i="41"/>
  <c r="C25"/>
  <c r="D25"/>
  <c r="C34"/>
  <c r="D34"/>
  <c r="F48" i="52"/>
  <c r="G30" i="76"/>
  <c r="C16" i="41"/>
  <c r="D16"/>
  <c r="C15"/>
  <c r="D15"/>
  <c r="C28"/>
  <c r="D28"/>
  <c r="D31" i="7"/>
  <c r="K11" i="3188"/>
  <c r="F20" i="45"/>
  <c r="F12"/>
  <c r="D24" i="7"/>
  <c r="F33" i="45"/>
  <c r="D32" i="7"/>
  <c r="F13" i="45"/>
  <c r="F31"/>
  <c r="F15"/>
  <c r="D40" i="11"/>
  <c r="F26" i="45"/>
  <c r="F51"/>
  <c r="G16" i="11"/>
  <c r="H43" i="18"/>
  <c r="G43" i="26"/>
  <c r="G14" i="11"/>
  <c r="E23" i="18"/>
  <c r="D23" i="10"/>
  <c r="G24"/>
  <c r="D35" i="9"/>
  <c r="D23" i="11"/>
  <c r="G21" i="54"/>
  <c r="D32" i="8"/>
  <c r="B32" i="18"/>
  <c r="J13" i="9"/>
  <c r="D16"/>
  <c r="D36" i="8"/>
  <c r="B36" i="18"/>
  <c r="D43" i="38656"/>
  <c r="D16" i="11"/>
  <c r="G16" i="10"/>
  <c r="D21" i="11"/>
  <c r="G18"/>
  <c r="G45" i="8"/>
  <c r="E31" i="18"/>
  <c r="D31" i="10"/>
  <c r="H14" i="18"/>
  <c r="H37"/>
  <c r="D17" i="26"/>
  <c r="D17" i="19"/>
  <c r="D25" i="26"/>
  <c r="D25" i="19"/>
  <c r="D36"/>
  <c r="D36" i="26"/>
  <c r="G11" i="38655"/>
  <c r="G12"/>
  <c r="G14"/>
  <c r="G18"/>
  <c r="G22"/>
  <c r="G26"/>
  <c r="G31"/>
  <c r="G35"/>
  <c r="G41"/>
  <c r="G47" i="38658"/>
  <c r="B14" i="40"/>
  <c r="B15"/>
  <c r="D15" s="1"/>
  <c r="B19"/>
  <c r="D19" s="1"/>
  <c r="B22"/>
  <c r="D22" s="1"/>
  <c r="B24"/>
  <c r="D24" s="1"/>
  <c r="B25" i="39"/>
  <c r="B26"/>
  <c r="B28"/>
  <c r="B35" i="40"/>
  <c r="D35" s="1"/>
  <c r="B38"/>
  <c r="D38" s="1"/>
  <c r="B44"/>
  <c r="D44" s="1"/>
  <c r="B50" i="39"/>
  <c r="E17" i="38658"/>
  <c r="E21"/>
  <c r="E24"/>
  <c r="E27"/>
  <c r="E33"/>
  <c r="E36"/>
  <c r="E40"/>
  <c r="G40" s="1"/>
  <c r="J31" i="11"/>
  <c r="H16" i="18"/>
  <c r="H33"/>
  <c r="J17" i="26"/>
  <c r="J27"/>
  <c r="J38"/>
  <c r="B11" i="39"/>
  <c r="B34"/>
  <c r="E19" i="38658"/>
  <c r="D50" i="19"/>
  <c r="D50" i="26"/>
  <c r="H11" i="18"/>
  <c r="E33"/>
  <c r="D33" i="10"/>
  <c r="E24" i="18"/>
  <c r="D24" i="10"/>
  <c r="G13" i="54"/>
  <c r="D28" i="9"/>
  <c r="H21" i="18"/>
  <c r="G43" i="38655"/>
  <c r="D12" i="8"/>
  <c r="B12" i="18"/>
  <c r="J21" i="26"/>
  <c r="J34"/>
  <c r="G23" i="38655"/>
  <c r="J16" i="26"/>
  <c r="J41"/>
  <c r="G21" i="38655"/>
  <c r="D37" i="26"/>
  <c r="D22" i="19"/>
  <c r="D22" i="26"/>
  <c r="D14"/>
  <c r="D14" i="19"/>
  <c r="G17" i="8"/>
  <c r="G32"/>
  <c r="D24"/>
  <c r="B24" i="18"/>
  <c r="B24" i="20"/>
  <c r="G46" i="8"/>
  <c r="G13" i="11"/>
  <c r="G18" i="8"/>
  <c r="J27" i="54"/>
  <c r="D44" i="9"/>
  <c r="G15" i="38655"/>
  <c r="H19" i="18"/>
  <c r="F39" i="41"/>
  <c r="G39" s="1"/>
  <c r="F51"/>
  <c r="D18" i="27"/>
  <c r="D18" i="76" s="1"/>
  <c r="B18"/>
  <c r="E20" i="20"/>
  <c r="D20" i="54"/>
  <c r="J39" i="11"/>
  <c r="G45" i="26"/>
  <c r="J19" i="38655"/>
  <c r="B42" i="41"/>
  <c r="G20" i="8"/>
  <c r="B38" i="76"/>
  <c r="E38" s="1"/>
  <c r="D38" i="27"/>
  <c r="D38" i="76" s="1"/>
  <c r="J35" i="54"/>
  <c r="B18" i="39"/>
  <c r="B38" i="41"/>
  <c r="J26" i="9"/>
  <c r="G19" i="8"/>
  <c r="B36" i="19"/>
  <c r="F26" i="41"/>
  <c r="G26" s="1"/>
  <c r="J45" i="11"/>
  <c r="G20" i="26"/>
  <c r="B46" i="41"/>
  <c r="J18" i="54"/>
  <c r="D19" i="9"/>
  <c r="D38" i="54"/>
  <c r="G45" i="10"/>
  <c r="E40" i="18"/>
  <c r="D40" i="10"/>
  <c r="G12" i="54"/>
  <c r="B23" i="19"/>
  <c r="J26" i="54"/>
  <c r="J26" i="38655"/>
  <c r="D26" i="54"/>
  <c r="E41" i="20"/>
  <c r="D12" i="54"/>
  <c r="B18" i="20"/>
  <c r="G27" i="54"/>
  <c r="D46" i="8"/>
  <c r="B46" i="18"/>
  <c r="E23" i="38658"/>
  <c r="G23" s="1"/>
  <c r="J46" i="11"/>
  <c r="D24" i="38656"/>
  <c r="B44" i="20"/>
  <c r="D17" i="54"/>
  <c r="E17" i="76"/>
  <c r="B39" i="19"/>
  <c r="J50" i="38655"/>
  <c r="J26" i="26"/>
  <c r="D42"/>
  <c r="D42" i="19"/>
  <c r="B32" i="40"/>
  <c r="D32" s="1"/>
  <c r="J28" i="38655"/>
  <c r="J27"/>
  <c r="E34" i="18"/>
  <c r="D34" i="10"/>
  <c r="G28"/>
  <c r="G37" i="38656"/>
  <c r="G25" i="11"/>
  <c r="J36" i="54"/>
  <c r="D31" i="9"/>
  <c r="J51" i="11"/>
  <c r="D35"/>
  <c r="G14" i="26"/>
  <c r="G21" i="10"/>
  <c r="E26" i="20"/>
  <c r="G46" i="26"/>
  <c r="B36" i="20"/>
  <c r="J24" i="11"/>
  <c r="J14" i="54"/>
  <c r="G16" i="26"/>
  <c r="E37" i="20"/>
  <c r="E48" i="38658"/>
  <c r="E25" i="18"/>
  <c r="D25" i="10"/>
  <c r="J32" i="54"/>
  <c r="G39" i="11"/>
  <c r="G45"/>
  <c r="B41" i="19"/>
  <c r="G18" i="26"/>
  <c r="B16" i="39"/>
  <c r="D23" i="54"/>
  <c r="J19" i="26"/>
  <c r="G32" i="11"/>
  <c r="J23" i="54"/>
  <c r="E52" i="38658"/>
  <c r="D34" i="38656"/>
  <c r="G40" i="26"/>
  <c r="G17" i="38656"/>
  <c r="G26"/>
  <c r="G39"/>
  <c r="J40" i="38655"/>
  <c r="B27" i="41"/>
  <c r="G44" i="54"/>
  <c r="G22"/>
  <c r="B14" i="20"/>
  <c r="G33" i="54"/>
  <c r="G50"/>
  <c r="G14" i="38656"/>
  <c r="G28"/>
  <c r="J42" i="38655"/>
  <c r="B38" i="39"/>
  <c r="G19" i="10"/>
  <c r="J41" i="54"/>
  <c r="G37"/>
  <c r="G31" i="26"/>
  <c r="B39" i="41"/>
  <c r="B24"/>
  <c r="B31" i="19"/>
  <c r="D40" i="54"/>
  <c r="E37" i="38658"/>
  <c r="B44" i="19"/>
  <c r="D33"/>
  <c r="B39" i="20"/>
  <c r="G40" i="54"/>
  <c r="G36" i="10"/>
  <c r="G50"/>
  <c r="B38" i="19"/>
  <c r="G22" i="26"/>
  <c r="D37" i="8"/>
  <c r="B37" i="18"/>
  <c r="G42" i="11"/>
  <c r="D32" i="19"/>
  <c r="G24" i="54"/>
  <c r="G38" i="26"/>
  <c r="B51" i="39"/>
  <c r="H51" s="1"/>
  <c r="G42" i="54"/>
  <c r="G26" i="8"/>
  <c r="G44" i="11"/>
  <c r="B50" i="19"/>
  <c r="D22" i="54"/>
  <c r="B32" i="41"/>
  <c r="B32" i="19"/>
  <c r="B42" i="20"/>
  <c r="E46" i="18"/>
  <c r="D46" i="10"/>
  <c r="J35" i="26"/>
  <c r="G39"/>
  <c r="B22" i="41"/>
  <c r="J51" i="54"/>
  <c r="B51" i="19"/>
  <c r="B35"/>
  <c r="B32" i="20"/>
  <c r="D24" i="54"/>
  <c r="D30" i="38655"/>
  <c r="G30" i="19"/>
  <c r="F30"/>
  <c r="D30" i="20"/>
  <c r="J48"/>
  <c r="H54" i="23"/>
  <c r="H48" i="7"/>
  <c r="G48"/>
  <c r="I48"/>
  <c r="F48"/>
  <c r="D22"/>
  <c r="D50" i="11"/>
  <c r="D21" i="7"/>
  <c r="D45"/>
  <c r="D37"/>
  <c r="D27"/>
  <c r="D44" i="11"/>
  <c r="F45" i="45"/>
  <c r="F36"/>
  <c r="B16" i="19"/>
  <c r="I32" i="38658" l="1"/>
  <c r="I37" i="45"/>
  <c r="G37" i="44" s="1"/>
  <c r="E37" i="42" s="1"/>
  <c r="I35" i="45"/>
  <c r="G35" s="1"/>
  <c r="I40"/>
  <c r="G40" s="1"/>
  <c r="I23"/>
  <c r="I23" i="44" s="1"/>
  <c r="F23" i="42" s="1"/>
  <c r="I19" i="45"/>
  <c r="E19" s="1"/>
  <c r="H19" i="42" s="1"/>
  <c r="G18" i="44"/>
  <c r="E18" i="42" s="1"/>
  <c r="G18" i="45"/>
  <c r="E38"/>
  <c r="H38" i="42" s="1"/>
  <c r="G38" i="44"/>
  <c r="E38" i="42" s="1"/>
  <c r="I18" i="43"/>
  <c r="B18" i="42" s="1"/>
  <c r="E18" i="45"/>
  <c r="H18" i="42" s="1"/>
  <c r="E18" i="44"/>
  <c r="D18" i="42" s="1"/>
  <c r="C18" i="44"/>
  <c r="C18" i="42" s="1"/>
  <c r="C18" i="45"/>
  <c r="G18" i="42" s="1"/>
  <c r="I32" i="45"/>
  <c r="C32" i="44" s="1"/>
  <c r="C32" i="42" s="1"/>
  <c r="E50" i="45"/>
  <c r="H50" i="42" s="1"/>
  <c r="I45" i="45"/>
  <c r="G45" i="44" s="1"/>
  <c r="E45" i="42" s="1"/>
  <c r="I17" i="45"/>
  <c r="I43"/>
  <c r="I27"/>
  <c r="I27" i="43" s="1"/>
  <c r="B27" i="42" s="1"/>
  <c r="I14" i="45"/>
  <c r="G14" s="1"/>
  <c r="G42" i="44"/>
  <c r="E42" i="42" s="1"/>
  <c r="C44" i="45"/>
  <c r="G44" i="42" s="1"/>
  <c r="E41" i="44"/>
  <c r="D41" i="42" s="1"/>
  <c r="E41" i="45"/>
  <c r="H41" i="42" s="1"/>
  <c r="G24" i="44"/>
  <c r="E24" i="42" s="1"/>
  <c r="C16" i="44"/>
  <c r="C16" i="42" s="1"/>
  <c r="E24" i="45"/>
  <c r="H24" i="42" s="1"/>
  <c r="E25" i="45"/>
  <c r="H25" i="42" s="1"/>
  <c r="I25" i="44"/>
  <c r="F25" i="42" s="1"/>
  <c r="I16" i="43"/>
  <c r="B16" i="42" s="1"/>
  <c r="E25" i="44"/>
  <c r="D25" i="42" s="1"/>
  <c r="G50" i="44"/>
  <c r="E50" i="42" s="1"/>
  <c r="G44" i="44"/>
  <c r="E44" i="42" s="1"/>
  <c r="I50" i="44"/>
  <c r="F50" i="42" s="1"/>
  <c r="C42" i="44"/>
  <c r="C42" i="42" s="1"/>
  <c r="C41" i="44"/>
  <c r="C41" i="42" s="1"/>
  <c r="G41" i="45"/>
  <c r="G50"/>
  <c r="G41" i="44"/>
  <c r="E41" i="42" s="1"/>
  <c r="C50" i="44"/>
  <c r="C50" i="42" s="1"/>
  <c r="I41" i="44"/>
  <c r="F41" i="42" s="1"/>
  <c r="C41" i="45"/>
  <c r="G41" i="42" s="1"/>
  <c r="E42" i="45"/>
  <c r="H42" i="42" s="1"/>
  <c r="E44" i="45"/>
  <c r="H44" i="42" s="1"/>
  <c r="I50" i="43"/>
  <c r="B50" i="42" s="1"/>
  <c r="G25" i="44"/>
  <c r="E25" i="42" s="1"/>
  <c r="E16" i="44"/>
  <c r="D16" i="42" s="1"/>
  <c r="I25" i="43"/>
  <c r="B25" i="42" s="1"/>
  <c r="E16" i="45"/>
  <c r="H16" i="42" s="1"/>
  <c r="G16" i="44"/>
  <c r="E16" i="42" s="1"/>
  <c r="I16" i="44"/>
  <c r="F16" i="42" s="1"/>
  <c r="C25" i="45"/>
  <c r="G25" i="42" s="1"/>
  <c r="C16" i="45"/>
  <c r="G16" i="42" s="1"/>
  <c r="C25" i="44"/>
  <c r="C25" i="42" s="1"/>
  <c r="C50" i="45"/>
  <c r="G50" i="42" s="1"/>
  <c r="E42" i="44"/>
  <c r="D42" i="42" s="1"/>
  <c r="G42" i="45"/>
  <c r="I42" i="44"/>
  <c r="F42" i="42" s="1"/>
  <c r="I42" i="43"/>
  <c r="B42" i="42" s="1"/>
  <c r="G42" i="38658"/>
  <c r="I42" s="1"/>
  <c r="F48" i="45"/>
  <c r="G23" i="44"/>
  <c r="E23" i="42" s="1"/>
  <c r="I46" i="45"/>
  <c r="J48" i="11"/>
  <c r="D48" i="38656"/>
  <c r="G29" i="38658"/>
  <c r="I29" s="1"/>
  <c r="G11" i="76"/>
  <c r="F32" i="19"/>
  <c r="G13" i="76"/>
  <c r="G43" i="18"/>
  <c r="K43" i="38667"/>
  <c r="F33" i="19"/>
  <c r="G27" i="18"/>
  <c r="K27" i="38667"/>
  <c r="J48" i="9"/>
  <c r="D36" i="54"/>
  <c r="G26"/>
  <c r="J12"/>
  <c r="C39" i="44"/>
  <c r="C39" i="42" s="1"/>
  <c r="E39" i="44"/>
  <c r="D39" i="42" s="1"/>
  <c r="I39" i="43"/>
  <c r="B39" i="42" s="1"/>
  <c r="C39" i="45"/>
  <c r="G39" i="42" s="1"/>
  <c r="I39" i="44"/>
  <c r="F39" i="42" s="1"/>
  <c r="I36" i="45"/>
  <c r="G36" s="1"/>
  <c r="D32" i="20"/>
  <c r="D50" i="38656"/>
  <c r="D39" i="20"/>
  <c r="C24" i="41"/>
  <c r="D24"/>
  <c r="C39"/>
  <c r="D39"/>
  <c r="D14" i="20"/>
  <c r="D16" i="39"/>
  <c r="F16"/>
  <c r="H16"/>
  <c r="K40" i="38667"/>
  <c r="G40" i="18"/>
  <c r="C38" i="41"/>
  <c r="D38"/>
  <c r="D24" i="20"/>
  <c r="F44" i="38659"/>
  <c r="I44" i="38658"/>
  <c r="B48" i="39"/>
  <c r="F11"/>
  <c r="H11"/>
  <c r="D11"/>
  <c r="E16" i="5"/>
  <c r="H26" i="39"/>
  <c r="D26"/>
  <c r="F26"/>
  <c r="D45" i="38655"/>
  <c r="G45" i="19"/>
  <c r="F25"/>
  <c r="E14" i="5"/>
  <c r="D32" i="18"/>
  <c r="J32" i="38667"/>
  <c r="K23"/>
  <c r="G23" i="18"/>
  <c r="I33" i="45"/>
  <c r="G33" s="1"/>
  <c r="D31" i="41"/>
  <c r="C31"/>
  <c r="D19" i="18"/>
  <c r="J19" i="38667"/>
  <c r="D16" i="27"/>
  <c r="D16" i="76" s="1"/>
  <c r="B16"/>
  <c r="E16" s="1"/>
  <c r="G39"/>
  <c r="G51"/>
  <c r="D23" i="41"/>
  <c r="C23"/>
  <c r="D25" i="38655"/>
  <c r="G25" i="19"/>
  <c r="B48"/>
  <c r="F12"/>
  <c r="H41" i="39"/>
  <c r="D41"/>
  <c r="F41"/>
  <c r="F31" i="19"/>
  <c r="G41" i="18"/>
  <c r="K41" i="38667"/>
  <c r="G19" i="20"/>
  <c r="D16"/>
  <c r="D40" i="41"/>
  <c r="C40"/>
  <c r="J26" i="38667"/>
  <c r="D26" i="18"/>
  <c r="G37"/>
  <c r="K37" i="38667"/>
  <c r="D22" i="20"/>
  <c r="D23" i="39"/>
  <c r="F23"/>
  <c r="H23"/>
  <c r="E34" i="5"/>
  <c r="F35" i="19"/>
  <c r="D34" i="38655"/>
  <c r="G34" i="19"/>
  <c r="D48" i="9"/>
  <c r="I38" i="38658"/>
  <c r="F38" i="38659"/>
  <c r="H45" i="39"/>
  <c r="D45"/>
  <c r="F45"/>
  <c r="F13"/>
  <c r="H13"/>
  <c r="D13"/>
  <c r="E17" i="5"/>
  <c r="D14" i="41"/>
  <c r="C14"/>
  <c r="E42" i="5"/>
  <c r="E31"/>
  <c r="E18"/>
  <c r="D39" i="38655"/>
  <c r="G39" i="19"/>
  <c r="D28" i="38655"/>
  <c r="G28" i="19"/>
  <c r="D20" i="38655"/>
  <c r="G20" i="19"/>
  <c r="G25" i="20"/>
  <c r="E38" i="5"/>
  <c r="D35" i="41"/>
  <c r="C35"/>
  <c r="G22" i="20"/>
  <c r="G41" i="76"/>
  <c r="D15" i="18"/>
  <c r="J15" i="38667"/>
  <c r="J23" i="38655"/>
  <c r="J34" i="11"/>
  <c r="D17" i="41"/>
  <c r="C17"/>
  <c r="G17" i="20"/>
  <c r="D50"/>
  <c r="D17"/>
  <c r="D26" i="41"/>
  <c r="C26"/>
  <c r="G15" i="76"/>
  <c r="F51" i="19"/>
  <c r="G24" i="20"/>
  <c r="E51" i="5"/>
  <c r="D28" i="20"/>
  <c r="D17" i="38655"/>
  <c r="G17" i="19"/>
  <c r="G28" i="20"/>
  <c r="D27" i="18"/>
  <c r="J27" i="38667"/>
  <c r="I51" i="19"/>
  <c r="D12" i="39"/>
  <c r="F12"/>
  <c r="H12"/>
  <c r="D12" i="38655"/>
  <c r="G12" i="19"/>
  <c r="G45" i="18"/>
  <c r="K45" i="38667"/>
  <c r="D24" i="39"/>
  <c r="F24"/>
  <c r="H24"/>
  <c r="D37" i="38655"/>
  <c r="G37" i="19"/>
  <c r="F38"/>
  <c r="D48" i="26"/>
  <c r="E45" i="5"/>
  <c r="D25" i="18"/>
  <c r="J25" i="38667"/>
  <c r="F24" i="19"/>
  <c r="D38" i="20"/>
  <c r="J38" i="11"/>
  <c r="D46" i="39"/>
  <c r="F46"/>
  <c r="H46"/>
  <c r="G22" i="76"/>
  <c r="G24"/>
  <c r="G15" i="19"/>
  <c r="D15" i="38655"/>
  <c r="D15" i="20"/>
  <c r="C50" i="41"/>
  <c r="D50"/>
  <c r="G23" i="20"/>
  <c r="G44" i="18"/>
  <c r="K44" i="38667"/>
  <c r="K20"/>
  <c r="G20" i="18"/>
  <c r="E24" i="5"/>
  <c r="D26" i="38655"/>
  <c r="G26" i="19"/>
  <c r="D18" i="38655"/>
  <c r="G18" i="19"/>
  <c r="F34"/>
  <c r="G42" i="18"/>
  <c r="K42" i="38667"/>
  <c r="G17" i="18"/>
  <c r="K17" i="38667"/>
  <c r="K13"/>
  <c r="G13" i="18"/>
  <c r="D51"/>
  <c r="I38" i="43"/>
  <c r="B38" i="42" s="1"/>
  <c r="I38" i="44"/>
  <c r="F38" i="42" s="1"/>
  <c r="E38" i="44"/>
  <c r="D38" i="42" s="1"/>
  <c r="C38" i="44"/>
  <c r="C38" i="42" s="1"/>
  <c r="C38" i="45"/>
  <c r="G38" i="42" s="1"/>
  <c r="D48" i="10"/>
  <c r="C43" i="41"/>
  <c r="D43"/>
  <c r="I44" i="43"/>
  <c r="B44" i="42" s="1"/>
  <c r="E44" i="44"/>
  <c r="D44" i="42" s="1"/>
  <c r="I44" i="44"/>
  <c r="F44" i="42" s="1"/>
  <c r="C44" i="44"/>
  <c r="C44" i="42" s="1"/>
  <c r="F32" i="39"/>
  <c r="H32"/>
  <c r="D32"/>
  <c r="G37" i="38658"/>
  <c r="G21"/>
  <c r="E26" i="18"/>
  <c r="E50" i="38658"/>
  <c r="G46"/>
  <c r="G35"/>
  <c r="D16" i="7"/>
  <c r="G43" i="54"/>
  <c r="G16" i="8"/>
  <c r="I40" i="43"/>
  <c r="B40" i="42" s="1"/>
  <c r="D19" i="38656"/>
  <c r="D27"/>
  <c r="D42" i="20"/>
  <c r="D32" i="41"/>
  <c r="C32"/>
  <c r="D37" i="18"/>
  <c r="J37" i="38667"/>
  <c r="D38" i="38656"/>
  <c r="D40" i="27"/>
  <c r="D40" i="76" s="1"/>
  <c r="B40"/>
  <c r="E40" s="1"/>
  <c r="J26" i="11"/>
  <c r="G17" i="76"/>
  <c r="D18" i="20"/>
  <c r="G41"/>
  <c r="G38" i="76"/>
  <c r="C42" i="41"/>
  <c r="D42"/>
  <c r="F37" i="19"/>
  <c r="E21" i="5"/>
  <c r="G13" i="19"/>
  <c r="D13" i="38655"/>
  <c r="D38"/>
  <c r="G38" i="19"/>
  <c r="I47" i="38658"/>
  <c r="F47" i="38659"/>
  <c r="F17" i="19"/>
  <c r="G31" i="18"/>
  <c r="K31" i="38667"/>
  <c r="I51" i="45"/>
  <c r="G51" s="1"/>
  <c r="I13"/>
  <c r="G13" s="1"/>
  <c r="C11" i="5"/>
  <c r="C48" s="1"/>
  <c r="K48" i="3188"/>
  <c r="F48" i="78"/>
  <c r="B11" i="43"/>
  <c r="E48" i="20"/>
  <c r="G11"/>
  <c r="F45" i="19"/>
  <c r="G33" i="20"/>
  <c r="D37"/>
  <c r="D35" i="38655"/>
  <c r="G35" i="19"/>
  <c r="G35" i="18"/>
  <c r="K35" i="38667"/>
  <c r="J42"/>
  <c r="D42" i="18"/>
  <c r="G19" i="19"/>
  <c r="D19" i="38655"/>
  <c r="D19" i="20"/>
  <c r="D40"/>
  <c r="G25" i="76"/>
  <c r="G40" i="20"/>
  <c r="D50" i="18"/>
  <c r="F44" i="19"/>
  <c r="D22" i="18"/>
  <c r="J22" i="38667"/>
  <c r="J11"/>
  <c r="D11" i="18"/>
  <c r="G36" i="19"/>
  <c r="D36" i="38655"/>
  <c r="D19" i="39"/>
  <c r="F19"/>
  <c r="H19"/>
  <c r="F26" i="38659"/>
  <c r="I26" i="38658"/>
  <c r="I18"/>
  <c r="F18" i="38659"/>
  <c r="F27" i="19"/>
  <c r="E27" i="5"/>
  <c r="D40" i="18"/>
  <c r="J40" i="38667"/>
  <c r="D31" i="38656"/>
  <c r="D23" i="27"/>
  <c r="D23" i="76" s="1"/>
  <c r="B23"/>
  <c r="E23" s="1"/>
  <c r="D18" i="38656"/>
  <c r="F17" i="39"/>
  <c r="H17"/>
  <c r="D17"/>
  <c r="G46" i="20"/>
  <c r="G32"/>
  <c r="G16"/>
  <c r="C45" i="41"/>
  <c r="D45"/>
  <c r="E44" i="5"/>
  <c r="F18" i="19"/>
  <c r="G13" i="38658"/>
  <c r="E32" i="5"/>
  <c r="K28" i="38667"/>
  <c r="G28" i="18"/>
  <c r="G44" i="19"/>
  <c r="D44" i="38655"/>
  <c r="I39" i="38658"/>
  <c r="F39" i="38659"/>
  <c r="F45"/>
  <c r="I45" i="38658"/>
  <c r="G12" i="18"/>
  <c r="K12" i="38667"/>
  <c r="G34" i="20"/>
  <c r="G44" i="76"/>
  <c r="D45" i="20"/>
  <c r="D34" i="18"/>
  <c r="J34" i="38667"/>
  <c r="J27" i="11"/>
  <c r="J16" i="38655"/>
  <c r="D27" i="27"/>
  <c r="D27" i="76" s="1"/>
  <c r="B27"/>
  <c r="E27" s="1"/>
  <c r="G19"/>
  <c r="D19" i="41"/>
  <c r="C19"/>
  <c r="J43" i="38667"/>
  <c r="D43" i="18"/>
  <c r="G36" i="20"/>
  <c r="G35" i="76"/>
  <c r="G44" i="20"/>
  <c r="D26"/>
  <c r="F28" i="19"/>
  <c r="D33" i="18"/>
  <c r="J33" i="38667"/>
  <c r="F41" i="19"/>
  <c r="D31" i="39"/>
  <c r="F31"/>
  <c r="H31"/>
  <c r="E46" i="5"/>
  <c r="E15"/>
  <c r="E35"/>
  <c r="E12"/>
  <c r="J25" i="11"/>
  <c r="D43" i="20"/>
  <c r="G19" i="18"/>
  <c r="K19" i="38667"/>
  <c r="J13"/>
  <c r="D13" i="18"/>
  <c r="K14" i="38667"/>
  <c r="G14" i="18"/>
  <c r="C14" i="44"/>
  <c r="C14" i="42" s="1"/>
  <c r="D44" i="18"/>
  <c r="J44" i="38667"/>
  <c r="F43" i="19"/>
  <c r="K15" i="38667"/>
  <c r="G15" i="18"/>
  <c r="E18" i="76"/>
  <c r="G27" i="38658"/>
  <c r="G36"/>
  <c r="G19"/>
  <c r="E21" i="76"/>
  <c r="D16" i="19"/>
  <c r="G28" i="38658"/>
  <c r="D23" i="19"/>
  <c r="B18" i="18"/>
  <c r="B45"/>
  <c r="D45" i="8"/>
  <c r="J43" i="54"/>
  <c r="J21"/>
  <c r="G44" i="38667"/>
  <c r="G18" i="54"/>
  <c r="J11"/>
  <c r="C22" i="41"/>
  <c r="D22"/>
  <c r="D32" i="27"/>
  <c r="D32" i="76" s="1"/>
  <c r="B32"/>
  <c r="E32" s="1"/>
  <c r="D38" i="39"/>
  <c r="F38"/>
  <c r="H38"/>
  <c r="C27" i="41"/>
  <c r="D27"/>
  <c r="D21" i="38655"/>
  <c r="G21" i="19"/>
  <c r="G34" i="18"/>
  <c r="K34" i="38667"/>
  <c r="F42" i="19"/>
  <c r="D44" i="20"/>
  <c r="D46" i="18"/>
  <c r="J46" i="38667"/>
  <c r="D44" i="38656"/>
  <c r="J18" i="38655"/>
  <c r="C46" i="41"/>
  <c r="D46"/>
  <c r="H18" i="39"/>
  <c r="D18"/>
  <c r="F18"/>
  <c r="E19" i="5"/>
  <c r="D24" i="18"/>
  <c r="J24" i="38667"/>
  <c r="D12" i="18"/>
  <c r="J12" i="38667"/>
  <c r="G24" i="18"/>
  <c r="K24" i="38667"/>
  <c r="D40" i="38655"/>
  <c r="G40" i="19"/>
  <c r="F15" i="38659"/>
  <c r="I15" i="38658"/>
  <c r="I40"/>
  <c r="F40" i="38659"/>
  <c r="E33" i="5"/>
  <c r="D28" i="39"/>
  <c r="F28"/>
  <c r="H28"/>
  <c r="F25"/>
  <c r="H25"/>
  <c r="D25"/>
  <c r="G48" i="38655"/>
  <c r="F36" i="19"/>
  <c r="E37" i="5"/>
  <c r="E43"/>
  <c r="I26" i="45"/>
  <c r="G26" s="1"/>
  <c r="I20"/>
  <c r="D42" i="38656"/>
  <c r="D45" i="27"/>
  <c r="D45" i="76" s="1"/>
  <c r="B45"/>
  <c r="E45" s="1"/>
  <c r="G42"/>
  <c r="G31"/>
  <c r="G42" i="20"/>
  <c r="G15"/>
  <c r="D14" i="18"/>
  <c r="J14" i="38667"/>
  <c r="D20" i="20"/>
  <c r="D35" i="18"/>
  <c r="J35" i="38667"/>
  <c r="J48" i="26"/>
  <c r="I34" i="38658"/>
  <c r="F34" i="38659"/>
  <c r="D39" i="39"/>
  <c r="F39"/>
  <c r="H39"/>
  <c r="I25" i="38658"/>
  <c r="F25" i="38659"/>
  <c r="D41" i="38655"/>
  <c r="G41" i="19"/>
  <c r="E36" i="5"/>
  <c r="E26"/>
  <c r="D24" i="38655"/>
  <c r="G24" i="19"/>
  <c r="D16" i="38655"/>
  <c r="G16" i="19"/>
  <c r="F21"/>
  <c r="G50" i="20"/>
  <c r="D17" i="38656"/>
  <c r="G31" i="20"/>
  <c r="D31"/>
  <c r="G18"/>
  <c r="E13" i="5"/>
  <c r="D15" i="39"/>
  <c r="F15"/>
  <c r="H15"/>
  <c r="J11" i="38655"/>
  <c r="G48" i="38656"/>
  <c r="G48" i="11"/>
  <c r="D12" i="20"/>
  <c r="G11" i="19"/>
  <c r="D11" i="38655"/>
  <c r="D27"/>
  <c r="G27" i="19"/>
  <c r="F48" i="41"/>
  <c r="G48" s="1"/>
  <c r="G11"/>
  <c r="F40" i="39"/>
  <c r="H40"/>
  <c r="D40"/>
  <c r="C11" i="41"/>
  <c r="D11"/>
  <c r="B48"/>
  <c r="H22" i="39"/>
  <c r="D22"/>
  <c r="F22"/>
  <c r="H14"/>
  <c r="D14"/>
  <c r="F14"/>
  <c r="D46" i="38655"/>
  <c r="G46" i="19"/>
  <c r="F11"/>
  <c r="E40" i="5"/>
  <c r="D43" i="38655"/>
  <c r="G43" i="19"/>
  <c r="G43" i="20"/>
  <c r="I34" i="45"/>
  <c r="G34" s="1"/>
  <c r="J30" i="38667"/>
  <c r="D30" i="18"/>
  <c r="I21" i="45"/>
  <c r="G21" s="1"/>
  <c r="E25" i="5"/>
  <c r="C18" i="41"/>
  <c r="D18"/>
  <c r="G21" i="20"/>
  <c r="D25"/>
  <c r="G36" i="18"/>
  <c r="K36" i="38667"/>
  <c r="D23" i="20"/>
  <c r="D27"/>
  <c r="D13" i="41"/>
  <c r="C13"/>
  <c r="C41"/>
  <c r="D41"/>
  <c r="G34" i="76"/>
  <c r="F39" i="19"/>
  <c r="E23" i="5"/>
  <c r="D42" i="39"/>
  <c r="F42"/>
  <c r="H42"/>
  <c r="E28" i="5"/>
  <c r="H37" i="39"/>
  <c r="D37"/>
  <c r="F37"/>
  <c r="G22" i="19"/>
  <c r="D22" i="38655"/>
  <c r="D14"/>
  <c r="G14" i="19"/>
  <c r="F15"/>
  <c r="K18" i="38667"/>
  <c r="G18" i="18"/>
  <c r="D41"/>
  <c r="J41" i="38667"/>
  <c r="D20" i="18"/>
  <c r="J20" i="38667"/>
  <c r="G52" i="38658"/>
  <c r="G39" i="45"/>
  <c r="E26" i="76"/>
  <c r="B16" i="18"/>
  <c r="B17"/>
  <c r="D40" i="19"/>
  <c r="E38" i="18"/>
  <c r="G33" i="38658"/>
  <c r="G30" i="38667"/>
  <c r="D43" i="54"/>
  <c r="E43" i="76"/>
  <c r="L30" i="38667"/>
  <c r="M30" s="1"/>
  <c r="I30" s="1"/>
  <c r="I30" i="19"/>
  <c r="J34" i="38655"/>
  <c r="G46" i="18"/>
  <c r="K46" i="38667"/>
  <c r="D22" i="38656"/>
  <c r="J15" i="38655"/>
  <c r="D33" i="27"/>
  <c r="D33" i="76" s="1"/>
  <c r="B33"/>
  <c r="E33" s="1"/>
  <c r="D46" i="27"/>
  <c r="D46" i="76" s="1"/>
  <c r="B46"/>
  <c r="E46" s="1"/>
  <c r="F23" i="38659"/>
  <c r="I23" i="38658"/>
  <c r="K25" i="38667"/>
  <c r="G25" i="18"/>
  <c r="G37" i="20"/>
  <c r="D36"/>
  <c r="G26"/>
  <c r="G20"/>
  <c r="F14" i="19"/>
  <c r="F22"/>
  <c r="G33" i="18"/>
  <c r="K33" i="38667"/>
  <c r="H48" i="18"/>
  <c r="E11" i="5"/>
  <c r="F50" i="19"/>
  <c r="G42"/>
  <c r="D42" i="38655"/>
  <c r="D34" i="39"/>
  <c r="F34"/>
  <c r="H34"/>
  <c r="D50" i="38655"/>
  <c r="G50" i="19"/>
  <c r="D36" i="18"/>
  <c r="J36" i="38667"/>
  <c r="I15" i="45"/>
  <c r="G15" s="1"/>
  <c r="I31"/>
  <c r="G31" s="1"/>
  <c r="I12"/>
  <c r="G12" s="1"/>
  <c r="J21" i="38655"/>
  <c r="D51" i="20"/>
  <c r="G14"/>
  <c r="D28" i="18"/>
  <c r="J28" i="38667"/>
  <c r="D36" i="27"/>
  <c r="D36" i="76" s="1"/>
  <c r="B36"/>
  <c r="E36" s="1"/>
  <c r="K22" i="38667"/>
  <c r="G22" i="18"/>
  <c r="D37" i="27"/>
  <c r="D37" i="76" s="1"/>
  <c r="B37"/>
  <c r="E37" s="1"/>
  <c r="G50"/>
  <c r="D20" i="41"/>
  <c r="C20"/>
  <c r="D35" i="20"/>
  <c r="F26" i="19"/>
  <c r="G51" i="18"/>
  <c r="G39" i="20"/>
  <c r="F21" i="39"/>
  <c r="H21"/>
  <c r="D21"/>
  <c r="F44"/>
  <c r="H44"/>
  <c r="D44"/>
  <c r="G14" i="76"/>
  <c r="F20" i="19"/>
  <c r="G32" i="18"/>
  <c r="K32" i="38667"/>
  <c r="B48" i="40"/>
  <c r="D48" s="1"/>
  <c r="D11"/>
  <c r="D32" i="38655"/>
  <c r="G32" i="19"/>
  <c r="G23"/>
  <c r="D23" i="38655"/>
  <c r="D20" i="39"/>
  <c r="F20"/>
  <c r="H20"/>
  <c r="I41" i="38658"/>
  <c r="F41" i="38659"/>
  <c r="I30" i="38658"/>
  <c r="F30" i="38659"/>
  <c r="I22" i="38658"/>
  <c r="F22" i="38659"/>
  <c r="E39" i="5"/>
  <c r="D38" i="18"/>
  <c r="J38" i="38667"/>
  <c r="K21"/>
  <c r="G21" i="18"/>
  <c r="J32" i="38655"/>
  <c r="J36"/>
  <c r="D13" i="38656"/>
  <c r="B20" i="76"/>
  <c r="E20" s="1"/>
  <c r="D20" i="27"/>
  <c r="D20" i="76" s="1"/>
  <c r="D37" i="38656"/>
  <c r="J43" i="11"/>
  <c r="G50" i="18"/>
  <c r="J21" i="38667"/>
  <c r="D21" i="18"/>
  <c r="G51" i="20"/>
  <c r="C12" i="41"/>
  <c r="D12"/>
  <c r="D21" i="20"/>
  <c r="F36" i="39"/>
  <c r="H36"/>
  <c r="D36"/>
  <c r="G48" i="26"/>
  <c r="H33" i="39"/>
  <c r="D33"/>
  <c r="F33"/>
  <c r="D11" i="20"/>
  <c r="B48"/>
  <c r="E22" i="5"/>
  <c r="F13" i="19"/>
  <c r="G39" i="18"/>
  <c r="K39" i="38667"/>
  <c r="D23" i="18"/>
  <c r="J23" i="38667"/>
  <c r="I28" i="45"/>
  <c r="C36" i="41"/>
  <c r="D36"/>
  <c r="D35" i="38656"/>
  <c r="D46"/>
  <c r="F19" i="19"/>
  <c r="D33" i="20"/>
  <c r="D34"/>
  <c r="D13"/>
  <c r="D31" i="18"/>
  <c r="J31" i="38667"/>
  <c r="G28" i="76"/>
  <c r="D39" i="18"/>
  <c r="J39" i="38667"/>
  <c r="D41" i="20"/>
  <c r="G12"/>
  <c r="G45"/>
  <c r="G38"/>
  <c r="E50" i="5"/>
  <c r="D35" i="39"/>
  <c r="F35"/>
  <c r="H35"/>
  <c r="D33" i="38655"/>
  <c r="G33" i="19"/>
  <c r="G13" i="20"/>
  <c r="D31" i="38655"/>
  <c r="G31" i="19"/>
  <c r="E41" i="5"/>
  <c r="E20"/>
  <c r="G16" i="18"/>
  <c r="K16" i="38667"/>
  <c r="D43" i="39"/>
  <c r="F43"/>
  <c r="H43"/>
  <c r="E24" i="44"/>
  <c r="D24" i="42" s="1"/>
  <c r="C24" i="44"/>
  <c r="C24" i="42" s="1"/>
  <c r="I24" i="43"/>
  <c r="B24" i="42" s="1"/>
  <c r="I24" i="44"/>
  <c r="F24" i="42" s="1"/>
  <c r="C24" i="45"/>
  <c r="G24" i="42" s="1"/>
  <c r="G11" i="18"/>
  <c r="K11" i="38667"/>
  <c r="C35" i="44"/>
  <c r="C35" i="42" s="1"/>
  <c r="C35" i="45"/>
  <c r="G35" i="42" s="1"/>
  <c r="G48" i="10"/>
  <c r="D48" i="11"/>
  <c r="E39" i="45"/>
  <c r="H39" i="42" s="1"/>
  <c r="G43" i="38658"/>
  <c r="G39" i="44"/>
  <c r="E39" i="42" s="1"/>
  <c r="E40" i="45"/>
  <c r="H40" i="42" s="1"/>
  <c r="D46" i="19"/>
  <c r="G14" i="38658"/>
  <c r="G48"/>
  <c r="I22" i="45"/>
  <c r="G17" i="38658"/>
  <c r="E12" i="76"/>
  <c r="B48" i="54"/>
  <c r="G24" i="38658"/>
  <c r="E48" i="38648"/>
  <c r="C14" i="45" l="1"/>
  <c r="G14" i="42" s="1"/>
  <c r="I19" i="44"/>
  <c r="F19" i="42" s="1"/>
  <c r="E40" i="44"/>
  <c r="D40" i="42" s="1"/>
  <c r="C40" i="44"/>
  <c r="C40" i="42" s="1"/>
  <c r="E35" i="44"/>
  <c r="D35" i="42" s="1"/>
  <c r="I14" i="44"/>
  <c r="F14" i="42" s="1"/>
  <c r="I35" i="44"/>
  <c r="F35" i="42" s="1"/>
  <c r="I35" i="43"/>
  <c r="B35" i="42" s="1"/>
  <c r="I14" i="43"/>
  <c r="B14" i="42" s="1"/>
  <c r="E14" i="44"/>
  <c r="D14" i="42" s="1"/>
  <c r="G40" i="44"/>
  <c r="E40" i="42" s="1"/>
  <c r="C40" i="45"/>
  <c r="G40" i="42" s="1"/>
  <c r="G23" i="45"/>
  <c r="E45" i="44"/>
  <c r="D45" i="42" s="1"/>
  <c r="I40" i="44"/>
  <c r="F40" i="42" s="1"/>
  <c r="I37" i="43"/>
  <c r="B37" i="42" s="1"/>
  <c r="C45" i="44"/>
  <c r="C45" i="42" s="1"/>
  <c r="G45" i="45"/>
  <c r="I45" i="44"/>
  <c r="F45" i="42" s="1"/>
  <c r="C19" i="45"/>
  <c r="G19" i="42" s="1"/>
  <c r="E45" i="45"/>
  <c r="H45" i="42" s="1"/>
  <c r="C45" i="45"/>
  <c r="G45" i="42" s="1"/>
  <c r="I45" i="43"/>
  <c r="B45" i="42" s="1"/>
  <c r="E23" i="44"/>
  <c r="D23" i="42" s="1"/>
  <c r="C23" i="44"/>
  <c r="C23" i="42" s="1"/>
  <c r="I23" i="43"/>
  <c r="B23" i="42" s="1"/>
  <c r="E23" i="45"/>
  <c r="H23" i="42" s="1"/>
  <c r="C23" i="45"/>
  <c r="G23" i="42" s="1"/>
  <c r="E35" i="45"/>
  <c r="H35" i="42" s="1"/>
  <c r="G35" i="44"/>
  <c r="E35" i="42" s="1"/>
  <c r="I37" i="44"/>
  <c r="F37" i="42" s="1"/>
  <c r="E19" i="44"/>
  <c r="D19" i="42" s="1"/>
  <c r="G37" i="45"/>
  <c r="E37"/>
  <c r="H37" i="42" s="1"/>
  <c r="G19" i="44"/>
  <c r="E19" i="42" s="1"/>
  <c r="E48" i="18"/>
  <c r="G48" s="1"/>
  <c r="E37" i="44"/>
  <c r="D37" i="42" s="1"/>
  <c r="F29" i="38659"/>
  <c r="C19" i="44"/>
  <c r="C19" i="42" s="1"/>
  <c r="G19" i="45"/>
  <c r="C37" i="44"/>
  <c r="C37" i="42" s="1"/>
  <c r="C37" i="45"/>
  <c r="G37" i="42" s="1"/>
  <c r="I19" i="43"/>
  <c r="B19" i="42" s="1"/>
  <c r="J18"/>
  <c r="E32" i="44"/>
  <c r="D32" i="42" s="1"/>
  <c r="E32" i="45"/>
  <c r="H32" i="42" s="1"/>
  <c r="C32" i="45"/>
  <c r="G32" i="42" s="1"/>
  <c r="I32" i="43"/>
  <c r="B32" i="42" s="1"/>
  <c r="G32" i="45"/>
  <c r="G32" i="44"/>
  <c r="E32" i="42" s="1"/>
  <c r="I32" i="44"/>
  <c r="F32" i="42" s="1"/>
  <c r="C43" i="44"/>
  <c r="C43" i="42" s="1"/>
  <c r="G43" i="45"/>
  <c r="E43" i="44"/>
  <c r="D43" i="42" s="1"/>
  <c r="E43" i="45"/>
  <c r="H43" i="42" s="1"/>
  <c r="G43" i="44"/>
  <c r="E43" i="42" s="1"/>
  <c r="I43" i="44"/>
  <c r="F43" i="42" s="1"/>
  <c r="C43" i="45"/>
  <c r="G43" i="42" s="1"/>
  <c r="I43" i="43"/>
  <c r="B43" i="42" s="1"/>
  <c r="E17" i="44"/>
  <c r="D17" i="42" s="1"/>
  <c r="E17" i="45"/>
  <c r="H17" i="42" s="1"/>
  <c r="G17" i="44"/>
  <c r="E17" i="42" s="1"/>
  <c r="I17" i="44"/>
  <c r="F17" i="42" s="1"/>
  <c r="G17" i="45"/>
  <c r="C17" i="44"/>
  <c r="C17" i="42" s="1"/>
  <c r="C17" i="45"/>
  <c r="G17" i="42" s="1"/>
  <c r="I17" i="43"/>
  <c r="B17" i="42" s="1"/>
  <c r="G14" i="44"/>
  <c r="E14" i="42" s="1"/>
  <c r="I27" i="44"/>
  <c r="F27" i="42" s="1"/>
  <c r="G27" i="44"/>
  <c r="E27" i="42" s="1"/>
  <c r="G27" i="45"/>
  <c r="E27" i="44"/>
  <c r="D27" i="42" s="1"/>
  <c r="E27" i="45"/>
  <c r="H27" i="42" s="1"/>
  <c r="C27" i="44"/>
  <c r="C27" i="42" s="1"/>
  <c r="C27" i="45"/>
  <c r="G27" i="42" s="1"/>
  <c r="E14" i="45"/>
  <c r="H14" i="42" s="1"/>
  <c r="J42"/>
  <c r="J25"/>
  <c r="J50"/>
  <c r="J41"/>
  <c r="J16"/>
  <c r="G36" i="38667"/>
  <c r="G28"/>
  <c r="G14"/>
  <c r="G15"/>
  <c r="G35"/>
  <c r="G26"/>
  <c r="G45"/>
  <c r="G46" i="44"/>
  <c r="E46" i="42" s="1"/>
  <c r="C46" i="44"/>
  <c r="C46" i="42" s="1"/>
  <c r="E46" i="45"/>
  <c r="H46" i="42" s="1"/>
  <c r="I46" i="44"/>
  <c r="F46" i="42" s="1"/>
  <c r="G46" i="45"/>
  <c r="E46" i="44"/>
  <c r="D46" i="42" s="1"/>
  <c r="C46" i="45"/>
  <c r="G46" i="42" s="1"/>
  <c r="F42" i="38659"/>
  <c r="G34" i="38667"/>
  <c r="I46" i="43"/>
  <c r="B46" i="42" s="1"/>
  <c r="G23" i="38667"/>
  <c r="G37"/>
  <c r="G19"/>
  <c r="G36" i="76"/>
  <c r="J48" i="54"/>
  <c r="G25" i="38667"/>
  <c r="G16"/>
  <c r="G11"/>
  <c r="G48" i="54"/>
  <c r="G12" i="76"/>
  <c r="I22" i="43"/>
  <c r="B22" i="42" s="1"/>
  <c r="I22" i="44"/>
  <c r="F22" i="42" s="1"/>
  <c r="C22" i="44"/>
  <c r="C22" i="42" s="1"/>
  <c r="C22" i="45"/>
  <c r="G22" i="42" s="1"/>
  <c r="E22" i="44"/>
  <c r="D22" i="42" s="1"/>
  <c r="E22" i="45"/>
  <c r="H22" i="42" s="1"/>
  <c r="G22" i="44"/>
  <c r="E22" i="42" s="1"/>
  <c r="I28" i="44"/>
  <c r="F28" i="42" s="1"/>
  <c r="C28" i="44"/>
  <c r="C28" i="42" s="1"/>
  <c r="E28" i="44"/>
  <c r="D28" i="42" s="1"/>
  <c r="I28" i="43"/>
  <c r="B28" i="42" s="1"/>
  <c r="C28" i="45"/>
  <c r="G28" i="42" s="1"/>
  <c r="E28" i="45"/>
  <c r="H28" i="42" s="1"/>
  <c r="G28" i="44"/>
  <c r="E28" i="42" s="1"/>
  <c r="G20" i="76"/>
  <c r="I32" i="19"/>
  <c r="L32" i="38667"/>
  <c r="M32" s="1"/>
  <c r="I42" i="19"/>
  <c r="L42" i="38667"/>
  <c r="M42" s="1"/>
  <c r="I42" s="1"/>
  <c r="G38" i="18"/>
  <c r="K38" i="38667"/>
  <c r="D48" i="8"/>
  <c r="L43" i="38667"/>
  <c r="M43" s="1"/>
  <c r="I43" i="19"/>
  <c r="I46"/>
  <c r="L46" i="38667"/>
  <c r="M46" s="1"/>
  <c r="I46" s="1"/>
  <c r="C48" i="41"/>
  <c r="D48"/>
  <c r="L41" i="38667"/>
  <c r="M41" s="1"/>
  <c r="I41" i="19"/>
  <c r="G45" i="76"/>
  <c r="I20" i="43"/>
  <c r="B20" i="42" s="1"/>
  <c r="C20" i="44"/>
  <c r="C20" i="42" s="1"/>
  <c r="E20" i="44"/>
  <c r="D20" i="42" s="1"/>
  <c r="I20" i="44"/>
  <c r="F20" i="42" s="1"/>
  <c r="C20" i="45"/>
  <c r="G20" i="42" s="1"/>
  <c r="G20" i="44"/>
  <c r="E20" i="42" s="1"/>
  <c r="E20" i="45"/>
  <c r="H20" i="42" s="1"/>
  <c r="F16" i="19"/>
  <c r="F27" i="38659"/>
  <c r="I27" i="38658"/>
  <c r="G48" i="9"/>
  <c r="I13" i="38658"/>
  <c r="G50"/>
  <c r="I50" s="1"/>
  <c r="F13" i="38659"/>
  <c r="F11" i="43"/>
  <c r="B48"/>
  <c r="I38" i="19"/>
  <c r="L38" i="38667"/>
  <c r="M38" s="1"/>
  <c r="I13" i="19"/>
  <c r="L13" i="38667"/>
  <c r="M13" s="1"/>
  <c r="G40" i="76"/>
  <c r="F46" i="38659"/>
  <c r="I46" i="38658"/>
  <c r="L12" i="38667"/>
  <c r="M12" s="1"/>
  <c r="I12" i="19"/>
  <c r="I28"/>
  <c r="L28" i="38667"/>
  <c r="M28" s="1"/>
  <c r="H52" i="22"/>
  <c r="J24" i="42"/>
  <c r="E48" i="5"/>
  <c r="G22" i="45"/>
  <c r="G21" i="38667"/>
  <c r="D48" i="54"/>
  <c r="I14" i="38658"/>
  <c r="F14" i="38659"/>
  <c r="G48" i="8"/>
  <c r="I33" i="19"/>
  <c r="L33" i="38667"/>
  <c r="M33" s="1"/>
  <c r="C12" i="44"/>
  <c r="C12" i="42" s="1"/>
  <c r="I12" i="43"/>
  <c r="B12" i="42" s="1"/>
  <c r="I12" i="44"/>
  <c r="F12" i="42" s="1"/>
  <c r="C12" i="45"/>
  <c r="G12" i="42" s="1"/>
  <c r="E12" i="44"/>
  <c r="D12" i="42" s="1"/>
  <c r="G12" i="44"/>
  <c r="E12" i="42" s="1"/>
  <c r="E12" i="45"/>
  <c r="H12" i="42" s="1"/>
  <c r="E15" i="44"/>
  <c r="D15" i="42" s="1"/>
  <c r="I15" i="44"/>
  <c r="F15" i="42" s="1"/>
  <c r="C15" i="44"/>
  <c r="C15" i="42" s="1"/>
  <c r="C15" i="45"/>
  <c r="G15" i="42" s="1"/>
  <c r="I15" i="43"/>
  <c r="B15" i="42" s="1"/>
  <c r="G15" i="44"/>
  <c r="E15" i="42" s="1"/>
  <c r="E15" i="45"/>
  <c r="H15" i="42" s="1"/>
  <c r="G46" i="76"/>
  <c r="F33" i="38659"/>
  <c r="I33" i="38658"/>
  <c r="G26" i="76"/>
  <c r="I14" i="19"/>
  <c r="L14" i="38667"/>
  <c r="M14" s="1"/>
  <c r="I14" s="1"/>
  <c r="L22"/>
  <c r="M22" s="1"/>
  <c r="I22" s="1"/>
  <c r="I22" i="19"/>
  <c r="J45" i="38667"/>
  <c r="D45" i="18"/>
  <c r="D18"/>
  <c r="J18" i="38667"/>
  <c r="I28" i="38658"/>
  <c r="F28" i="38659"/>
  <c r="F19"/>
  <c r="I19" i="38658"/>
  <c r="G27" i="76"/>
  <c r="L44" i="38667"/>
  <c r="M44" s="1"/>
  <c r="I44" s="1"/>
  <c r="I44" i="19"/>
  <c r="G23" i="76"/>
  <c r="L36" i="38667"/>
  <c r="M36" s="1"/>
  <c r="I36" s="1"/>
  <c r="I36" i="19"/>
  <c r="F54" i="23"/>
  <c r="G48" i="20"/>
  <c r="G26" i="18"/>
  <c r="K26" i="38667"/>
  <c r="L15"/>
  <c r="M15" s="1"/>
  <c r="I15" i="19"/>
  <c r="I37"/>
  <c r="L37" i="38667"/>
  <c r="M37" s="1"/>
  <c r="I37" s="1"/>
  <c r="L39"/>
  <c r="M39" s="1"/>
  <c r="I39" i="19"/>
  <c r="G16" i="76"/>
  <c r="I45" i="19"/>
  <c r="L45" i="38667"/>
  <c r="J38" i="42"/>
  <c r="G24" i="38667"/>
  <c r="G22"/>
  <c r="F24" i="38659"/>
  <c r="I24" i="38658"/>
  <c r="I17"/>
  <c r="F17" i="38659"/>
  <c r="F46" i="19"/>
  <c r="I43" i="38658"/>
  <c r="F43" i="38659"/>
  <c r="I31" i="19"/>
  <c r="L31" i="38667"/>
  <c r="M31" s="1"/>
  <c r="L23"/>
  <c r="M23" s="1"/>
  <c r="I23" s="1"/>
  <c r="I23" i="19"/>
  <c r="G37" i="76"/>
  <c r="G33"/>
  <c r="I52" i="38658"/>
  <c r="F52" i="38659"/>
  <c r="I34" i="44"/>
  <c r="F34" i="42" s="1"/>
  <c r="C34" i="44"/>
  <c r="C34" i="42" s="1"/>
  <c r="E34" i="44"/>
  <c r="D34" i="42" s="1"/>
  <c r="I34" i="43"/>
  <c r="B34" i="42" s="1"/>
  <c r="C34" i="45"/>
  <c r="G34" i="42" s="1"/>
  <c r="G34" i="44"/>
  <c r="E34" i="42" s="1"/>
  <c r="E34" i="45"/>
  <c r="H34" i="42" s="1"/>
  <c r="D48" i="38655"/>
  <c r="J48"/>
  <c r="L16" i="38667"/>
  <c r="I16" i="19"/>
  <c r="C26" i="44"/>
  <c r="C26" i="42" s="1"/>
  <c r="E26" i="44"/>
  <c r="D26" i="42" s="1"/>
  <c r="I26" i="44"/>
  <c r="F26" i="42" s="1"/>
  <c r="I26" i="43"/>
  <c r="B26" i="42" s="1"/>
  <c r="C26" i="45"/>
  <c r="G26" i="42" s="1"/>
  <c r="E26" i="45"/>
  <c r="H26" i="42" s="1"/>
  <c r="G26" i="44"/>
  <c r="E26" i="42" s="1"/>
  <c r="L21" i="38667"/>
  <c r="M21" s="1"/>
  <c r="I21" s="1"/>
  <c r="I21" i="19"/>
  <c r="G32" i="76"/>
  <c r="F23" i="19"/>
  <c r="G21" i="76"/>
  <c r="E51" i="45"/>
  <c r="H51" i="42" s="1"/>
  <c r="C51" i="44"/>
  <c r="C51" i="42" s="1"/>
  <c r="C51" i="45"/>
  <c r="G51" i="42" s="1"/>
  <c r="I51" i="44"/>
  <c r="F51" i="42" s="1"/>
  <c r="I51" i="43"/>
  <c r="B51" i="42" s="1"/>
  <c r="E51" i="44"/>
  <c r="D51" i="42" s="1"/>
  <c r="G51" i="44"/>
  <c r="E51" i="42" s="1"/>
  <c r="D48" i="27"/>
  <c r="D48" i="76" s="1"/>
  <c r="F37" i="38659"/>
  <c r="I37" i="38658"/>
  <c r="L18" i="38667"/>
  <c r="I18" i="19"/>
  <c r="I34"/>
  <c r="L34" i="38667"/>
  <c r="M34" s="1"/>
  <c r="I25" i="19"/>
  <c r="L25" i="38667"/>
  <c r="M25" s="1"/>
  <c r="I25" s="1"/>
  <c r="C33" i="44"/>
  <c r="C33" i="42" s="1"/>
  <c r="I33" i="44"/>
  <c r="F33" i="42" s="1"/>
  <c r="C33" i="45"/>
  <c r="G33" i="42" s="1"/>
  <c r="E33" i="44"/>
  <c r="D33" i="42" s="1"/>
  <c r="I33" i="43"/>
  <c r="B33" i="42" s="1"/>
  <c r="G33" i="44"/>
  <c r="E33" i="42" s="1"/>
  <c r="E33" i="45"/>
  <c r="H33" i="42" s="1"/>
  <c r="E36" i="45"/>
  <c r="H36" i="42" s="1"/>
  <c r="I36" i="43"/>
  <c r="B36" i="42" s="1"/>
  <c r="I36" i="44"/>
  <c r="F36" i="42" s="1"/>
  <c r="C36" i="45"/>
  <c r="G36" i="42" s="1"/>
  <c r="C36" i="44"/>
  <c r="C36" i="42" s="1"/>
  <c r="E36" i="44"/>
  <c r="D36" i="42" s="1"/>
  <c r="G36" i="44"/>
  <c r="E36" i="42" s="1"/>
  <c r="J44"/>
  <c r="J39"/>
  <c r="G42" i="38667"/>
  <c r="G46"/>
  <c r="G40"/>
  <c r="G20"/>
  <c r="I48" i="38658"/>
  <c r="F48" i="38659"/>
  <c r="D48" i="7"/>
  <c r="D48" i="20"/>
  <c r="D54" i="23"/>
  <c r="G31" i="44"/>
  <c r="E31" i="42" s="1"/>
  <c r="C31" i="44"/>
  <c r="C31" i="42" s="1"/>
  <c r="E31" i="44"/>
  <c r="D31" i="42" s="1"/>
  <c r="I31" i="43"/>
  <c r="B31" i="42" s="1"/>
  <c r="I31" i="44"/>
  <c r="F31" i="42" s="1"/>
  <c r="C31" i="45"/>
  <c r="G31" i="42" s="1"/>
  <c r="E31" i="45"/>
  <c r="H31" i="42" s="1"/>
  <c r="I50" i="19"/>
  <c r="F54" i="22"/>
  <c r="F52"/>
  <c r="G43" i="76"/>
  <c r="F40" i="19"/>
  <c r="J17" i="38667"/>
  <c r="D17" i="18"/>
  <c r="J16" i="38667"/>
  <c r="D16" i="18"/>
  <c r="I21" i="44"/>
  <c r="F21" i="42" s="1"/>
  <c r="C21" i="45"/>
  <c r="G21" i="42" s="1"/>
  <c r="C21" i="44"/>
  <c r="C21" i="42" s="1"/>
  <c r="E21" i="44"/>
  <c r="D21" i="42" s="1"/>
  <c r="I21" i="43"/>
  <c r="B21" i="42" s="1"/>
  <c r="G21" i="44"/>
  <c r="E21" i="42" s="1"/>
  <c r="E21" i="45"/>
  <c r="H21" i="42" s="1"/>
  <c r="L27" i="38667"/>
  <c r="M27" s="1"/>
  <c r="I27" i="19"/>
  <c r="I11"/>
  <c r="L11" i="38667"/>
  <c r="M11" s="1"/>
  <c r="I11" s="1"/>
  <c r="G48" i="19"/>
  <c r="I24"/>
  <c r="L24" i="38667"/>
  <c r="M24" s="1"/>
  <c r="I24" s="1"/>
  <c r="L40"/>
  <c r="M40" s="1"/>
  <c r="I40" s="1"/>
  <c r="I40" i="19"/>
  <c r="F36" i="38659"/>
  <c r="I36" i="38658"/>
  <c r="G18" i="76"/>
  <c r="L19" i="38667"/>
  <c r="M19" s="1"/>
  <c r="I19" s="1"/>
  <c r="I19" i="19"/>
  <c r="L35" i="38667"/>
  <c r="M35" s="1"/>
  <c r="I35" i="19"/>
  <c r="C13" i="44"/>
  <c r="C13" i="42" s="1"/>
  <c r="E13" i="44"/>
  <c r="D13" i="42" s="1"/>
  <c r="C13" i="45"/>
  <c r="G13" i="42" s="1"/>
  <c r="I13" i="44"/>
  <c r="F13" i="42" s="1"/>
  <c r="G13" i="44"/>
  <c r="E13" i="42" s="1"/>
  <c r="I13" i="43"/>
  <c r="B13" i="42" s="1"/>
  <c r="E13" i="45"/>
  <c r="H13" i="42" s="1"/>
  <c r="I35" i="38658"/>
  <c r="F35" i="38659"/>
  <c r="F21"/>
  <c r="I21" i="38658"/>
  <c r="I26" i="19"/>
  <c r="L26" i="38667"/>
  <c r="I17" i="19"/>
  <c r="L17" i="38667"/>
  <c r="I20" i="19"/>
  <c r="L20" i="38667"/>
  <c r="M20" s="1"/>
  <c r="I20" s="1"/>
  <c r="F48" i="39"/>
  <c r="H48"/>
  <c r="D48"/>
  <c r="B48" i="76"/>
  <c r="E48" s="1"/>
  <c r="G28" i="45"/>
  <c r="D48" i="19"/>
  <c r="G20" i="45"/>
  <c r="B48" i="18"/>
  <c r="I35" i="38667" l="1"/>
  <c r="J40" i="42"/>
  <c r="K48" i="38667"/>
  <c r="D52" i="22"/>
  <c r="J45" i="42"/>
  <c r="J35"/>
  <c r="J23"/>
  <c r="J37"/>
  <c r="J19"/>
  <c r="I15" i="38667"/>
  <c r="I34"/>
  <c r="J32" i="42"/>
  <c r="J27"/>
  <c r="J14"/>
  <c r="J17"/>
  <c r="J43"/>
  <c r="I28" i="38667"/>
  <c r="M26"/>
  <c r="I26" s="1"/>
  <c r="J46" i="42"/>
  <c r="M17" i="38667"/>
  <c r="J31" i="42"/>
  <c r="B37" i="38659"/>
  <c r="E37" s="1"/>
  <c r="J37" s="1"/>
  <c r="D35" i="5"/>
  <c r="E35" i="70"/>
  <c r="D34" i="5"/>
  <c r="B36" i="38659"/>
  <c r="E36" s="1"/>
  <c r="J36" s="1"/>
  <c r="E34" i="70"/>
  <c r="J52" i="22"/>
  <c r="J54"/>
  <c r="F48" i="19"/>
  <c r="G13" i="38667"/>
  <c r="I13"/>
  <c r="I48" i="19"/>
  <c r="B54" i="23"/>
  <c r="L48" i="38667"/>
  <c r="I32"/>
  <c r="G32"/>
  <c r="H11" i="43"/>
  <c r="F48"/>
  <c r="J21" i="42"/>
  <c r="M16" i="38667"/>
  <c r="I16" s="1"/>
  <c r="J34" i="42"/>
  <c r="J15"/>
  <c r="J20"/>
  <c r="J22"/>
  <c r="D27" i="5"/>
  <c r="B29" i="38659"/>
  <c r="E29" s="1"/>
  <c r="E27" i="70"/>
  <c r="D30" i="5"/>
  <c r="B32" i="38659"/>
  <c r="E32" s="1"/>
  <c r="E30" i="70"/>
  <c r="B54" i="22"/>
  <c r="J48" i="38667"/>
  <c r="B52" i="22"/>
  <c r="D48" i="18"/>
  <c r="G18" i="38667"/>
  <c r="G39"/>
  <c r="I39"/>
  <c r="G27"/>
  <c r="B34" i="38659"/>
  <c r="E34" s="1"/>
  <c r="D32" i="5"/>
  <c r="E32" i="70"/>
  <c r="G48" i="76"/>
  <c r="G31" i="38667"/>
  <c r="I31"/>
  <c r="I41"/>
  <c r="G41"/>
  <c r="I12"/>
  <c r="G12"/>
  <c r="I38"/>
  <c r="G38"/>
  <c r="J36" i="42"/>
  <c r="J26"/>
  <c r="J12"/>
  <c r="J28"/>
  <c r="D48" i="38667"/>
  <c r="D29" i="5"/>
  <c r="B31" i="38659"/>
  <c r="E31" s="1"/>
  <c r="E29" i="70"/>
  <c r="D26" i="5"/>
  <c r="B28" i="38659"/>
  <c r="E28" s="1"/>
  <c r="J28" s="1"/>
  <c r="E26" i="70"/>
  <c r="G33" i="38667"/>
  <c r="I17"/>
  <c r="G17"/>
  <c r="G43"/>
  <c r="I43"/>
  <c r="F50" i="38659"/>
  <c r="J13" i="42"/>
  <c r="I27" i="38667"/>
  <c r="J33" i="42"/>
  <c r="M18" i="38667"/>
  <c r="I18" s="1"/>
  <c r="M45"/>
  <c r="I45" s="1"/>
  <c r="I33"/>
  <c r="D50" i="5" l="1"/>
  <c r="B52" i="38659"/>
  <c r="E52" s="1"/>
  <c r="E50" i="70"/>
  <c r="F26" i="5"/>
  <c r="C26" i="38"/>
  <c r="E26"/>
  <c r="G26"/>
  <c r="F26" i="11"/>
  <c r="C26" i="38656"/>
  <c r="I26" i="20"/>
  <c r="C26" i="35"/>
  <c r="C26" i="34"/>
  <c r="G26"/>
  <c r="C26" i="37"/>
  <c r="E26" i="82"/>
  <c r="C26" i="27"/>
  <c r="C26" i="76" s="1"/>
  <c r="E26" i="25"/>
  <c r="E26" i="35"/>
  <c r="I26" i="25"/>
  <c r="C26" i="11"/>
  <c r="C26" i="36"/>
  <c r="C26" i="10"/>
  <c r="G26" i="25"/>
  <c r="I26" i="9"/>
  <c r="F26"/>
  <c r="C26"/>
  <c r="F26" i="10"/>
  <c r="E26" i="36"/>
  <c r="C26" i="82"/>
  <c r="C26" i="8"/>
  <c r="C26" i="26"/>
  <c r="F26" i="38655"/>
  <c r="E26" i="34"/>
  <c r="G26" i="36"/>
  <c r="F26" i="38656"/>
  <c r="F26" i="8"/>
  <c r="C26" i="25"/>
  <c r="F26" i="26"/>
  <c r="I26" i="10"/>
  <c r="I26" i="54"/>
  <c r="I26" i="38655"/>
  <c r="C26" i="54"/>
  <c r="I26" i="26"/>
  <c r="E26" i="37"/>
  <c r="C26" i="7"/>
  <c r="I26" i="11"/>
  <c r="C26" i="19"/>
  <c r="E26"/>
  <c r="F26" i="54"/>
  <c r="C26" i="20"/>
  <c r="I26" i="18"/>
  <c r="F26" i="20"/>
  <c r="C26" i="18"/>
  <c r="C26" i="38655"/>
  <c r="H26" i="19"/>
  <c r="F26" i="76"/>
  <c r="F26" i="18"/>
  <c r="J31" i="38659"/>
  <c r="G31"/>
  <c r="K31" s="1"/>
  <c r="D25" i="5"/>
  <c r="B27" i="38659"/>
  <c r="E27" s="1"/>
  <c r="E25" i="70"/>
  <c r="G48" i="38667"/>
  <c r="J34" i="38659"/>
  <c r="G34"/>
  <c r="K34" s="1"/>
  <c r="F30" i="5"/>
  <c r="E30" i="38"/>
  <c r="C30"/>
  <c r="G30"/>
  <c r="I30" i="20"/>
  <c r="I30" i="11"/>
  <c r="I30" i="26"/>
  <c r="F30" i="38655"/>
  <c r="G30" i="36"/>
  <c r="C30" i="9"/>
  <c r="C30" i="54"/>
  <c r="C30" i="27"/>
  <c r="C30" i="76" s="1"/>
  <c r="C30" i="7"/>
  <c r="E30" i="36"/>
  <c r="C30" i="82"/>
  <c r="I30" i="38655"/>
  <c r="C30" i="25"/>
  <c r="F30" i="26"/>
  <c r="C30" i="10"/>
  <c r="E30" i="82"/>
  <c r="C30" i="35"/>
  <c r="G30" i="25"/>
  <c r="E30"/>
  <c r="C30" i="11"/>
  <c r="E30" i="37"/>
  <c r="E30" i="34"/>
  <c r="C30" i="8"/>
  <c r="F30" i="54"/>
  <c r="I30" i="10"/>
  <c r="I30" i="25"/>
  <c r="F30" i="10"/>
  <c r="C30" i="37"/>
  <c r="F30" i="11"/>
  <c r="C30" i="38656"/>
  <c r="C30" i="36"/>
  <c r="I30" i="54"/>
  <c r="E30" i="35"/>
  <c r="C30" i="26"/>
  <c r="C30" i="34"/>
  <c r="F30" i="38656"/>
  <c r="G30" i="34"/>
  <c r="F30" i="20"/>
  <c r="I30" i="18"/>
  <c r="F30" i="9"/>
  <c r="F30" i="18"/>
  <c r="C30" i="19"/>
  <c r="I30" i="9"/>
  <c r="E30" i="19"/>
  <c r="F30" i="8"/>
  <c r="F30" i="76"/>
  <c r="C30" i="38655"/>
  <c r="C30" i="20"/>
  <c r="H30" i="19"/>
  <c r="C30" i="18"/>
  <c r="J29" i="38659"/>
  <c r="G29"/>
  <c r="K29" s="1"/>
  <c r="G28"/>
  <c r="K28" s="1"/>
  <c r="M48" i="38667"/>
  <c r="I48" s="1"/>
  <c r="G37" i="38659"/>
  <c r="K37" s="1"/>
  <c r="B43"/>
  <c r="E43" s="1"/>
  <c r="D41" i="5"/>
  <c r="E41" i="70"/>
  <c r="D22" i="5"/>
  <c r="B24" i="38659"/>
  <c r="E24" s="1"/>
  <c r="E22" i="70"/>
  <c r="B22" i="38659"/>
  <c r="E22" s="1"/>
  <c r="D20" i="5"/>
  <c r="E20" i="70"/>
  <c r="D23" i="5"/>
  <c r="B25" i="38659"/>
  <c r="E25" s="1"/>
  <c r="E23" i="70"/>
  <c r="D36" i="5"/>
  <c r="B38" i="38659"/>
  <c r="E38" s="1"/>
  <c r="E36" i="70"/>
  <c r="D17" i="5"/>
  <c r="B19" i="38659"/>
  <c r="E19" s="1"/>
  <c r="E17" i="70"/>
  <c r="F32" i="5"/>
  <c r="C32" i="38"/>
  <c r="E32"/>
  <c r="G32"/>
  <c r="C32" i="38656"/>
  <c r="F32" i="26"/>
  <c r="C32" i="37"/>
  <c r="I32" i="20"/>
  <c r="F32" i="10"/>
  <c r="I32" i="26"/>
  <c r="F32" i="38656"/>
  <c r="G32" i="34"/>
  <c r="F32" i="8"/>
  <c r="I32" i="54"/>
  <c r="F32" i="9"/>
  <c r="C32"/>
  <c r="E32" i="82"/>
  <c r="E32" i="37"/>
  <c r="C32" i="82"/>
  <c r="F32" i="38655"/>
  <c r="C32" i="54"/>
  <c r="E32" i="36"/>
  <c r="E32" i="34"/>
  <c r="C32" i="26"/>
  <c r="G32" i="36"/>
  <c r="C32" i="7"/>
  <c r="I32" i="10"/>
  <c r="C32" i="11"/>
  <c r="C32" i="25"/>
  <c r="I32" i="9"/>
  <c r="C32" i="36"/>
  <c r="C32" i="10"/>
  <c r="F32" i="54"/>
  <c r="C32" i="8"/>
  <c r="C32" i="34"/>
  <c r="F32" i="11"/>
  <c r="E32" i="35"/>
  <c r="E32" i="25"/>
  <c r="C32" i="35"/>
  <c r="I32" i="11"/>
  <c r="G32" i="25"/>
  <c r="I32"/>
  <c r="E32" i="19"/>
  <c r="F32" i="20"/>
  <c r="C32" i="27"/>
  <c r="C32" i="76" s="1"/>
  <c r="I32" i="38655"/>
  <c r="C32" i="18"/>
  <c r="I32"/>
  <c r="C32" i="38655"/>
  <c r="C32" i="19"/>
  <c r="C32" i="20"/>
  <c r="F32" i="18"/>
  <c r="H32" i="19"/>
  <c r="F32" i="76"/>
  <c r="B46" i="38659"/>
  <c r="E46" s="1"/>
  <c r="D44" i="5"/>
  <c r="E44" i="70"/>
  <c r="D43" i="5"/>
  <c r="B45" i="38659"/>
  <c r="E45" s="1"/>
  <c r="E43" i="70"/>
  <c r="D40" i="5"/>
  <c r="B42" i="38659"/>
  <c r="E42" s="1"/>
  <c r="E40" i="70"/>
  <c r="J32" i="38659"/>
  <c r="G32"/>
  <c r="K32" s="1"/>
  <c r="F34" i="5"/>
  <c r="G34" i="38"/>
  <c r="C34"/>
  <c r="E34"/>
  <c r="E34" i="36"/>
  <c r="C34" i="35"/>
  <c r="E34" i="37"/>
  <c r="I34" i="20"/>
  <c r="C34" i="27"/>
  <c r="C34" i="76" s="1"/>
  <c r="G34" i="36"/>
  <c r="C34" i="37"/>
  <c r="I34" i="25"/>
  <c r="C34" i="7"/>
  <c r="C34" i="54"/>
  <c r="F34" i="11"/>
  <c r="F34" i="38656"/>
  <c r="C34" i="36"/>
  <c r="I34" i="26"/>
  <c r="C34" i="38656"/>
  <c r="C34" i="8"/>
  <c r="C34" i="25"/>
  <c r="F34" i="9"/>
  <c r="C34" i="26"/>
  <c r="C34" i="34"/>
  <c r="E34" i="25"/>
  <c r="F34" i="38655"/>
  <c r="I34" i="54"/>
  <c r="F34" i="26"/>
  <c r="F34" i="54"/>
  <c r="G34" i="34"/>
  <c r="E34" i="82"/>
  <c r="F34" i="8"/>
  <c r="C34" i="11"/>
  <c r="I34" i="9"/>
  <c r="C34"/>
  <c r="E34" i="35"/>
  <c r="I34" i="10"/>
  <c r="G34" i="25"/>
  <c r="F34" i="10"/>
  <c r="E34" i="34"/>
  <c r="C34" i="10"/>
  <c r="C34" i="82"/>
  <c r="C34" i="38655"/>
  <c r="C34" i="18"/>
  <c r="I34"/>
  <c r="F34"/>
  <c r="C34" i="19"/>
  <c r="I34" i="11"/>
  <c r="E34" i="19"/>
  <c r="I34" i="38655"/>
  <c r="F34" i="20"/>
  <c r="F34" i="76"/>
  <c r="C34" i="20"/>
  <c r="H34" i="19"/>
  <c r="D51" i="5"/>
  <c r="E51" i="70"/>
  <c r="D37" i="5"/>
  <c r="B39" i="38659"/>
  <c r="E39" s="1"/>
  <c r="E37" i="70"/>
  <c r="B26" i="38659"/>
  <c r="E26" s="1"/>
  <c r="D24" i="5"/>
  <c r="E24" i="70"/>
  <c r="G36" i="38659"/>
  <c r="K36" s="1"/>
  <c r="B41"/>
  <c r="E41" s="1"/>
  <c r="D39" i="5"/>
  <c r="E39" i="70"/>
  <c r="H48" i="43"/>
  <c r="I11" i="45"/>
  <c r="I11" i="43" s="1"/>
  <c r="B11" i="42" s="1"/>
  <c r="B13" i="38659"/>
  <c r="D11" i="5"/>
  <c r="E11" i="70"/>
  <c r="D42" i="5"/>
  <c r="B44" i="38659"/>
  <c r="E44" s="1"/>
  <c r="E42" i="70"/>
  <c r="B21" i="38659"/>
  <c r="E21" s="1"/>
  <c r="D19" i="5"/>
  <c r="E19" i="70"/>
  <c r="D18" i="5"/>
  <c r="E18" i="70"/>
  <c r="B23" i="38659"/>
  <c r="E23" s="1"/>
  <c r="D21" i="5"/>
  <c r="E21" i="70"/>
  <c r="B14" i="38659"/>
  <c r="E14" s="1"/>
  <c r="D12" i="5"/>
  <c r="E12" i="70"/>
  <c r="B47" i="38659"/>
  <c r="E47" s="1"/>
  <c r="D45" i="5"/>
  <c r="E45" i="70"/>
  <c r="D33" i="5"/>
  <c r="B35" i="38659"/>
  <c r="E35" s="1"/>
  <c r="E33" i="70"/>
  <c r="B48" i="38659"/>
  <c r="E48" s="1"/>
  <c r="D46" i="5"/>
  <c r="E46" i="70"/>
  <c r="F29" i="5"/>
  <c r="C29" i="38"/>
  <c r="G29"/>
  <c r="E29"/>
  <c r="G29" i="25"/>
  <c r="E29" i="35"/>
  <c r="I29" i="20"/>
  <c r="E29" i="37"/>
  <c r="I29" i="11"/>
  <c r="I29" i="26"/>
  <c r="C29" i="35"/>
  <c r="C29" i="8"/>
  <c r="I29" i="38655"/>
  <c r="C29" i="36"/>
  <c r="C29" i="37"/>
  <c r="C29" i="34"/>
  <c r="F29" i="11"/>
  <c r="C29" i="25"/>
  <c r="C29" i="9"/>
  <c r="F29" i="38656"/>
  <c r="I29" i="10"/>
  <c r="C29"/>
  <c r="F29" i="38655"/>
  <c r="E29" i="82"/>
  <c r="F29" i="8"/>
  <c r="E29" i="36"/>
  <c r="F29" i="26"/>
  <c r="C29" i="38656"/>
  <c r="G29" i="36"/>
  <c r="F29" i="10"/>
  <c r="I29" i="25"/>
  <c r="F29" i="9"/>
  <c r="E29" i="34"/>
  <c r="C29" i="27"/>
  <c r="C29" i="76" s="1"/>
  <c r="C29" i="26"/>
  <c r="C29" i="11"/>
  <c r="E29" i="25"/>
  <c r="C29" i="82"/>
  <c r="G29" i="34"/>
  <c r="I29" i="9"/>
  <c r="C29" i="7"/>
  <c r="C29" i="20"/>
  <c r="C29" i="19"/>
  <c r="E29"/>
  <c r="C29" i="38655"/>
  <c r="I29" i="18"/>
  <c r="F29"/>
  <c r="F29" i="20"/>
  <c r="C29" i="18"/>
  <c r="H29" i="19"/>
  <c r="F29" i="54"/>
  <c r="I29"/>
  <c r="C29"/>
  <c r="F29" i="76"/>
  <c r="D15" i="5"/>
  <c r="B17" i="38659"/>
  <c r="E17" s="1"/>
  <c r="E15" i="70"/>
  <c r="D31" i="5"/>
  <c r="B33" i="38659"/>
  <c r="E33" s="1"/>
  <c r="E31" i="70"/>
  <c r="B18" i="38659"/>
  <c r="E18" s="1"/>
  <c r="D16" i="5"/>
  <c r="E16" i="70"/>
  <c r="D13" i="5"/>
  <c r="B15" i="38659"/>
  <c r="E15" s="1"/>
  <c r="E13" i="70"/>
  <c r="D38" i="5"/>
  <c r="B40" i="38659"/>
  <c r="E40" s="1"/>
  <c r="E38" i="70"/>
  <c r="F27" i="5"/>
  <c r="C27" i="38"/>
  <c r="G27"/>
  <c r="E27"/>
  <c r="I27" i="20"/>
  <c r="E27" i="37"/>
  <c r="F27" i="38656"/>
  <c r="F27" i="20"/>
  <c r="E27" i="35"/>
  <c r="C27" i="36"/>
  <c r="E27" i="25"/>
  <c r="G27" i="34"/>
  <c r="F27" i="11"/>
  <c r="F27" i="10"/>
  <c r="E27" i="34"/>
  <c r="F27" i="8"/>
  <c r="I27" i="25"/>
  <c r="E27" i="36"/>
  <c r="I27" i="10"/>
  <c r="C27"/>
  <c r="C27" i="9"/>
  <c r="E27" i="82"/>
  <c r="C27" i="26"/>
  <c r="C27" i="34"/>
  <c r="G27" i="25"/>
  <c r="F27" i="9"/>
  <c r="C27" i="8"/>
  <c r="C27" i="11"/>
  <c r="F27" i="26"/>
  <c r="C27" i="35"/>
  <c r="I27" i="26"/>
  <c r="I27" i="54"/>
  <c r="I27" i="38655"/>
  <c r="I27" i="9"/>
  <c r="C27" i="25"/>
  <c r="F27" i="38655"/>
  <c r="G27" i="36"/>
  <c r="C27" i="54"/>
  <c r="C27" i="7"/>
  <c r="F27" i="54"/>
  <c r="C27" i="82"/>
  <c r="C27" i="37"/>
  <c r="I27" i="18"/>
  <c r="C27" i="27"/>
  <c r="C27" i="76" s="1"/>
  <c r="C27" i="20"/>
  <c r="F27" i="18"/>
  <c r="C27"/>
  <c r="C27" i="38656"/>
  <c r="I27" i="11"/>
  <c r="E27" i="19"/>
  <c r="C27" i="38655"/>
  <c r="C27" i="19"/>
  <c r="F27" i="76"/>
  <c r="H27" i="19"/>
  <c r="F35" i="5"/>
  <c r="C35" i="38"/>
  <c r="E35"/>
  <c r="G35"/>
  <c r="I35" i="20"/>
  <c r="G35" i="34"/>
  <c r="E35" i="37"/>
  <c r="F35" i="11"/>
  <c r="E35" i="25"/>
  <c r="C35" i="35"/>
  <c r="G35" i="36"/>
  <c r="G35" i="25"/>
  <c r="C35" i="10"/>
  <c r="C35" i="36"/>
  <c r="I35" i="26"/>
  <c r="I35" i="25"/>
  <c r="C35"/>
  <c r="F35" i="9"/>
  <c r="E35" i="82"/>
  <c r="C35" i="27"/>
  <c r="C35" i="76" s="1"/>
  <c r="C35" i="7"/>
  <c r="I35" i="11"/>
  <c r="C35" i="82"/>
  <c r="I35" i="38655"/>
  <c r="C35" i="9"/>
  <c r="F35" i="20"/>
  <c r="I35" i="9"/>
  <c r="F35" i="54"/>
  <c r="I35" i="10"/>
  <c r="F35" i="38656"/>
  <c r="E35" i="36"/>
  <c r="C35" i="26"/>
  <c r="F35"/>
  <c r="F35" i="38655"/>
  <c r="C35" i="34"/>
  <c r="I35" i="54"/>
  <c r="C35" i="11"/>
  <c r="E35" i="34"/>
  <c r="F35" i="8"/>
  <c r="C35"/>
  <c r="F35" i="10"/>
  <c r="C35" i="54"/>
  <c r="E35" i="35"/>
  <c r="C35" i="37"/>
  <c r="F35" i="18"/>
  <c r="C35" i="19"/>
  <c r="F35" i="76"/>
  <c r="I35" i="18"/>
  <c r="C35"/>
  <c r="C35" i="20"/>
  <c r="E35" i="19"/>
  <c r="C35" i="38655"/>
  <c r="C35" i="38656"/>
  <c r="H35" i="19"/>
  <c r="B30" i="38659"/>
  <c r="E30" s="1"/>
  <c r="D28" i="5"/>
  <c r="E28" i="70"/>
  <c r="D14" i="5"/>
  <c r="E14" i="70"/>
  <c r="F14" i="5" l="1"/>
  <c r="C14" i="38"/>
  <c r="E14"/>
  <c r="G14"/>
  <c r="C14" i="54"/>
  <c r="I14" i="20"/>
  <c r="C14" i="11"/>
  <c r="C14" i="10"/>
  <c r="E14" i="34"/>
  <c r="C14" i="38656"/>
  <c r="I14" i="25"/>
  <c r="C14" i="8"/>
  <c r="I14" i="38655"/>
  <c r="F14" i="11"/>
  <c r="F14" i="38655"/>
  <c r="C14" i="82"/>
  <c r="G14" i="34"/>
  <c r="C14" i="35"/>
  <c r="C14" i="36"/>
  <c r="C14" i="37"/>
  <c r="G14" i="25"/>
  <c r="F14" i="10"/>
  <c r="I14" i="11"/>
  <c r="G14" i="36"/>
  <c r="F14" i="54"/>
  <c r="C14" i="7"/>
  <c r="C14" i="25"/>
  <c r="E14" i="36"/>
  <c r="E14" i="25"/>
  <c r="C14" i="9"/>
  <c r="E14" i="82"/>
  <c r="C14" i="34"/>
  <c r="E14" i="35"/>
  <c r="F14" i="38656"/>
  <c r="I14" i="9"/>
  <c r="F14"/>
  <c r="I14" i="10"/>
  <c r="I14" i="26"/>
  <c r="C14" i="27"/>
  <c r="C14" i="76" s="1"/>
  <c r="E14" i="37"/>
  <c r="C14" i="26"/>
  <c r="F14"/>
  <c r="I14" i="54"/>
  <c r="F14" i="8"/>
  <c r="F14" i="20"/>
  <c r="F14" i="76"/>
  <c r="C14" i="20"/>
  <c r="I14" i="18"/>
  <c r="C14" i="38655"/>
  <c r="C14" i="19"/>
  <c r="E14"/>
  <c r="F14" i="18"/>
  <c r="C14"/>
  <c r="H14" i="19"/>
  <c r="D35" i="6"/>
  <c r="E35" s="1"/>
  <c r="C35" i="38648" s="1"/>
  <c r="E35" i="38667"/>
  <c r="J40" i="38659"/>
  <c r="G40"/>
  <c r="K40" s="1"/>
  <c r="F13" i="5"/>
  <c r="G13" i="38"/>
  <c r="C13"/>
  <c r="E13"/>
  <c r="I13" i="20"/>
  <c r="C13" i="8"/>
  <c r="C13" i="9"/>
  <c r="I13" i="11"/>
  <c r="E13" i="36"/>
  <c r="E13" i="82"/>
  <c r="I13" i="25"/>
  <c r="I13" i="38655"/>
  <c r="F13"/>
  <c r="F13" i="8"/>
  <c r="G13" i="25"/>
  <c r="C13" i="82"/>
  <c r="C13" i="11"/>
  <c r="C13" i="10"/>
  <c r="I13"/>
  <c r="C13" i="54"/>
  <c r="G13" i="34"/>
  <c r="I13" i="9"/>
  <c r="F13" i="54"/>
  <c r="C13" i="36"/>
  <c r="F13" i="10"/>
  <c r="C13" i="34"/>
  <c r="C13" i="35"/>
  <c r="G13" i="36"/>
  <c r="E13" i="34"/>
  <c r="C13" i="27"/>
  <c r="C13" i="76" s="1"/>
  <c r="F13" i="11"/>
  <c r="C13" i="25"/>
  <c r="C13" i="7"/>
  <c r="E13" i="37"/>
  <c r="I13" i="26"/>
  <c r="F13"/>
  <c r="E13" i="35"/>
  <c r="F13" i="38656"/>
  <c r="I13" i="54"/>
  <c r="C13" i="26"/>
  <c r="C13" i="37"/>
  <c r="E13" i="25"/>
  <c r="F13" i="9"/>
  <c r="F13" i="76"/>
  <c r="C13" i="38656"/>
  <c r="F13" i="18"/>
  <c r="C13" i="38655"/>
  <c r="C13" i="20"/>
  <c r="C13" i="18"/>
  <c r="I13"/>
  <c r="C13" i="19"/>
  <c r="E13"/>
  <c r="F13" i="20"/>
  <c r="H13" i="19"/>
  <c r="J17" i="38659"/>
  <c r="G17"/>
  <c r="K17" s="1"/>
  <c r="J35"/>
  <c r="G35"/>
  <c r="K35" s="1"/>
  <c r="J47"/>
  <c r="G47"/>
  <c r="K47" s="1"/>
  <c r="F18" i="5"/>
  <c r="E18" i="38"/>
  <c r="G18"/>
  <c r="C18"/>
  <c r="I18" i="20"/>
  <c r="C18" i="8"/>
  <c r="C18" i="34"/>
  <c r="G18" i="36"/>
  <c r="E18"/>
  <c r="C18"/>
  <c r="E18" i="37"/>
  <c r="I18" i="26"/>
  <c r="C18" i="54"/>
  <c r="C18" i="82"/>
  <c r="E18" i="34"/>
  <c r="F18" i="26"/>
  <c r="G18" i="34"/>
  <c r="C18" i="37"/>
  <c r="C18" i="11"/>
  <c r="C18" i="25"/>
  <c r="C18" i="35"/>
  <c r="C18" i="26"/>
  <c r="C18" i="9"/>
  <c r="I18" i="25"/>
  <c r="F18" i="11"/>
  <c r="F18" i="8"/>
  <c r="C18" i="27"/>
  <c r="C18" i="76" s="1"/>
  <c r="E18" i="35"/>
  <c r="E18" i="25"/>
  <c r="C18" i="7"/>
  <c r="E18" i="82"/>
  <c r="F18" i="38656"/>
  <c r="F18" i="38655"/>
  <c r="I18" i="54"/>
  <c r="I18" i="9"/>
  <c r="C18" i="10"/>
  <c r="F18"/>
  <c r="G18" i="25"/>
  <c r="I18" i="11"/>
  <c r="I18" i="10"/>
  <c r="I18" i="18"/>
  <c r="C18" i="38655"/>
  <c r="F18" i="9"/>
  <c r="C18" i="20"/>
  <c r="E18" i="19"/>
  <c r="F18" i="54"/>
  <c r="F18" i="20"/>
  <c r="F18" i="18"/>
  <c r="C18" i="19"/>
  <c r="I18" i="38655"/>
  <c r="C18" i="38656"/>
  <c r="F18" i="76"/>
  <c r="C18" i="18"/>
  <c r="H18" i="19"/>
  <c r="E48" i="70"/>
  <c r="I48" i="45"/>
  <c r="C11"/>
  <c r="G11" i="42" s="1"/>
  <c r="C11" i="44"/>
  <c r="C11" i="42" s="1"/>
  <c r="I11" i="44"/>
  <c r="F11" i="42" s="1"/>
  <c r="E11" i="44"/>
  <c r="D11" i="42" s="1"/>
  <c r="G11" i="45"/>
  <c r="E11"/>
  <c r="H11" i="42" s="1"/>
  <c r="G11" i="44"/>
  <c r="E11" i="42" s="1"/>
  <c r="J41" i="38659"/>
  <c r="G41"/>
  <c r="K41" s="1"/>
  <c r="F24" i="5"/>
  <c r="C24" i="38"/>
  <c r="E24"/>
  <c r="G24"/>
  <c r="I24" i="20"/>
  <c r="G24" i="36"/>
  <c r="C24" i="82"/>
  <c r="C24" i="37"/>
  <c r="G24" i="34"/>
  <c r="F24" i="11"/>
  <c r="I24" i="25"/>
  <c r="I24" i="38655"/>
  <c r="C24" i="35"/>
  <c r="C24" i="8"/>
  <c r="C24" i="54"/>
  <c r="C24" i="11"/>
  <c r="C24" i="9"/>
  <c r="C24" i="27"/>
  <c r="C24" i="76" s="1"/>
  <c r="E24" i="25"/>
  <c r="I24" i="11"/>
  <c r="F24" i="54"/>
  <c r="F24" i="8"/>
  <c r="E24" i="82"/>
  <c r="I24" i="26"/>
  <c r="C24" i="36"/>
  <c r="F24" i="26"/>
  <c r="C24"/>
  <c r="F24" i="38655"/>
  <c r="E24" i="34"/>
  <c r="E24" i="37"/>
  <c r="G24" i="25"/>
  <c r="C24" i="34"/>
  <c r="E24" i="35"/>
  <c r="C24" i="38656"/>
  <c r="E24" i="36"/>
  <c r="I24" i="54"/>
  <c r="I24" i="10"/>
  <c r="C24" i="7"/>
  <c r="F24" i="38656"/>
  <c r="I24" i="9"/>
  <c r="F24"/>
  <c r="F24" i="10"/>
  <c r="C24"/>
  <c r="C24" i="25"/>
  <c r="C24" i="18"/>
  <c r="F24" i="20"/>
  <c r="E24" i="19"/>
  <c r="I24" i="18"/>
  <c r="F24"/>
  <c r="C24" i="19"/>
  <c r="C24" i="20"/>
  <c r="F24" i="76"/>
  <c r="C24" i="38655"/>
  <c r="H24" i="19"/>
  <c r="F37" i="5"/>
  <c r="C37" i="38"/>
  <c r="G37"/>
  <c r="E37"/>
  <c r="I37" i="38655"/>
  <c r="G37" i="34"/>
  <c r="E37" i="36"/>
  <c r="E37" i="25"/>
  <c r="I37" i="20"/>
  <c r="F37" i="9"/>
  <c r="F37" i="38655"/>
  <c r="E37" i="34"/>
  <c r="C37" i="36"/>
  <c r="C37" i="9"/>
  <c r="F37" i="10"/>
  <c r="I37" i="25"/>
  <c r="G37" i="36"/>
  <c r="C37" i="82"/>
  <c r="C37" i="54"/>
  <c r="E37" i="82"/>
  <c r="C37" i="25"/>
  <c r="C37" i="10"/>
  <c r="E37" i="35"/>
  <c r="G37" i="25"/>
  <c r="C37" i="26"/>
  <c r="C37" i="8"/>
  <c r="C37" i="37"/>
  <c r="C37" i="35"/>
  <c r="F37" i="26"/>
  <c r="C37" i="7"/>
  <c r="I37" i="11"/>
  <c r="I37" i="54"/>
  <c r="C37" i="34"/>
  <c r="F37" i="54"/>
  <c r="C37" i="11"/>
  <c r="I37" i="9"/>
  <c r="F37" i="11"/>
  <c r="F37" i="8"/>
  <c r="I37" i="26"/>
  <c r="I37" i="10"/>
  <c r="F37" i="38656"/>
  <c r="E37" i="37"/>
  <c r="F37" i="18"/>
  <c r="E37" i="19"/>
  <c r="C37" i="27"/>
  <c r="C37" i="76" s="1"/>
  <c r="C37" i="38655"/>
  <c r="I37" i="18"/>
  <c r="C37" i="19"/>
  <c r="C37" i="20"/>
  <c r="F37"/>
  <c r="C37" i="18"/>
  <c r="C37" i="38656"/>
  <c r="H37" i="19"/>
  <c r="F37" i="76"/>
  <c r="D34" i="6"/>
  <c r="E34" s="1"/>
  <c r="C34" i="38648" s="1"/>
  <c r="E34" i="38667"/>
  <c r="J42" i="38659"/>
  <c r="G42"/>
  <c r="K42" s="1"/>
  <c r="F43" i="5"/>
  <c r="C43" i="38"/>
  <c r="E43"/>
  <c r="G43"/>
  <c r="I43" i="20"/>
  <c r="I43" i="25"/>
  <c r="C43" i="37"/>
  <c r="C43" i="27"/>
  <c r="C43" i="76" s="1"/>
  <c r="C43" i="8"/>
  <c r="E43" i="37"/>
  <c r="I43" i="38655"/>
  <c r="F43" i="9"/>
  <c r="C43"/>
  <c r="F43" i="11"/>
  <c r="E43" i="82"/>
  <c r="C43" i="26"/>
  <c r="C43" i="25"/>
  <c r="E43" i="35"/>
  <c r="F43" i="10"/>
  <c r="C43" i="7"/>
  <c r="C43" i="38656"/>
  <c r="C43" i="11"/>
  <c r="E43" i="36"/>
  <c r="C43" i="34"/>
  <c r="C43" i="35"/>
  <c r="G43" i="36"/>
  <c r="I43" i="10"/>
  <c r="F43" i="8"/>
  <c r="I43" i="9"/>
  <c r="F43" i="26"/>
  <c r="E43" i="25"/>
  <c r="I43" i="26"/>
  <c r="E43" i="34"/>
  <c r="C43" i="36"/>
  <c r="F43" i="38656"/>
  <c r="C43" i="10"/>
  <c r="G43" i="25"/>
  <c r="C43" i="82"/>
  <c r="G43" i="34"/>
  <c r="F43" i="38655"/>
  <c r="C43" i="20"/>
  <c r="F43"/>
  <c r="F43" i="54"/>
  <c r="E43" i="19"/>
  <c r="C43"/>
  <c r="I43" i="11"/>
  <c r="C43" i="18"/>
  <c r="I43" i="54"/>
  <c r="C43" i="38655"/>
  <c r="F43" i="18"/>
  <c r="I43"/>
  <c r="C43" i="54"/>
  <c r="F43" i="76"/>
  <c r="H43" i="19"/>
  <c r="F17" i="5"/>
  <c r="C17" i="38"/>
  <c r="E17"/>
  <c r="G17"/>
  <c r="I17" i="20"/>
  <c r="G17" i="36"/>
  <c r="C17" i="27"/>
  <c r="C17" i="76" s="1"/>
  <c r="C17" i="37"/>
  <c r="C17" i="9"/>
  <c r="I17" i="10"/>
  <c r="C17" i="34"/>
  <c r="F17" i="54"/>
  <c r="E17" i="25"/>
  <c r="G17" i="34"/>
  <c r="I17" i="26"/>
  <c r="F17" i="38656"/>
  <c r="C17" i="10"/>
  <c r="F17" i="26"/>
  <c r="I17" i="11"/>
  <c r="E17" i="34"/>
  <c r="C17" i="35"/>
  <c r="I17" i="54"/>
  <c r="C17" i="25"/>
  <c r="C17" i="26"/>
  <c r="C17" i="54"/>
  <c r="F17" i="10"/>
  <c r="F17" i="38655"/>
  <c r="G17" i="25"/>
  <c r="E17" i="35"/>
  <c r="E17" i="37"/>
  <c r="E17" i="36"/>
  <c r="E17" i="82"/>
  <c r="F17" i="8"/>
  <c r="C17" i="11"/>
  <c r="I17" i="25"/>
  <c r="I17" i="38655"/>
  <c r="C17" i="82"/>
  <c r="F17" i="11"/>
  <c r="C17" i="8"/>
  <c r="C17" i="36"/>
  <c r="F17" i="9"/>
  <c r="C17" i="7"/>
  <c r="I17" i="18"/>
  <c r="F17"/>
  <c r="C17" i="19"/>
  <c r="I17" i="9"/>
  <c r="F17" i="20"/>
  <c r="C17"/>
  <c r="F17" i="76"/>
  <c r="E17" i="19"/>
  <c r="C17" i="38656"/>
  <c r="C17" i="38655"/>
  <c r="H17" i="19"/>
  <c r="C17" i="18"/>
  <c r="F20" i="5"/>
  <c r="E20" i="38"/>
  <c r="C20"/>
  <c r="G20"/>
  <c r="C20" i="37"/>
  <c r="I20" i="20"/>
  <c r="C20" i="8"/>
  <c r="C20" i="25"/>
  <c r="F20" i="10"/>
  <c r="F20" i="38655"/>
  <c r="G20" i="36"/>
  <c r="F20" i="38656"/>
  <c r="I20" i="11"/>
  <c r="E20" i="35"/>
  <c r="C20"/>
  <c r="F20" i="8"/>
  <c r="C20" i="82"/>
  <c r="C20" i="9"/>
  <c r="C20" i="11"/>
  <c r="C20" i="10"/>
  <c r="G20" i="25"/>
  <c r="C20" i="38656"/>
  <c r="I20" i="25"/>
  <c r="C20" i="54"/>
  <c r="I20" i="9"/>
  <c r="C20" i="34"/>
  <c r="F20" i="9"/>
  <c r="I20" i="26"/>
  <c r="I20" i="38655"/>
  <c r="F20" i="26"/>
  <c r="F20" i="11"/>
  <c r="E20" i="82"/>
  <c r="I20" i="10"/>
  <c r="G20" i="34"/>
  <c r="C20" i="36"/>
  <c r="I20" i="54"/>
  <c r="C20" i="7"/>
  <c r="E20" i="34"/>
  <c r="C20" i="26"/>
  <c r="E20" i="36"/>
  <c r="F20" i="54"/>
  <c r="E20" i="25"/>
  <c r="E20" i="37"/>
  <c r="F20" i="18"/>
  <c r="F20" i="20"/>
  <c r="I20" i="18"/>
  <c r="C20" i="20"/>
  <c r="C20" i="27"/>
  <c r="C20" i="76" s="1"/>
  <c r="C20" i="19"/>
  <c r="C20" i="18"/>
  <c r="E20" i="19"/>
  <c r="C20" i="38655"/>
  <c r="F20" i="76"/>
  <c r="H20" i="19"/>
  <c r="F22" i="5"/>
  <c r="C22" i="38"/>
  <c r="G22"/>
  <c r="E22"/>
  <c r="I22" i="20"/>
  <c r="I22" i="11"/>
  <c r="E22" i="34"/>
  <c r="F22" i="38656"/>
  <c r="F22" i="8"/>
  <c r="C22" i="37"/>
  <c r="C22" i="8"/>
  <c r="F22" i="11"/>
  <c r="G22" i="25"/>
  <c r="F22" i="38655"/>
  <c r="C22" i="34"/>
  <c r="F22" i="54"/>
  <c r="F22" i="26"/>
  <c r="E22" i="36"/>
  <c r="I22" i="10"/>
  <c r="C22" i="25"/>
  <c r="F22" i="10"/>
  <c r="I22" i="9"/>
  <c r="C22" i="35"/>
  <c r="I22" i="26"/>
  <c r="I22" i="25"/>
  <c r="C22" i="11"/>
  <c r="I22" i="38655"/>
  <c r="C22" i="27"/>
  <c r="C22" i="76" s="1"/>
  <c r="E22" i="37"/>
  <c r="E22" i="35"/>
  <c r="I22" i="54"/>
  <c r="C22" i="10"/>
  <c r="E22" i="25"/>
  <c r="C22" i="7"/>
  <c r="C22" i="36"/>
  <c r="C22" i="26"/>
  <c r="C22" i="9"/>
  <c r="E22" i="82"/>
  <c r="G22" i="36"/>
  <c r="F22" i="9"/>
  <c r="G22" i="34"/>
  <c r="C22" i="82"/>
  <c r="C22" i="54"/>
  <c r="C22" i="19"/>
  <c r="C22" i="38655"/>
  <c r="E22" i="19"/>
  <c r="F22" i="76"/>
  <c r="C22" i="38656"/>
  <c r="I22" i="18"/>
  <c r="C22" i="20"/>
  <c r="F22"/>
  <c r="C22" i="18"/>
  <c r="F22"/>
  <c r="H22" i="19"/>
  <c r="J27" i="38659"/>
  <c r="G27"/>
  <c r="K27" s="1"/>
  <c r="F50" i="5"/>
  <c r="D50" i="6" s="1"/>
  <c r="E50" s="1"/>
  <c r="C50" i="38648" s="1"/>
  <c r="G50" i="38"/>
  <c r="C50"/>
  <c r="E50"/>
  <c r="F50" i="26"/>
  <c r="I50" i="20"/>
  <c r="I50" i="11"/>
  <c r="F50" i="8"/>
  <c r="C50" i="34"/>
  <c r="E50" i="25"/>
  <c r="C50" i="11"/>
  <c r="C50" i="9"/>
  <c r="E50" i="37"/>
  <c r="G50" i="25"/>
  <c r="C50" i="8"/>
  <c r="F50" i="11"/>
  <c r="E50" i="34"/>
  <c r="F50" i="54"/>
  <c r="C50" i="37"/>
  <c r="C50" i="35"/>
  <c r="I50" i="9"/>
  <c r="G50" i="36"/>
  <c r="F50" i="9"/>
  <c r="F50" i="38655"/>
  <c r="F50" i="38656"/>
  <c r="I50" i="38655"/>
  <c r="I50" i="25"/>
  <c r="E50" i="36"/>
  <c r="C50" i="10"/>
  <c r="E50" i="35"/>
  <c r="I50" i="54"/>
  <c r="C50" i="27"/>
  <c r="C50" i="76" s="1"/>
  <c r="C50" i="25"/>
  <c r="C50" i="7"/>
  <c r="G50" i="34"/>
  <c r="C50" i="26"/>
  <c r="C50" i="36"/>
  <c r="F50" i="10"/>
  <c r="E50" i="82"/>
  <c r="I50" i="26"/>
  <c r="C50" i="54"/>
  <c r="C50" i="82"/>
  <c r="I50" i="10"/>
  <c r="C50" i="20"/>
  <c r="C50" i="18"/>
  <c r="F50" i="20"/>
  <c r="E50" i="19"/>
  <c r="C50" i="38656"/>
  <c r="C50" i="19"/>
  <c r="F50" i="76"/>
  <c r="C50" i="38655"/>
  <c r="F50" i="18"/>
  <c r="I50"/>
  <c r="H50" i="19"/>
  <c r="J15" i="38659"/>
  <c r="G15"/>
  <c r="K15" s="1"/>
  <c r="J18"/>
  <c r="G18"/>
  <c r="K18" s="1"/>
  <c r="D29" i="6"/>
  <c r="E29" s="1"/>
  <c r="C29" i="38648" s="1"/>
  <c r="E29" i="38667"/>
  <c r="F45" i="5"/>
  <c r="C45" i="38"/>
  <c r="G45"/>
  <c r="E45"/>
  <c r="G45" i="36"/>
  <c r="I45" i="20"/>
  <c r="G45" i="34"/>
  <c r="C45" i="36"/>
  <c r="F45" i="54"/>
  <c r="I45" i="25"/>
  <c r="I45" i="10"/>
  <c r="F45" i="38656"/>
  <c r="C45" i="25"/>
  <c r="C45" i="34"/>
  <c r="I45" i="26"/>
  <c r="I45" i="54"/>
  <c r="C45" i="37"/>
  <c r="F45" i="8"/>
  <c r="I45" i="11"/>
  <c r="F45" i="10"/>
  <c r="F45" i="11"/>
  <c r="G45" i="25"/>
  <c r="E45" i="35"/>
  <c r="C45" i="10"/>
  <c r="F45" i="38655"/>
  <c r="E45" i="36"/>
  <c r="C45" i="26"/>
  <c r="F45"/>
  <c r="F45" i="9"/>
  <c r="C45"/>
  <c r="I45" i="38655"/>
  <c r="E45" i="25"/>
  <c r="C45" i="11"/>
  <c r="E45" i="82"/>
  <c r="C45" i="7"/>
  <c r="E45" i="34"/>
  <c r="C45" i="35"/>
  <c r="E45" i="37"/>
  <c r="C45" i="38656"/>
  <c r="C45" i="54"/>
  <c r="I45" i="9"/>
  <c r="C45" i="82"/>
  <c r="C45" i="8"/>
  <c r="C45" i="38655"/>
  <c r="E45" i="19"/>
  <c r="C45" i="27"/>
  <c r="C45" i="76" s="1"/>
  <c r="C45" i="19"/>
  <c r="F45" i="18"/>
  <c r="I45"/>
  <c r="C45" i="20"/>
  <c r="F45"/>
  <c r="F45" i="76"/>
  <c r="H45" i="19"/>
  <c r="C45" i="18"/>
  <c r="J14" i="38659"/>
  <c r="G14"/>
  <c r="K14" s="1"/>
  <c r="J21"/>
  <c r="G21"/>
  <c r="K21" s="1"/>
  <c r="F39" i="5"/>
  <c r="E39" i="38"/>
  <c r="C39"/>
  <c r="G39"/>
  <c r="C39" i="38656"/>
  <c r="I39" i="20"/>
  <c r="F39" i="9"/>
  <c r="G39" i="34"/>
  <c r="C39" i="9"/>
  <c r="E39" i="25"/>
  <c r="C39" i="82"/>
  <c r="I39" i="9"/>
  <c r="C39" i="35"/>
  <c r="E39" i="34"/>
  <c r="F39" i="38656"/>
  <c r="I39" i="54"/>
  <c r="F39" i="38655"/>
  <c r="G39" i="25"/>
  <c r="C39" i="37"/>
  <c r="F39" i="8"/>
  <c r="C39"/>
  <c r="I39" i="26"/>
  <c r="C39" i="10"/>
  <c r="F39" i="54"/>
  <c r="C39" i="27"/>
  <c r="C39" i="76" s="1"/>
  <c r="G39" i="36"/>
  <c r="F39" i="11"/>
  <c r="E39" i="36"/>
  <c r="E39" i="35"/>
  <c r="F39" i="26"/>
  <c r="I39" i="10"/>
  <c r="C39" i="26"/>
  <c r="C39" i="7"/>
  <c r="C39" i="11"/>
  <c r="C39" i="36"/>
  <c r="C39" i="34"/>
  <c r="I39" i="38655"/>
  <c r="F39" i="10"/>
  <c r="C39" i="25"/>
  <c r="E39" i="82"/>
  <c r="C39" i="54"/>
  <c r="E39" i="37"/>
  <c r="I39" i="11"/>
  <c r="I39" i="25"/>
  <c r="F39" i="20"/>
  <c r="I39" i="18"/>
  <c r="F39"/>
  <c r="C39" i="38655"/>
  <c r="E39" i="19"/>
  <c r="C39" i="18"/>
  <c r="C39" i="19"/>
  <c r="C39" i="20"/>
  <c r="F39" i="76"/>
  <c r="H39" i="19"/>
  <c r="J39" i="38659"/>
  <c r="G39"/>
  <c r="K39" s="1"/>
  <c r="J45"/>
  <c r="G45"/>
  <c r="K45" s="1"/>
  <c r="J46"/>
  <c r="G46"/>
  <c r="K46" s="1"/>
  <c r="J19"/>
  <c r="G19"/>
  <c r="K19" s="1"/>
  <c r="F36" i="5"/>
  <c r="E36" i="38"/>
  <c r="G36"/>
  <c r="C36"/>
  <c r="F36" i="26"/>
  <c r="I36" i="20"/>
  <c r="G36" i="34"/>
  <c r="I36" i="11"/>
  <c r="F36" i="38655"/>
  <c r="C36" i="11"/>
  <c r="E36" i="25"/>
  <c r="I36" i="9"/>
  <c r="E36" i="82"/>
  <c r="F36" i="11"/>
  <c r="I36" i="25"/>
  <c r="F36" i="10"/>
  <c r="I36" i="26"/>
  <c r="E36" i="37"/>
  <c r="C36" i="35"/>
  <c r="C36" i="37"/>
  <c r="C36" i="9"/>
  <c r="C36" i="25"/>
  <c r="F36" i="8"/>
  <c r="C36" i="36"/>
  <c r="G36"/>
  <c r="F36" i="38656"/>
  <c r="C36" i="7"/>
  <c r="C36" i="38656"/>
  <c r="F36" i="9"/>
  <c r="I36" i="10"/>
  <c r="F36" i="54"/>
  <c r="C36" i="10"/>
  <c r="E36" i="36"/>
  <c r="C36" i="82"/>
  <c r="E36" i="34"/>
  <c r="C36"/>
  <c r="C36" i="8"/>
  <c r="C36" i="26"/>
  <c r="I36" i="54"/>
  <c r="E36" i="35"/>
  <c r="G36" i="25"/>
  <c r="C36" i="54"/>
  <c r="C36" i="38655"/>
  <c r="F36" i="20"/>
  <c r="I36" i="18"/>
  <c r="C36" i="20"/>
  <c r="C36" i="18"/>
  <c r="F36"/>
  <c r="C36" i="27"/>
  <c r="C36" i="76" s="1"/>
  <c r="I36" i="38655"/>
  <c r="E36" i="19"/>
  <c r="C36"/>
  <c r="F36" i="76"/>
  <c r="H36" i="19"/>
  <c r="J24" i="38659"/>
  <c r="G24"/>
  <c r="K24" s="1"/>
  <c r="J43"/>
  <c r="G43"/>
  <c r="K43" s="1"/>
  <c r="J52"/>
  <c r="G52"/>
  <c r="K52" s="1"/>
  <c r="J30"/>
  <c r="G30"/>
  <c r="K30" s="1"/>
  <c r="D27" i="6"/>
  <c r="E27" s="1"/>
  <c r="C27" i="38648" s="1"/>
  <c r="E27" i="38667"/>
  <c r="F31" i="5"/>
  <c r="G31" i="38"/>
  <c r="C31"/>
  <c r="E31"/>
  <c r="I31" i="20"/>
  <c r="G31" i="34"/>
  <c r="C31" i="37"/>
  <c r="E31" i="25"/>
  <c r="C31" i="11"/>
  <c r="I31" i="26"/>
  <c r="I31" i="38655"/>
  <c r="E31" i="35"/>
  <c r="E31" i="37"/>
  <c r="G31" i="36"/>
  <c r="C31" i="27"/>
  <c r="C31" i="76" s="1"/>
  <c r="F31" i="10"/>
  <c r="F31" i="9"/>
  <c r="C31" i="10"/>
  <c r="F31" i="38655"/>
  <c r="I31" i="11"/>
  <c r="F31" i="26"/>
  <c r="I31" i="25"/>
  <c r="C31" i="34"/>
  <c r="E31"/>
  <c r="F31" i="8"/>
  <c r="I31" i="9"/>
  <c r="I31" i="10"/>
  <c r="C31" i="35"/>
  <c r="C31" i="9"/>
  <c r="C31" i="82"/>
  <c r="F31" i="54"/>
  <c r="C31" i="25"/>
  <c r="C31" i="8"/>
  <c r="C31" i="54"/>
  <c r="F31" i="11"/>
  <c r="C31" i="7"/>
  <c r="E31" i="82"/>
  <c r="C31" i="26"/>
  <c r="E31" i="36"/>
  <c r="G31" i="25"/>
  <c r="C31" i="36"/>
  <c r="I31" i="54"/>
  <c r="F31" i="38656"/>
  <c r="C31"/>
  <c r="F31" i="20"/>
  <c r="C31" i="38655"/>
  <c r="C31" i="19"/>
  <c r="I31" i="18"/>
  <c r="F31" i="76"/>
  <c r="C31" i="20"/>
  <c r="C31" i="18"/>
  <c r="E31" i="19"/>
  <c r="F31" i="18"/>
  <c r="H31" i="19"/>
  <c r="J23" i="38659"/>
  <c r="G23"/>
  <c r="K23" s="1"/>
  <c r="F44" i="5"/>
  <c r="C44" i="38"/>
  <c r="E44"/>
  <c r="G44"/>
  <c r="E44" i="36"/>
  <c r="I44" i="20"/>
  <c r="C44" i="7"/>
  <c r="I44" i="54"/>
  <c r="C44" i="27"/>
  <c r="C44" i="76" s="1"/>
  <c r="F44" i="8"/>
  <c r="C44" i="25"/>
  <c r="C44" i="9"/>
  <c r="E44" i="35"/>
  <c r="C44" i="8"/>
  <c r="F44" i="9"/>
  <c r="I44" i="26"/>
  <c r="E44" i="37"/>
  <c r="C44" i="10"/>
  <c r="I44" i="38655"/>
  <c r="C44" i="37"/>
  <c r="F44" i="38655"/>
  <c r="C44" i="36"/>
  <c r="E44" i="82"/>
  <c r="F44" i="10"/>
  <c r="I44" i="9"/>
  <c r="C44" i="11"/>
  <c r="G44" i="25"/>
  <c r="C44" i="26"/>
  <c r="F44"/>
  <c r="E44" i="25"/>
  <c r="C44" i="54"/>
  <c r="C44" i="82"/>
  <c r="I44" i="10"/>
  <c r="G44" i="34"/>
  <c r="C44"/>
  <c r="F44" i="54"/>
  <c r="I44" i="25"/>
  <c r="C44" i="35"/>
  <c r="F44" i="38656"/>
  <c r="G44" i="36"/>
  <c r="I44" i="11"/>
  <c r="E44" i="34"/>
  <c r="F44" i="11"/>
  <c r="C44" i="19"/>
  <c r="C44" i="38655"/>
  <c r="F44" i="20"/>
  <c r="C44" i="38656"/>
  <c r="F44" i="76"/>
  <c r="C44" i="20"/>
  <c r="E44" i="19"/>
  <c r="I44" i="18"/>
  <c r="F44"/>
  <c r="C44"/>
  <c r="H44" i="19"/>
  <c r="J38" i="38659"/>
  <c r="G38"/>
  <c r="K38" s="1"/>
  <c r="F23" i="5"/>
  <c r="C23" i="38"/>
  <c r="G23"/>
  <c r="E23"/>
  <c r="I23" i="20"/>
  <c r="F23" i="8"/>
  <c r="C23" i="34"/>
  <c r="E23" i="82"/>
  <c r="E23" i="35"/>
  <c r="I23" i="10"/>
  <c r="G23" i="25"/>
  <c r="F23" i="26"/>
  <c r="F23" i="54"/>
  <c r="C23" i="82"/>
  <c r="C23" i="36"/>
  <c r="I23" i="26"/>
  <c r="C23" i="54"/>
  <c r="I23"/>
  <c r="C23" i="26"/>
  <c r="C23" i="9"/>
  <c r="C23" i="25"/>
  <c r="F23" i="9"/>
  <c r="F23" i="10"/>
  <c r="G23" i="34"/>
  <c r="C23" i="10"/>
  <c r="I23" i="25"/>
  <c r="E23" i="37"/>
  <c r="F23" i="11"/>
  <c r="F23" i="38656"/>
  <c r="E23" i="25"/>
  <c r="E23" i="34"/>
  <c r="E23" i="36"/>
  <c r="I23" i="9"/>
  <c r="F23" i="38655"/>
  <c r="I23" i="11"/>
  <c r="G23" i="36"/>
  <c r="C23" i="8"/>
  <c r="C23" i="38656"/>
  <c r="C23" i="7"/>
  <c r="C23" i="37"/>
  <c r="C23" i="11"/>
  <c r="C23" i="35"/>
  <c r="I23" i="38655"/>
  <c r="C23" i="27"/>
  <c r="C23" i="76" s="1"/>
  <c r="C23" i="19"/>
  <c r="C23" i="18"/>
  <c r="F23" i="20"/>
  <c r="F23" i="18"/>
  <c r="C23" i="20"/>
  <c r="I23" i="18"/>
  <c r="C23" i="38655"/>
  <c r="F23" i="76"/>
  <c r="H23" i="19"/>
  <c r="E23"/>
  <c r="F41" i="5"/>
  <c r="C41" i="38"/>
  <c r="G41"/>
  <c r="E41"/>
  <c r="I41" i="10"/>
  <c r="I41" i="20"/>
  <c r="C41" i="26"/>
  <c r="E41" i="36"/>
  <c r="I41" i="38655"/>
  <c r="I41" i="9"/>
  <c r="C41" i="34"/>
  <c r="F41" i="26"/>
  <c r="F41" i="38655"/>
  <c r="I41" i="54"/>
  <c r="C41" i="82"/>
  <c r="C41" i="7"/>
  <c r="I41" i="11"/>
  <c r="C41" i="35"/>
  <c r="C41" i="10"/>
  <c r="G41" i="36"/>
  <c r="F41" i="10"/>
  <c r="C41" i="36"/>
  <c r="E41" i="37"/>
  <c r="C41" i="9"/>
  <c r="C41" i="11"/>
  <c r="F41"/>
  <c r="C41" i="27"/>
  <c r="C41" i="76" s="1"/>
  <c r="F41" i="38656"/>
  <c r="E41" i="34"/>
  <c r="G41"/>
  <c r="I41" i="26"/>
  <c r="I41" i="25"/>
  <c r="C41" i="8"/>
  <c r="E41" i="82"/>
  <c r="E41" i="35"/>
  <c r="C41" i="38656"/>
  <c r="C41" i="54"/>
  <c r="F41" i="9"/>
  <c r="G41" i="25"/>
  <c r="F41" i="54"/>
  <c r="C41" i="25"/>
  <c r="F41" i="8"/>
  <c r="C41" i="37"/>
  <c r="E41" i="25"/>
  <c r="F41" i="18"/>
  <c r="F41" i="76"/>
  <c r="C41" i="18"/>
  <c r="F41" i="20"/>
  <c r="C41" i="38655"/>
  <c r="I41" i="18"/>
  <c r="C41" i="19"/>
  <c r="E41"/>
  <c r="C41" i="20"/>
  <c r="H41" i="19"/>
  <c r="D30" i="6"/>
  <c r="E30" s="1"/>
  <c r="C30" i="38648" s="1"/>
  <c r="E30" i="38667"/>
  <c r="F16" i="5"/>
  <c r="G16" i="38"/>
  <c r="C16"/>
  <c r="E16"/>
  <c r="G16" i="34"/>
  <c r="E16" i="36"/>
  <c r="I16" i="20"/>
  <c r="I16" i="25"/>
  <c r="E16"/>
  <c r="I16" i="11"/>
  <c r="C16" i="38656"/>
  <c r="C16" i="8"/>
  <c r="F16" i="11"/>
  <c r="C16"/>
  <c r="I16" i="26"/>
  <c r="C16"/>
  <c r="F16" i="54"/>
  <c r="C16" i="36"/>
  <c r="E16" i="37"/>
  <c r="I16" i="54"/>
  <c r="C16"/>
  <c r="I16" i="9"/>
  <c r="F16" i="10"/>
  <c r="F16" i="26"/>
  <c r="G16" i="25"/>
  <c r="C16" i="10"/>
  <c r="C16" i="34"/>
  <c r="G16" i="36"/>
  <c r="F16" i="9"/>
  <c r="F16" i="38655"/>
  <c r="E16" i="35"/>
  <c r="C16" i="9"/>
  <c r="E16" i="82"/>
  <c r="E16" i="34"/>
  <c r="C16" i="25"/>
  <c r="C16" i="82"/>
  <c r="F16" i="38656"/>
  <c r="I16" i="10"/>
  <c r="C16" i="37"/>
  <c r="C16" i="35"/>
  <c r="C16" i="20"/>
  <c r="C16" i="7"/>
  <c r="F16" i="8"/>
  <c r="I16" i="38655"/>
  <c r="C16"/>
  <c r="C16" i="27"/>
  <c r="C16" i="76" s="1"/>
  <c r="F16" i="18"/>
  <c r="F16" i="20"/>
  <c r="I16" i="18"/>
  <c r="C16" i="19"/>
  <c r="F16" i="76"/>
  <c r="C16" i="18"/>
  <c r="H16" i="19"/>
  <c r="E16"/>
  <c r="J48" i="38659"/>
  <c r="G48"/>
  <c r="K48" s="1"/>
  <c r="F12" i="5"/>
  <c r="E12" i="38"/>
  <c r="G12"/>
  <c r="C12"/>
  <c r="C12" i="37"/>
  <c r="I12" i="20"/>
  <c r="I12" i="10"/>
  <c r="C12" i="11"/>
  <c r="F12" i="26"/>
  <c r="F12" i="8"/>
  <c r="C12" i="10"/>
  <c r="I12" i="38655"/>
  <c r="E12" i="35"/>
  <c r="C12" i="36"/>
  <c r="C12" i="25"/>
  <c r="I12" i="9"/>
  <c r="C12" i="8"/>
  <c r="F12" i="9"/>
  <c r="G12" i="34"/>
  <c r="I12" i="11"/>
  <c r="E12" i="82"/>
  <c r="C12" i="38656"/>
  <c r="F12"/>
  <c r="C12" i="26"/>
  <c r="C12" i="35"/>
  <c r="G12" i="25"/>
  <c r="F12" i="10"/>
  <c r="F12" i="11"/>
  <c r="C12" i="34"/>
  <c r="E12"/>
  <c r="C12" i="7"/>
  <c r="F12" i="38655"/>
  <c r="C12" i="82"/>
  <c r="I12" i="25"/>
  <c r="E12" i="37"/>
  <c r="C12" i="27"/>
  <c r="C12" i="76" s="1"/>
  <c r="G12" i="36"/>
  <c r="I12" i="26"/>
  <c r="C12" i="9"/>
  <c r="E12" i="36"/>
  <c r="E12" i="25"/>
  <c r="F12" i="54"/>
  <c r="C12"/>
  <c r="I12"/>
  <c r="E12" i="19"/>
  <c r="I12" i="18"/>
  <c r="C12" i="19"/>
  <c r="F12" i="18"/>
  <c r="C12"/>
  <c r="F12" i="20"/>
  <c r="C12" i="38655"/>
  <c r="C12" i="20"/>
  <c r="F12" i="76"/>
  <c r="H12" i="19"/>
  <c r="F19" i="5"/>
  <c r="C19" i="38"/>
  <c r="G19"/>
  <c r="E19"/>
  <c r="F19" i="11"/>
  <c r="G19" i="34"/>
  <c r="I19" i="20"/>
  <c r="C19" i="37"/>
  <c r="C19" i="10"/>
  <c r="I19" i="11"/>
  <c r="F19" i="26"/>
  <c r="C19" i="82"/>
  <c r="C19" i="25"/>
  <c r="C19" i="36"/>
  <c r="E19" i="82"/>
  <c r="C19" i="9"/>
  <c r="I19" i="26"/>
  <c r="E19" i="36"/>
  <c r="C19" i="27"/>
  <c r="C19" i="76" s="1"/>
  <c r="E19" i="34"/>
  <c r="E19" i="35"/>
  <c r="F19" i="38656"/>
  <c r="I19" i="25"/>
  <c r="G19"/>
  <c r="C19" i="26"/>
  <c r="C19" i="35"/>
  <c r="E19" i="37"/>
  <c r="C19" i="54"/>
  <c r="C19" i="8"/>
  <c r="I19" i="54"/>
  <c r="F19" i="9"/>
  <c r="C19" i="34"/>
  <c r="F19" i="10"/>
  <c r="I19"/>
  <c r="F19" i="38655"/>
  <c r="F19" i="54"/>
  <c r="I19" i="9"/>
  <c r="C19" i="7"/>
  <c r="C19" i="11"/>
  <c r="E19" i="25"/>
  <c r="G19" i="36"/>
  <c r="I19" i="38655"/>
  <c r="F19" i="8"/>
  <c r="C19" i="18"/>
  <c r="C19" i="38656"/>
  <c r="C19" i="20"/>
  <c r="C19" i="19"/>
  <c r="F19" i="18"/>
  <c r="F19" i="20"/>
  <c r="C19" i="38655"/>
  <c r="F19" i="76"/>
  <c r="I19" i="18"/>
  <c r="E19" i="19"/>
  <c r="H19"/>
  <c r="F42" i="5"/>
  <c r="C42" i="38"/>
  <c r="E42"/>
  <c r="G42"/>
  <c r="I42" i="20"/>
  <c r="G42" i="34"/>
  <c r="C42" i="35"/>
  <c r="C42" i="7"/>
  <c r="E42" i="34"/>
  <c r="F42" i="8"/>
  <c r="C42" i="11"/>
  <c r="I42" i="54"/>
  <c r="C42"/>
  <c r="C42" i="37"/>
  <c r="C42" i="36"/>
  <c r="E42" i="37"/>
  <c r="E42" i="25"/>
  <c r="C42" i="26"/>
  <c r="F42" i="9"/>
  <c r="I42" i="10"/>
  <c r="C42"/>
  <c r="F42"/>
  <c r="I42" i="26"/>
  <c r="F42" i="38655"/>
  <c r="C42" i="8"/>
  <c r="F42" i="26"/>
  <c r="E42" i="36"/>
  <c r="E42" i="35"/>
  <c r="C42" i="34"/>
  <c r="G42" i="25"/>
  <c r="I42" i="11"/>
  <c r="F42" i="38656"/>
  <c r="C42" i="9"/>
  <c r="C42" i="25"/>
  <c r="E42" i="82"/>
  <c r="I42" i="25"/>
  <c r="I42" i="38655"/>
  <c r="C42" i="82"/>
  <c r="I42" i="9"/>
  <c r="G42" i="36"/>
  <c r="C42" i="27"/>
  <c r="C42" i="76" s="1"/>
  <c r="F42" i="11"/>
  <c r="F42" i="54"/>
  <c r="I42" i="18"/>
  <c r="C42" i="20"/>
  <c r="F42" i="76"/>
  <c r="F42" i="20"/>
  <c r="C42" i="18"/>
  <c r="C42" i="38656"/>
  <c r="C42" i="38655"/>
  <c r="F42" i="18"/>
  <c r="C42" i="19"/>
  <c r="E42"/>
  <c r="H42"/>
  <c r="E13" i="38659"/>
  <c r="B50"/>
  <c r="F51" i="5"/>
  <c r="D51" i="6" s="1"/>
  <c r="E51" s="1"/>
  <c r="C51" i="38648" s="1"/>
  <c r="C51" i="38"/>
  <c r="E51"/>
  <c r="G51"/>
  <c r="F51" i="26"/>
  <c r="I51" i="20"/>
  <c r="G51" i="34"/>
  <c r="C51" i="9"/>
  <c r="C51" i="7"/>
  <c r="I51" i="38655"/>
  <c r="C51" i="54"/>
  <c r="C51" i="38656"/>
  <c r="C51" i="11"/>
  <c r="I51" i="26"/>
  <c r="G51" i="36"/>
  <c r="E51"/>
  <c r="F51" i="54"/>
  <c r="F51" i="9"/>
  <c r="F51" i="38656"/>
  <c r="F51" i="38655"/>
  <c r="C51" i="26"/>
  <c r="C51" i="27"/>
  <c r="C51" i="76" s="1"/>
  <c r="C51" i="37"/>
  <c r="E51" i="34"/>
  <c r="C51" i="8"/>
  <c r="C51" i="25"/>
  <c r="C51" i="38655"/>
  <c r="F51" i="10"/>
  <c r="E51" i="82"/>
  <c r="F51" i="11"/>
  <c r="C51" i="36"/>
  <c r="F51" i="8"/>
  <c r="C51" i="10"/>
  <c r="I51"/>
  <c r="I51" i="54"/>
  <c r="I51" i="25"/>
  <c r="C51" i="35"/>
  <c r="E51" i="25"/>
  <c r="I51" i="9"/>
  <c r="C51" i="34"/>
  <c r="E51" i="37"/>
  <c r="C51" i="82"/>
  <c r="E51" i="35"/>
  <c r="I51" i="11"/>
  <c r="G51" i="25"/>
  <c r="E51" i="19"/>
  <c r="I51" i="18"/>
  <c r="H51" i="19"/>
  <c r="F51" i="76"/>
  <c r="C51" i="19"/>
  <c r="C51" i="20"/>
  <c r="F51" i="18"/>
  <c r="F51" i="20"/>
  <c r="C51" i="18"/>
  <c r="F28" i="5"/>
  <c r="E28" i="38"/>
  <c r="G28"/>
  <c r="C28"/>
  <c r="E28" i="36"/>
  <c r="I28" i="20"/>
  <c r="F28" i="9"/>
  <c r="C28" i="34"/>
  <c r="C28" i="36"/>
  <c r="E28" i="82"/>
  <c r="C28" i="26"/>
  <c r="F28" i="11"/>
  <c r="F28" i="38655"/>
  <c r="C28" i="10"/>
  <c r="I28" i="25"/>
  <c r="I28" i="10"/>
  <c r="C28" i="54"/>
  <c r="F28"/>
  <c r="G28" i="36"/>
  <c r="E28" i="34"/>
  <c r="I28" i="38655"/>
  <c r="F28" i="38656"/>
  <c r="C28"/>
  <c r="C28" i="82"/>
  <c r="I28" i="9"/>
  <c r="F28" i="10"/>
  <c r="C28" i="25"/>
  <c r="C28" i="11"/>
  <c r="C28" i="27"/>
  <c r="C28" i="76" s="1"/>
  <c r="F28" i="26"/>
  <c r="G28" i="25"/>
  <c r="E28" i="37"/>
  <c r="E28" i="35"/>
  <c r="G28" i="34"/>
  <c r="C28" i="35"/>
  <c r="I28" i="26"/>
  <c r="F28" i="8"/>
  <c r="C28" i="37"/>
  <c r="I28" i="11"/>
  <c r="I28" i="54"/>
  <c r="C28" i="8"/>
  <c r="E28" i="25"/>
  <c r="C28" i="9"/>
  <c r="C28" i="7"/>
  <c r="E28" i="19"/>
  <c r="F28" i="76"/>
  <c r="F28" i="20"/>
  <c r="C28" i="19"/>
  <c r="C28" i="18"/>
  <c r="C28" i="38655"/>
  <c r="C28" i="20"/>
  <c r="I28" i="18"/>
  <c r="F28"/>
  <c r="H28" i="19"/>
  <c r="F38" i="5"/>
  <c r="E38" i="38"/>
  <c r="C38"/>
  <c r="G38"/>
  <c r="I38" i="20"/>
  <c r="C38" i="35"/>
  <c r="F38" i="38656"/>
  <c r="I38" i="38655"/>
  <c r="F38" i="54"/>
  <c r="C38" i="9"/>
  <c r="E38" i="25"/>
  <c r="C38"/>
  <c r="C38" i="82"/>
  <c r="G38" i="34"/>
  <c r="C38"/>
  <c r="I38" i="26"/>
  <c r="C38" i="27"/>
  <c r="C38" i="76" s="1"/>
  <c r="E38" i="34"/>
  <c r="I38" i="25"/>
  <c r="F38" i="9"/>
  <c r="F38" i="11"/>
  <c r="G38" i="36"/>
  <c r="I38" i="54"/>
  <c r="F38" i="10"/>
  <c r="C38" i="11"/>
  <c r="F38" i="38655"/>
  <c r="I38" i="9"/>
  <c r="F38" i="8"/>
  <c r="E38" i="35"/>
  <c r="C38" i="26"/>
  <c r="E38" i="82"/>
  <c r="C38" i="7"/>
  <c r="C38" i="36"/>
  <c r="E38"/>
  <c r="C38" i="54"/>
  <c r="C38" i="10"/>
  <c r="E38" i="37"/>
  <c r="G38" i="25"/>
  <c r="C38" i="8"/>
  <c r="I38" i="10"/>
  <c r="F38" i="26"/>
  <c r="C38" i="37"/>
  <c r="C38" i="20"/>
  <c r="F38" i="76"/>
  <c r="C38" i="38656"/>
  <c r="C38" i="18"/>
  <c r="F38" i="20"/>
  <c r="I38" i="11"/>
  <c r="C38" i="38655"/>
  <c r="C38" i="19"/>
  <c r="I38" i="18"/>
  <c r="E38" i="19"/>
  <c r="F38" i="18"/>
  <c r="H38" i="19"/>
  <c r="J33" i="38659"/>
  <c r="G33"/>
  <c r="K33" s="1"/>
  <c r="F15" i="5"/>
  <c r="G15" i="38"/>
  <c r="E15"/>
  <c r="C15"/>
  <c r="E15" i="36"/>
  <c r="I15" i="20"/>
  <c r="C15" i="10"/>
  <c r="F15"/>
  <c r="F15" i="11"/>
  <c r="C15" i="9"/>
  <c r="I15" i="11"/>
  <c r="C15" i="26"/>
  <c r="F15" i="54"/>
  <c r="E15" i="34"/>
  <c r="C15" i="54"/>
  <c r="F15" i="8"/>
  <c r="I15" i="54"/>
  <c r="E15" i="37"/>
  <c r="C15"/>
  <c r="C15" i="34"/>
  <c r="C15" i="7"/>
  <c r="I15" i="9"/>
  <c r="E15" i="82"/>
  <c r="I15" i="26"/>
  <c r="C15" i="35"/>
  <c r="C15" i="25"/>
  <c r="G15" i="34"/>
  <c r="F15" i="38656"/>
  <c r="C15" i="82"/>
  <c r="C15" i="11"/>
  <c r="E15" i="35"/>
  <c r="E15" i="25"/>
  <c r="C15" i="27"/>
  <c r="C15" i="76" s="1"/>
  <c r="F15" i="26"/>
  <c r="C15" i="8"/>
  <c r="F15" i="9"/>
  <c r="I15" i="25"/>
  <c r="C15" i="36"/>
  <c r="F15" i="38655"/>
  <c r="I15" i="10"/>
  <c r="C15" i="38656"/>
  <c r="G15" i="36"/>
  <c r="G15" i="25"/>
  <c r="C15" i="38655"/>
  <c r="I15" i="18"/>
  <c r="C15"/>
  <c r="F15" i="76"/>
  <c r="C15" i="20"/>
  <c r="F15" i="18"/>
  <c r="F15" i="20"/>
  <c r="C15" i="19"/>
  <c r="E15"/>
  <c r="I15" i="38655"/>
  <c r="H15" i="19"/>
  <c r="F46" i="5"/>
  <c r="E46" i="38"/>
  <c r="G46"/>
  <c r="C46"/>
  <c r="C46" i="37"/>
  <c r="E46" i="35"/>
  <c r="C46"/>
  <c r="G46" i="36"/>
  <c r="I46" i="20"/>
  <c r="F46" i="38656"/>
  <c r="F46" i="11"/>
  <c r="C46" i="7"/>
  <c r="C46" i="54"/>
  <c r="E46" i="36"/>
  <c r="C46" i="8"/>
  <c r="I46" i="11"/>
  <c r="E46" i="25"/>
  <c r="E46" i="82"/>
  <c r="E46" i="37"/>
  <c r="I46" i="54"/>
  <c r="F46" i="9"/>
  <c r="G46" i="34"/>
  <c r="G46" i="25"/>
  <c r="F46" i="8"/>
  <c r="F46" i="26"/>
  <c r="C46" i="36"/>
  <c r="C46" i="11"/>
  <c r="E46" i="34"/>
  <c r="F46" i="10"/>
  <c r="C46" i="25"/>
  <c r="C46" i="34"/>
  <c r="I46" i="9"/>
  <c r="F46" i="54"/>
  <c r="I46" i="10"/>
  <c r="C46"/>
  <c r="C46" i="20"/>
  <c r="I46" i="26"/>
  <c r="F46" i="38655"/>
  <c r="C46" i="82"/>
  <c r="C46" i="26"/>
  <c r="I46" i="38655"/>
  <c r="C46" i="9"/>
  <c r="I46" i="25"/>
  <c r="C46" i="27"/>
  <c r="C46" i="76" s="1"/>
  <c r="C46" i="38656"/>
  <c r="F46" i="20"/>
  <c r="I46" i="18"/>
  <c r="C46"/>
  <c r="C46" i="38655"/>
  <c r="C46" i="19"/>
  <c r="F46" i="18"/>
  <c r="E46" i="19"/>
  <c r="H46"/>
  <c r="F46" i="76"/>
  <c r="F33" i="5"/>
  <c r="G33" i="38"/>
  <c r="E33"/>
  <c r="C33"/>
  <c r="I33" i="20"/>
  <c r="C33" i="37"/>
  <c r="E33" i="36"/>
  <c r="G33" i="34"/>
  <c r="C33" i="8"/>
  <c r="C33" i="38656"/>
  <c r="F33" i="11"/>
  <c r="C33" i="26"/>
  <c r="I33" i="54"/>
  <c r="F33" i="9"/>
  <c r="E33" i="82"/>
  <c r="I33" i="9"/>
  <c r="I33" i="11"/>
  <c r="C33" i="82"/>
  <c r="F33" i="26"/>
  <c r="F33" i="38656"/>
  <c r="C33" i="11"/>
  <c r="G33" i="25"/>
  <c r="F33" i="10"/>
  <c r="E33" i="37"/>
  <c r="C33" i="25"/>
  <c r="C33" i="9"/>
  <c r="F33" i="38655"/>
  <c r="C33" i="36"/>
  <c r="I33" i="38655"/>
  <c r="C33" i="35"/>
  <c r="C33" i="34"/>
  <c r="F33" i="8"/>
  <c r="C33" i="54"/>
  <c r="I33" i="25"/>
  <c r="G33" i="36"/>
  <c r="E33" i="25"/>
  <c r="C33" i="10"/>
  <c r="F33" i="54"/>
  <c r="I33" i="10"/>
  <c r="C33" i="7"/>
  <c r="I33" i="26"/>
  <c r="E33" i="35"/>
  <c r="E33" i="34"/>
  <c r="F33" i="20"/>
  <c r="C33" i="27"/>
  <c r="C33" i="76" s="1"/>
  <c r="E33" i="19"/>
  <c r="C33"/>
  <c r="C33" i="18"/>
  <c r="I33"/>
  <c r="F33"/>
  <c r="C33" i="20"/>
  <c r="C33" i="38655"/>
  <c r="F33" i="76"/>
  <c r="H33" i="19"/>
  <c r="F21" i="5"/>
  <c r="E21" i="38"/>
  <c r="C21"/>
  <c r="G21"/>
  <c r="I21" i="20"/>
  <c r="E21" i="36"/>
  <c r="E21" i="37"/>
  <c r="C21" i="27"/>
  <c r="C21" i="76" s="1"/>
  <c r="I21" i="25"/>
  <c r="C21" i="26"/>
  <c r="G21" i="34"/>
  <c r="C21" i="11"/>
  <c r="F21" i="38655"/>
  <c r="C21" i="38656"/>
  <c r="F21"/>
  <c r="C21" i="35"/>
  <c r="C21" i="9"/>
  <c r="F21" i="26"/>
  <c r="F21" i="54"/>
  <c r="E21" i="82"/>
  <c r="F21" i="10"/>
  <c r="I21"/>
  <c r="C21" i="54"/>
  <c r="F21" i="8"/>
  <c r="I21" i="11"/>
  <c r="C21" i="34"/>
  <c r="C21" i="8"/>
  <c r="F21" i="11"/>
  <c r="C21" i="25"/>
  <c r="F21" i="9"/>
  <c r="C21" i="10"/>
  <c r="G21" i="36"/>
  <c r="I21" i="26"/>
  <c r="C21" i="36"/>
  <c r="E21" i="25"/>
  <c r="C21" i="37"/>
  <c r="E21" i="35"/>
  <c r="C21" i="7"/>
  <c r="G21" i="25"/>
  <c r="E21" i="34"/>
  <c r="C21" i="82"/>
  <c r="I21" i="9"/>
  <c r="I21" i="54"/>
  <c r="C21" i="38655"/>
  <c r="C21" i="19"/>
  <c r="I21" i="38655"/>
  <c r="C21" i="18"/>
  <c r="I21"/>
  <c r="E21" i="19"/>
  <c r="F21" i="20"/>
  <c r="F21" i="18"/>
  <c r="C21" i="20"/>
  <c r="F21" i="76"/>
  <c r="H21" i="19"/>
  <c r="J44" i="38659"/>
  <c r="G44"/>
  <c r="K44" s="1"/>
  <c r="F11" i="5"/>
  <c r="D48"/>
  <c r="C11" i="38"/>
  <c r="E11"/>
  <c r="G11"/>
  <c r="I11" i="20"/>
  <c r="I11" i="26"/>
  <c r="C11" i="8"/>
  <c r="F11" i="38655"/>
  <c r="C11" i="37"/>
  <c r="G11" i="34"/>
  <c r="C11" i="10"/>
  <c r="G11" i="25"/>
  <c r="C11" i="38656"/>
  <c r="C11" i="9"/>
  <c r="I11" i="25"/>
  <c r="E11" i="37"/>
  <c r="E11" i="34"/>
  <c r="F11" i="9"/>
  <c r="F11" i="10"/>
  <c r="C11" i="25"/>
  <c r="C11" i="54"/>
  <c r="I11" i="11"/>
  <c r="C11" i="26"/>
  <c r="E11" i="35"/>
  <c r="F11" i="26"/>
  <c r="C11" i="36"/>
  <c r="C11" i="27"/>
  <c r="C11" i="76" s="1"/>
  <c r="F11" i="54"/>
  <c r="I11" i="10"/>
  <c r="E11" i="25"/>
  <c r="I11" i="9"/>
  <c r="C11" i="11"/>
  <c r="E11" i="36"/>
  <c r="G11"/>
  <c r="C11" i="7"/>
  <c r="F11" i="11"/>
  <c r="F11" i="38656"/>
  <c r="F11" i="8"/>
  <c r="C11" i="82"/>
  <c r="C11" i="35"/>
  <c r="C11" i="34"/>
  <c r="E11" i="82"/>
  <c r="F11" i="20"/>
  <c r="I11" i="38655"/>
  <c r="F11" i="18"/>
  <c r="F11" i="76"/>
  <c r="C11" i="19"/>
  <c r="I11" i="54"/>
  <c r="C11" i="38655"/>
  <c r="I11" i="18"/>
  <c r="C11"/>
  <c r="E11" i="19"/>
  <c r="C11" i="20"/>
  <c r="H11" i="19"/>
  <c r="J26" i="38659"/>
  <c r="G26"/>
  <c r="K26" s="1"/>
  <c r="F40" i="5"/>
  <c r="C40" i="38"/>
  <c r="G40"/>
  <c r="E40"/>
  <c r="C40" i="7"/>
  <c r="I40" i="20"/>
  <c r="C40" i="26"/>
  <c r="F40" i="8"/>
  <c r="G40" i="25"/>
  <c r="E40" i="82"/>
  <c r="F40" i="38655"/>
  <c r="E40" i="34"/>
  <c r="I40" i="54"/>
  <c r="G40" i="36"/>
  <c r="C40" i="11"/>
  <c r="C40" i="35"/>
  <c r="C40" i="9"/>
  <c r="C40" i="8"/>
  <c r="C40" i="82"/>
  <c r="C40" i="34"/>
  <c r="E40" i="37"/>
  <c r="E40" i="35"/>
  <c r="C40" i="37"/>
  <c r="C40" i="10"/>
  <c r="E40" i="25"/>
  <c r="I40" i="9"/>
  <c r="C40" i="36"/>
  <c r="F40" i="10"/>
  <c r="I40" i="25"/>
  <c r="F40" i="11"/>
  <c r="I40"/>
  <c r="I40" i="26"/>
  <c r="E40" i="36"/>
  <c r="I40" i="10"/>
  <c r="F40" i="26"/>
  <c r="I40" i="38655"/>
  <c r="C40" i="54"/>
  <c r="F40"/>
  <c r="F40" i="9"/>
  <c r="F40" i="38656"/>
  <c r="G40" i="34"/>
  <c r="C40" i="38656"/>
  <c r="C40" i="25"/>
  <c r="I40" i="18"/>
  <c r="C40" i="19"/>
  <c r="C40" i="27"/>
  <c r="C40" i="76" s="1"/>
  <c r="C40" i="20"/>
  <c r="F40"/>
  <c r="C40" i="18"/>
  <c r="F40"/>
  <c r="C40" i="38655"/>
  <c r="H40" i="19"/>
  <c r="F40" i="76"/>
  <c r="E40" i="19"/>
  <c r="D32" i="6"/>
  <c r="E32" s="1"/>
  <c r="C32" i="38648" s="1"/>
  <c r="E32" i="38667"/>
  <c r="J25" i="38659"/>
  <c r="G25"/>
  <c r="K25" s="1"/>
  <c r="J22"/>
  <c r="G22"/>
  <c r="K22" s="1"/>
  <c r="F25" i="5"/>
  <c r="C25" i="38"/>
  <c r="E25"/>
  <c r="G25"/>
  <c r="E25" i="36"/>
  <c r="E25" i="37"/>
  <c r="C25" i="8"/>
  <c r="I25" i="20"/>
  <c r="C25" i="54"/>
  <c r="E25" i="35"/>
  <c r="E25" i="82"/>
  <c r="C25" i="25"/>
  <c r="F25" i="38655"/>
  <c r="I25" i="9"/>
  <c r="E25" i="34"/>
  <c r="C25" i="36"/>
  <c r="C25" i="7"/>
  <c r="F25" i="10"/>
  <c r="I25" i="25"/>
  <c r="F25" i="26"/>
  <c r="E25" i="25"/>
  <c r="C25" i="37"/>
  <c r="C25" i="27"/>
  <c r="C25" i="76" s="1"/>
  <c r="I25" i="38655"/>
  <c r="F25" i="11"/>
  <c r="G25" i="25"/>
  <c r="F25" i="8"/>
  <c r="C25" i="34"/>
  <c r="I25" i="10"/>
  <c r="C25" i="9"/>
  <c r="I25" i="26"/>
  <c r="C25"/>
  <c r="C25" i="10"/>
  <c r="C25" i="82"/>
  <c r="G25" i="34"/>
  <c r="C25" i="35"/>
  <c r="F25" i="54"/>
  <c r="F25" i="9"/>
  <c r="C25" i="11"/>
  <c r="G25" i="36"/>
  <c r="I25" i="54"/>
  <c r="F25" i="38656"/>
  <c r="C25"/>
  <c r="C25" i="38655"/>
  <c r="C25" i="18"/>
  <c r="F25" i="76"/>
  <c r="C25" i="20"/>
  <c r="F25" i="18"/>
  <c r="F25" i="20"/>
  <c r="C25" i="19"/>
  <c r="I25" i="11"/>
  <c r="I25" i="18"/>
  <c r="E25" i="19"/>
  <c r="H25"/>
  <c r="D26" i="6"/>
  <c r="E26" s="1"/>
  <c r="C26" i="38648" s="1"/>
  <c r="E26" i="38667"/>
  <c r="J11" i="42" l="1"/>
  <c r="D11" i="6"/>
  <c r="F48" i="5"/>
  <c r="E11" i="38667"/>
  <c r="D21" i="6"/>
  <c r="E21" s="1"/>
  <c r="C21" i="38648" s="1"/>
  <c r="E21" i="38667"/>
  <c r="D46" i="6"/>
  <c r="E46" s="1"/>
  <c r="C46" i="38648" s="1"/>
  <c r="E46" i="38667"/>
  <c r="D28" i="6"/>
  <c r="E28" s="1"/>
  <c r="C28" i="38648" s="1"/>
  <c r="E28" i="38667"/>
  <c r="E50" i="38659"/>
  <c r="J13"/>
  <c r="G13"/>
  <c r="K13" s="1"/>
  <c r="D19" i="6"/>
  <c r="E19" s="1"/>
  <c r="C19" i="38648" s="1"/>
  <c r="E19" i="38667"/>
  <c r="D23" i="6"/>
  <c r="E23" s="1"/>
  <c r="C23" i="38648" s="1"/>
  <c r="E23" i="38667"/>
  <c r="D44" i="6"/>
  <c r="E44" s="1"/>
  <c r="C44" i="38648" s="1"/>
  <c r="E44" i="38667"/>
  <c r="D31" i="6"/>
  <c r="E31" s="1"/>
  <c r="C31" i="38648" s="1"/>
  <c r="E31" i="38667"/>
  <c r="D14" i="6"/>
  <c r="E14" s="1"/>
  <c r="C14" i="38648" s="1"/>
  <c r="E14" i="38667"/>
  <c r="J54" i="23"/>
  <c r="M25" i="21"/>
  <c r="G48" i="38"/>
  <c r="C48"/>
  <c r="I48" i="20"/>
  <c r="C48" i="10"/>
  <c r="E48" i="35"/>
  <c r="I48" i="26"/>
  <c r="F48" i="11"/>
  <c r="C48" i="37"/>
  <c r="C48" i="11"/>
  <c r="C48" i="26"/>
  <c r="I48" i="10"/>
  <c r="C48" i="25"/>
  <c r="I48"/>
  <c r="F48" i="38655"/>
  <c r="F48" i="26"/>
  <c r="C48" i="82"/>
  <c r="E48" i="36"/>
  <c r="I48" i="11"/>
  <c r="C48" i="38656"/>
  <c r="C48" i="9"/>
  <c r="E48" i="25"/>
  <c r="E48" i="37"/>
  <c r="E48" i="34"/>
  <c r="G48" i="25"/>
  <c r="F48" i="38656"/>
  <c r="E48" i="82"/>
  <c r="C48" i="34"/>
  <c r="F48" i="10"/>
  <c r="C48" i="35"/>
  <c r="I48" i="9"/>
  <c r="G48" i="34"/>
  <c r="C48" i="36"/>
  <c r="G48"/>
  <c r="C48" i="19"/>
  <c r="I48" i="38655"/>
  <c r="C48" i="27"/>
  <c r="C48" i="76" s="1"/>
  <c r="C48" i="8"/>
  <c r="C48" i="7"/>
  <c r="I48" i="54"/>
  <c r="F48"/>
  <c r="C48"/>
  <c r="F48" i="8"/>
  <c r="F48" i="18"/>
  <c r="F48" i="20"/>
  <c r="C48" i="38655"/>
  <c r="C48" i="20"/>
  <c r="I48" i="18"/>
  <c r="F48" i="9"/>
  <c r="E48" i="19"/>
  <c r="C48" i="18"/>
  <c r="H48" i="19"/>
  <c r="F48" i="76"/>
  <c r="D39" i="6"/>
  <c r="E39" s="1"/>
  <c r="C39" i="38648" s="1"/>
  <c r="E39" i="38667"/>
  <c r="D20" i="6"/>
  <c r="E20" s="1"/>
  <c r="C20" i="38648" s="1"/>
  <c r="E20" i="38667"/>
  <c r="D43" i="6"/>
  <c r="E43" s="1"/>
  <c r="C43" i="38648" s="1"/>
  <c r="E43" i="38667"/>
  <c r="D24" i="6"/>
  <c r="E24" s="1"/>
  <c r="C24" i="38648" s="1"/>
  <c r="E24" i="38667"/>
  <c r="D15" i="6"/>
  <c r="E15" s="1"/>
  <c r="C15" i="38648" s="1"/>
  <c r="E15" i="38667"/>
  <c r="D38" i="6"/>
  <c r="E38" s="1"/>
  <c r="C38" i="38648" s="1"/>
  <c r="E38" i="38667"/>
  <c r="D42" i="6"/>
  <c r="E42" s="1"/>
  <c r="C42" i="38648" s="1"/>
  <c r="E42" i="38667"/>
  <c r="D12" i="6"/>
  <c r="E12" s="1"/>
  <c r="C12" i="38648" s="1"/>
  <c r="E12" i="38667"/>
  <c r="D16" i="6"/>
  <c r="E16" s="1"/>
  <c r="C16" i="38648" s="1"/>
  <c r="E16" i="38667"/>
  <c r="D41" i="6"/>
  <c r="E41" s="1"/>
  <c r="C41" i="38648" s="1"/>
  <c r="E41" i="38667"/>
  <c r="D18" i="6"/>
  <c r="E18" s="1"/>
  <c r="C18" i="38648" s="1"/>
  <c r="E18" i="38667"/>
  <c r="D13" i="6"/>
  <c r="E13" s="1"/>
  <c r="C13" i="38648" s="1"/>
  <c r="E13" i="38667"/>
  <c r="D33" i="6"/>
  <c r="E33" s="1"/>
  <c r="C33" i="38648" s="1"/>
  <c r="E33" i="38667"/>
  <c r="D25" i="6"/>
  <c r="E25" s="1"/>
  <c r="C25" i="38648" s="1"/>
  <c r="E25" i="38667"/>
  <c r="D40" i="6"/>
  <c r="E40" s="1"/>
  <c r="C40" i="38648" s="1"/>
  <c r="E40" i="38667"/>
  <c r="D36" i="6"/>
  <c r="E36" s="1"/>
  <c r="C36" i="38648" s="1"/>
  <c r="E36" i="38667"/>
  <c r="D45" i="6"/>
  <c r="E45" s="1"/>
  <c r="C45" i="38648" s="1"/>
  <c r="E45" i="38667"/>
  <c r="D22" i="6"/>
  <c r="E22" s="1"/>
  <c r="C22" i="38648" s="1"/>
  <c r="E22" i="38667"/>
  <c r="D17" i="6"/>
  <c r="E17" s="1"/>
  <c r="C17" i="38648" s="1"/>
  <c r="E17" i="38667"/>
  <c r="D37" i="6"/>
  <c r="E37" s="1"/>
  <c r="C37" i="38648" s="1"/>
  <c r="E37" i="38667"/>
  <c r="I48" i="43"/>
  <c r="B48" i="42" s="1"/>
  <c r="C48" i="45"/>
  <c r="G48" i="42" s="1"/>
  <c r="L16" s="1"/>
  <c r="I48" i="44"/>
  <c r="F48" i="42" s="1"/>
  <c r="L15" s="1"/>
  <c r="E48" i="44"/>
  <c r="D48" i="42" s="1"/>
  <c r="L13" s="1"/>
  <c r="C48" i="44"/>
  <c r="C48" i="42" s="1"/>
  <c r="L12" s="1"/>
  <c r="G48" i="45"/>
  <c r="G48" i="44"/>
  <c r="E48" i="42" s="1"/>
  <c r="L14" s="1"/>
  <c r="E48" i="45"/>
  <c r="H48" i="42" s="1"/>
  <c r="L17" s="1"/>
  <c r="A62" i="43" l="1"/>
  <c r="A53" i="42"/>
  <c r="L11"/>
  <c r="L19" s="1"/>
  <c r="J48"/>
  <c r="E11" i="6"/>
  <c r="C11" i="38648" s="1"/>
  <c r="D48" i="6"/>
  <c r="E48" s="1"/>
  <c r="C48" i="38648" s="1"/>
  <c r="J50" i="38659"/>
  <c r="G50"/>
  <c r="E48" i="38"/>
  <c r="E48" i="38667"/>
</calcChain>
</file>

<file path=xl/comments1.xml><?xml version="1.0" encoding="utf-8"?>
<comments xmlns="http://schemas.openxmlformats.org/spreadsheetml/2006/main">
  <authors>
    <author>GPizzaro</author>
  </authors>
  <commentList>
    <comment ref="J8" authorId="0">
      <text>
        <r>
          <rPr>
            <sz val="8"/>
            <color indexed="81"/>
            <rFont val="Tahoma"/>
            <family val="2"/>
          </rPr>
          <t>Portioned assessment come from W:\Edusfb\Total School Assessment\YYYY F assessment.</t>
        </r>
      </text>
    </comment>
    <comment ref="H16" authorId="0">
      <text>
        <r>
          <rPr>
            <sz val="8"/>
            <color indexed="81"/>
            <rFont val="Tahoma"/>
            <family val="2"/>
          </rPr>
          <t xml:space="preserve">
Take it from the folder</t>
        </r>
      </text>
    </comment>
  </commentList>
</comments>
</file>

<file path=xl/sharedStrings.xml><?xml version="1.0" encoding="utf-8"?>
<sst xmlns="http://schemas.openxmlformats.org/spreadsheetml/2006/main" count="3219" uniqueCount="657">
  <si>
    <t>REVENUE AND TRANSFERS</t>
  </si>
  <si>
    <t xml:space="preserve"> EXPENSE BY CATEGORY</t>
  </si>
  <si>
    <t xml:space="preserve">  REVENUE BY CATEGORY</t>
  </si>
  <si>
    <t>TANGIBLE CAPITAL ASSETS</t>
  </si>
  <si>
    <t>(5)</t>
  </si>
  <si>
    <t>FALLYR</t>
  </si>
  <si>
    <t>SPRINGYR</t>
  </si>
  <si>
    <t>PAGE 1 OF 3</t>
  </si>
  <si>
    <t xml:space="preserve"> </t>
  </si>
  <si>
    <t>PAGE 2 OF 3</t>
  </si>
  <si>
    <t>PAGE 3 OF 3</t>
  </si>
  <si>
    <t xml:space="preserve"> FRAME STUDENT STATISTICS</t>
  </si>
  <si>
    <t>PAGE 1 OF 2</t>
  </si>
  <si>
    <t xml:space="preserve">PAGE 2 OF 2 </t>
  </si>
  <si>
    <t xml:space="preserve"> FUNCTION 100: REGULAR INSTRUCTION</t>
  </si>
  <si>
    <t xml:space="preserve"> FUNCTION 400: COMMUNITY EDUCATION AND SERVICES</t>
  </si>
  <si>
    <t xml:space="preserve"> FUNCTION 700: TRANSPORTATION OF PUPILS</t>
  </si>
  <si>
    <t xml:space="preserve"> FUNCTION 800: OPERATIONS AND MAINTENANCE</t>
  </si>
  <si>
    <t xml:space="preserve"> FUNCTION 900: FISCAL</t>
  </si>
  <si>
    <t>REGULAR TRANSPORTATION</t>
  </si>
  <si>
    <t>ADMINISTRATION</t>
  </si>
  <si>
    <t>ENGLISH LANGUAGE</t>
  </si>
  <si>
    <t>FRANÇAIS</t>
  </si>
  <si>
    <t>FRENCH IMMERSION</t>
  </si>
  <si>
    <t>BOARD OF TRUSTEES</t>
  </si>
  <si>
    <t>OTHER</t>
  </si>
  <si>
    <t>SCHOOL BUILDINGS</t>
  </si>
  <si>
    <t>REGULAR INSTRUCTION</t>
  </si>
  <si>
    <t>EXCEPTIONAL</t>
  </si>
  <si>
    <t>COMMUNITY EDUCATION</t>
  </si>
  <si>
    <t>MAINTENANCE</t>
  </si>
  <si>
    <t>FISCAL</t>
  </si>
  <si>
    <t>TOTAL</t>
  </si>
  <si>
    <t>(PROGRAM 720)</t>
  </si>
  <si>
    <t>EXPENDITURES</t>
  </si>
  <si>
    <t>REGULAR</t>
  </si>
  <si>
    <t>OTHER BUILDINGS</t>
  </si>
  <si>
    <t>GROUNDS</t>
  </si>
  <si>
    <t>DEBT SERVICES</t>
  </si>
  <si>
    <t>ENGLISH</t>
  </si>
  <si>
    <t>EDUCATION</t>
  </si>
  <si>
    <t xml:space="preserve">    TRANSFERS BY FUNCTION</t>
  </si>
  <si>
    <t>AREA</t>
  </si>
  <si>
    <t xml:space="preserve"> DIVISION / DISTRICT</t>
  </si>
  <si>
    <t>AMOUNT</t>
  </si>
  <si>
    <t>%</t>
  </si>
  <si>
    <t xml:space="preserve">PER PUPIL </t>
  </si>
  <si>
    <t>RECHARGE</t>
  </si>
  <si>
    <t>TRANSFERS</t>
  </si>
  <si>
    <t>TOTAL PORTIONED ASSESSMENT, SPECIAL LEVY AND MILL RATES</t>
  </si>
  <si>
    <t>DATE:</t>
  </si>
  <si>
    <t>PROVINCIAL GOVERNMENT</t>
  </si>
  <si>
    <t>BASE SUPPORT</t>
  </si>
  <si>
    <t>CATEGORICAL SUPPORT</t>
  </si>
  <si>
    <t>PRIVATE</t>
  </si>
  <si>
    <t>% OF OPERATING FUND REVENUES</t>
  </si>
  <si>
    <t>PORTIONED ASSESSMENT</t>
  </si>
  <si>
    <t>FEDERAL</t>
  </si>
  <si>
    <t>MUNICIPAL</t>
  </si>
  <si>
    <t>GOVERNMENTS</t>
  </si>
  <si>
    <t>CATEGORICAL</t>
  </si>
  <si>
    <t>PROVINCIAL</t>
  </si>
  <si>
    <t>FIRST NATIONS</t>
  </si>
  <si>
    <t>REVENUE</t>
  </si>
  <si>
    <t>LEVY</t>
  </si>
  <si>
    <t>MINING</t>
  </si>
  <si>
    <t>SUPPORT</t>
  </si>
  <si>
    <t>OCCUPANCY</t>
  </si>
  <si>
    <t>SERVICES</t>
  </si>
  <si>
    <t xml:space="preserve">OTHER  </t>
  </si>
  <si>
    <t>SPECIAL LEVY</t>
  </si>
  <si>
    <t>OTHER DIVISIONS</t>
  </si>
  <si>
    <t>OBJECT</t>
  </si>
  <si>
    <t>SALARIES</t>
  </si>
  <si>
    <t>TOTALS</t>
  </si>
  <si>
    <t>COMMUNITY EDUCATION &amp; SERVICES</t>
  </si>
  <si>
    <t>TRANSPORTATION OF PUPILS</t>
  </si>
  <si>
    <t>OPERATIONS AND MAINTENANCE</t>
  </si>
  <si>
    <t>PAGE 2 OF 2</t>
  </si>
  <si>
    <t>FUNCTION</t>
  </si>
  <si>
    <t>INSTRUCTION</t>
  </si>
  <si>
    <t>EMPLOYEE BENEFITS AND ALLOWANCES</t>
  </si>
  <si>
    <t>FRAME STUDENT STATISTICS</t>
  </si>
  <si>
    <t xml:space="preserve">PAGE 1 OF 2 </t>
  </si>
  <si>
    <t>%  IN DUAL TRACK SCHOOLS</t>
  </si>
  <si>
    <t>SUPPLEMENTARY DATA FOR FRAME REPORT</t>
  </si>
  <si>
    <t>CHECK</t>
  </si>
  <si>
    <t>ENROLMENTS - HEADCOUNT, FRAME AND ELIGIBLE</t>
  </si>
  <si>
    <t>PUPIL / TEACHER RATIOS</t>
  </si>
  <si>
    <t>INSURANCE</t>
  </si>
  <si>
    <t>EMPLOYEE BENEFITS</t>
  </si>
  <si>
    <t>SUPPLIES &amp; MATERIALS</t>
  </si>
  <si>
    <t>OPERATIONS &amp; MAINTENANCE</t>
  </si>
  <si>
    <t>INSTRUCTIONAL &amp; PUPIL SUPPORT SERVICES</t>
  </si>
  <si>
    <t>DIVISIONAL ADMINISTRATION</t>
  </si>
  <si>
    <t xml:space="preserve"> FUNCTION 500: DIVISIONAL ADMINISTRATION</t>
  </si>
  <si>
    <t xml:space="preserve">N/A </t>
  </si>
  <si>
    <t>(1)</t>
  </si>
  <si>
    <t>- 10 -</t>
  </si>
  <si>
    <t>PAGE 1 OF 5</t>
  </si>
  <si>
    <t>PAGE 2 OF 5</t>
  </si>
  <si>
    <t>PAGE 3 OF 5</t>
  </si>
  <si>
    <t>PAGE 4 OF 5</t>
  </si>
  <si>
    <t>PAGE 5 OF 5</t>
  </si>
  <si>
    <t>PROGRAMS</t>
  </si>
  <si>
    <t>(Grants-</t>
  </si>
  <si>
    <t>in-Lieu)</t>
  </si>
  <si>
    <t>ADULT LEARNING CENTRES</t>
  </si>
  <si>
    <t>- 13 -</t>
  </si>
  <si>
    <t>- 12 -</t>
  </si>
  <si>
    <t>REPAIRS</t>
  </si>
  <si>
    <t xml:space="preserve"> BEAUTIFUL PLAINS</t>
  </si>
  <si>
    <t xml:space="preserve"> BORDER LAND</t>
  </si>
  <si>
    <t xml:space="preserve"> BRANDON</t>
  </si>
  <si>
    <t xml:space="preserve"> EVERGREEN</t>
  </si>
  <si>
    <t xml:space="preserve"> FLIN FLON</t>
  </si>
  <si>
    <t xml:space="preserve"> FORT LA BOSSE</t>
  </si>
  <si>
    <t xml:space="preserve"> FRONTIER</t>
  </si>
  <si>
    <t xml:space="preserve"> GARDEN VALLEY</t>
  </si>
  <si>
    <t xml:space="preserve"> HANOVER</t>
  </si>
  <si>
    <t xml:space="preserve"> INTERLAKE</t>
  </si>
  <si>
    <t xml:space="preserve"> KELSEY</t>
  </si>
  <si>
    <t xml:space="preserve"> LAKESHORE</t>
  </si>
  <si>
    <t xml:space="preserve"> LORD SELKIRK</t>
  </si>
  <si>
    <t xml:space="preserve"> LOUIS RIEL</t>
  </si>
  <si>
    <t xml:space="preserve"> MOUNTAIN VIEW</t>
  </si>
  <si>
    <t xml:space="preserve"> MYSTERY LAKE</t>
  </si>
  <si>
    <t xml:space="preserve"> PARK WEST</t>
  </si>
  <si>
    <t xml:space="preserve"> PEMBINA TRAILS</t>
  </si>
  <si>
    <t xml:space="preserve"> PINE CREEK</t>
  </si>
  <si>
    <t xml:space="preserve"> PORTAGE LA PRAIRIE</t>
  </si>
  <si>
    <t xml:space="preserve"> PRAIRIE ROSE</t>
  </si>
  <si>
    <t xml:space="preserve"> PRAIRIE SPIRIT</t>
  </si>
  <si>
    <t xml:space="preserve"> RED RIVER VALLEY</t>
  </si>
  <si>
    <t xml:space="preserve"> RIVER EAST TRANSCONA</t>
  </si>
  <si>
    <t xml:space="preserve"> ROLLING RIVER</t>
  </si>
  <si>
    <t xml:space="preserve"> SEINE RIVER</t>
  </si>
  <si>
    <t xml:space="preserve"> SEVEN OAKS</t>
  </si>
  <si>
    <t xml:space="preserve"> SOUTHWEST HORIZON</t>
  </si>
  <si>
    <t xml:space="preserve"> ST. JAMES-ASSINIBOIA</t>
  </si>
  <si>
    <t xml:space="preserve"> SUNRISE</t>
  </si>
  <si>
    <t xml:space="preserve"> SWAN VALLEY</t>
  </si>
  <si>
    <t xml:space="preserve"> TURTLE MOUNTAIN</t>
  </si>
  <si>
    <t xml:space="preserve"> TURTLE RIVER</t>
  </si>
  <si>
    <t xml:space="preserve"> WESTERN</t>
  </si>
  <si>
    <t xml:space="preserve"> WINNIPEG</t>
  </si>
  <si>
    <t xml:space="preserve"> PROVINCE</t>
  </si>
  <si>
    <t xml:space="preserve"> WHITESHELL</t>
  </si>
  <si>
    <t xml:space="preserve"> D.S.F.M.</t>
  </si>
  <si>
    <t>EXPENSES</t>
  </si>
  <si>
    <t xml:space="preserve">CO. </t>
  </si>
  <si>
    <t>DIVISION/DISTRICT</t>
  </si>
  <si>
    <t>BE</t>
  </si>
  <si>
    <t>BO</t>
  </si>
  <si>
    <t>BR</t>
  </si>
  <si>
    <t>DI</t>
  </si>
  <si>
    <t>EV</t>
  </si>
  <si>
    <t>FL</t>
  </si>
  <si>
    <t>FO</t>
  </si>
  <si>
    <t>FR</t>
  </si>
  <si>
    <t>GA</t>
  </si>
  <si>
    <t>HA</t>
  </si>
  <si>
    <t>IN</t>
  </si>
  <si>
    <t>KE</t>
  </si>
  <si>
    <t>LA</t>
  </si>
  <si>
    <t>LO</t>
  </si>
  <si>
    <t>LR</t>
  </si>
  <si>
    <t>MO</t>
  </si>
  <si>
    <t>MY</t>
  </si>
  <si>
    <t>PA</t>
  </si>
  <si>
    <t>PE</t>
  </si>
  <si>
    <t>PI</t>
  </si>
  <si>
    <t>PO</t>
  </si>
  <si>
    <t>PR</t>
  </si>
  <si>
    <t>PS</t>
  </si>
  <si>
    <t>RE</t>
  </si>
  <si>
    <t>RI</t>
  </si>
  <si>
    <t>RO</t>
  </si>
  <si>
    <t>SE</t>
  </si>
  <si>
    <t>SO</t>
  </si>
  <si>
    <t>SR</t>
  </si>
  <si>
    <t>ST</t>
  </si>
  <si>
    <t>SU</t>
  </si>
  <si>
    <t>SW</t>
  </si>
  <si>
    <t>TM</t>
  </si>
  <si>
    <t>TR</t>
  </si>
  <si>
    <t>WE</t>
  </si>
  <si>
    <t>WI</t>
  </si>
  <si>
    <t>WT</t>
  </si>
  <si>
    <t>XW</t>
  </si>
  <si>
    <t xml:space="preserve"> FUNCTION 300: ADULT LEARNING CENTRES</t>
  </si>
  <si>
    <t xml:space="preserve">  TRUSTEES REMUNERATION</t>
  </si>
  <si>
    <t xml:space="preserve">  INSTRUCTIONAL - TEACHING</t>
  </si>
  <si>
    <t xml:space="preserve">  INSTRUCTIONAL - OTHER</t>
  </si>
  <si>
    <t xml:space="preserve">  TECHNICAL, SPECIALIZED AND SERVICE</t>
  </si>
  <si>
    <t xml:space="preserve">  SECRETARIAL, CLERICAL AND OTHER</t>
  </si>
  <si>
    <t xml:space="preserve">  CLINICIAN</t>
  </si>
  <si>
    <t xml:space="preserve">  INFORMATION TECHNOLOGY</t>
  </si>
  <si>
    <t xml:space="preserve">  TOTAL SALARIES</t>
  </si>
  <si>
    <t xml:space="preserve">  PROFESSIONAL, TECHNICAL &amp; SPECIALIZED</t>
  </si>
  <si>
    <t xml:space="preserve">  COMMUNICATIONS</t>
  </si>
  <si>
    <t xml:space="preserve">  UTILITY SERVICES</t>
  </si>
  <si>
    <t xml:space="preserve">  TRANSPORTATION OF PUPILS</t>
  </si>
  <si>
    <t xml:space="preserve">  TUITION</t>
  </si>
  <si>
    <t xml:space="preserve">  PRINTING AND BINDING</t>
  </si>
  <si>
    <t xml:space="preserve">  INSURANCE AND BOND PREMIUMS</t>
  </si>
  <si>
    <t xml:space="preserve">  MAINTENANCE AND REPAIR SERVICES</t>
  </si>
  <si>
    <t xml:space="preserve">  RENTALS</t>
  </si>
  <si>
    <t xml:space="preserve">  ADVERTISING</t>
  </si>
  <si>
    <t xml:space="preserve">  DUES AND FEES</t>
  </si>
  <si>
    <t xml:space="preserve">  PROFESSIONAL AND STAFF DEVELOPMENT</t>
  </si>
  <si>
    <t xml:space="preserve">  INFORMATION TECHNOLOGY SERVICES</t>
  </si>
  <si>
    <t xml:space="preserve">  TOTAL SERVICES</t>
  </si>
  <si>
    <t>SUPPLIES AND EQUIPMENT</t>
  </si>
  <si>
    <t xml:space="preserve">  SUPPLIES</t>
  </si>
  <si>
    <t xml:space="preserve">  CURRICULAR AND MEDIA MATERIALS</t>
  </si>
  <si>
    <t xml:space="preserve">  MINOR EQUIPMENT</t>
  </si>
  <si>
    <t xml:space="preserve">  INFORMATION TECHNOLOGY EQUIPMENT</t>
  </si>
  <si>
    <t xml:space="preserve">  TOTAL SUPPLIES AND EQUIPMENT</t>
  </si>
  <si>
    <t xml:space="preserve">  DEBT SERVICES</t>
  </si>
  <si>
    <t xml:space="preserve">  OTHER GOVERNMENT AUTHORITIES</t>
  </si>
  <si>
    <t xml:space="preserve">  TOTAL TRANSFERS</t>
  </si>
  <si>
    <t>PROVINCE</t>
  </si>
  <si>
    <t xml:space="preserve">  TRAVEL AND MEETINGS</t>
  </si>
  <si>
    <t>OPERATING FUND - ACCUMULATED SURPLUS/(DEFICIT)</t>
  </si>
  <si>
    <t>(2)</t>
  </si>
  <si>
    <t>LOCAL TAXATION AND ASSESSMENT PER RESIDENT PUPIL</t>
  </si>
  <si>
    <t xml:space="preserve">  EXECUTIVE, MANAGERIAL &amp; SUPERVISORY</t>
  </si>
  <si>
    <t>ACTUAL</t>
  </si>
  <si>
    <t xml:space="preserve"> DIVISION/DISTRICT TOTAL</t>
  </si>
  <si>
    <t xml:space="preserve"> L.G.D. OF PINAWA</t>
  </si>
  <si>
    <t xml:space="preserve"> NOT IN ANY DIVISION</t>
  </si>
  <si>
    <t>STATISTICAL SUMMARY</t>
  </si>
  <si>
    <t>LIABILITY</t>
  </si>
  <si>
    <t>SELF-FUNDED</t>
  </si>
  <si>
    <t>(3)</t>
  </si>
  <si>
    <t>(4)</t>
  </si>
  <si>
    <t>CALCULATION OF EXPENDITURE BASE AND ADMINISTRATION PERCENTAGE</t>
  </si>
  <si>
    <t>ADMIN. COSTS</t>
  </si>
  <si>
    <r>
      <t xml:space="preserve">SINGLE TRACK </t>
    </r>
    <r>
      <rPr>
        <b/>
        <vertAlign val="superscript"/>
        <sz val="10"/>
        <rFont val="Arial"/>
        <family val="2"/>
      </rPr>
      <t>(1)</t>
    </r>
  </si>
  <si>
    <r>
      <t xml:space="preserve">DUAL TRACK </t>
    </r>
    <r>
      <rPr>
        <b/>
        <vertAlign val="superscript"/>
        <sz val="10"/>
        <rFont val="Arial"/>
        <family val="2"/>
      </rPr>
      <t>(2)</t>
    </r>
  </si>
  <si>
    <r>
      <t xml:space="preserve">HEADCOUNT </t>
    </r>
    <r>
      <rPr>
        <b/>
        <vertAlign val="superscript"/>
        <sz val="10"/>
        <rFont val="Arial"/>
        <family val="2"/>
      </rPr>
      <t>(1)</t>
    </r>
  </si>
  <si>
    <r>
      <t xml:space="preserve">FRAME </t>
    </r>
    <r>
      <rPr>
        <b/>
        <vertAlign val="superscript"/>
        <sz val="10"/>
        <rFont val="Arial"/>
        <family val="2"/>
      </rPr>
      <t>(2)</t>
    </r>
  </si>
  <si>
    <r>
      <t xml:space="preserve">ELIGIBLE </t>
    </r>
    <r>
      <rPr>
        <b/>
        <vertAlign val="superscript"/>
        <sz val="10"/>
        <rFont val="Arial"/>
        <family val="2"/>
      </rPr>
      <t>(3)</t>
    </r>
  </si>
  <si>
    <r>
      <t>(1)</t>
    </r>
    <r>
      <rPr>
        <sz val="9"/>
        <rFont val="Arial"/>
        <family val="2"/>
      </rPr>
      <t xml:space="preserve">  Pupils taught in schools, whether or not they are counted for grant purposes.</t>
    </r>
  </si>
  <si>
    <r>
      <t xml:space="preserve">EDUCATOR </t>
    </r>
    <r>
      <rPr>
        <b/>
        <vertAlign val="superscript"/>
        <sz val="10"/>
        <rFont val="Arial"/>
        <family val="2"/>
      </rPr>
      <t>(2)</t>
    </r>
  </si>
  <si>
    <r>
      <t xml:space="preserve">  RECHARGE </t>
    </r>
    <r>
      <rPr>
        <vertAlign val="superscript"/>
        <sz val="10"/>
        <rFont val="Arial"/>
        <family val="2"/>
      </rPr>
      <t>(1)</t>
    </r>
  </si>
  <si>
    <r>
      <t xml:space="preserve">SINGLE TRACK SCHOOLS </t>
    </r>
    <r>
      <rPr>
        <b/>
        <vertAlign val="superscript"/>
        <sz val="10"/>
        <rFont val="Arial"/>
        <family val="2"/>
      </rPr>
      <t>(1)</t>
    </r>
  </si>
  <si>
    <r>
      <t xml:space="preserve">DUAL TRACK SCHOOLS </t>
    </r>
    <r>
      <rPr>
        <b/>
        <vertAlign val="superscript"/>
        <sz val="10"/>
        <rFont val="Arial"/>
        <family val="2"/>
      </rPr>
      <t>(1)</t>
    </r>
  </si>
  <si>
    <r>
      <t xml:space="preserve">PROVINCIAL </t>
    </r>
    <r>
      <rPr>
        <b/>
        <vertAlign val="superscript"/>
        <sz val="10"/>
        <rFont val="Arial"/>
        <family val="2"/>
      </rPr>
      <t>(1)</t>
    </r>
  </si>
  <si>
    <t xml:space="preserve">  PROPERTY TAXES</t>
  </si>
  <si>
    <t xml:space="preserve"> FUNCTION 200: STUDENT SUPPORT SERVICES</t>
  </si>
  <si>
    <t xml:space="preserve"> FUNCTION 600: INSTRUCTIONAL &amp; OTHER SUPPORT SERVICES</t>
  </si>
  <si>
    <t>TOTAL DEFINED ADMINISTRATION EXPENSES</t>
  </si>
  <si>
    <t>RECONCILIATION  OF  EXPENSES</t>
  </si>
  <si>
    <r>
      <t xml:space="preserve">EXPENSES </t>
    </r>
    <r>
      <rPr>
        <b/>
        <vertAlign val="superscript"/>
        <sz val="10"/>
        <rFont val="Arial"/>
        <family val="2"/>
      </rPr>
      <t>(1)</t>
    </r>
    <r>
      <rPr>
        <sz val="9"/>
        <color indexed="9"/>
        <rFont val="Arial"/>
        <family val="2"/>
      </rPr>
      <t>X</t>
    </r>
  </si>
  <si>
    <t>PAGE 1 OF 4</t>
  </si>
  <si>
    <t>PAGE 3 OF 4</t>
  </si>
  <si>
    <t>PAGE 2 OF 4</t>
  </si>
  <si>
    <t>PAGE 4 OF 4</t>
  </si>
  <si>
    <t>EXPENSE BY FUNCTION AND OBJECT</t>
  </si>
  <si>
    <t>EXPENSE BY 2ND LEVEL OBJECT</t>
  </si>
  <si>
    <t>AS A PERCENTAGE OF TOTAL OPERATING FUND EXPENSES</t>
  </si>
  <si>
    <t>STUDENT SUPPORT SERVICES</t>
  </si>
  <si>
    <t>ANALYSIS OF EXPENSE BY FUNCTION</t>
  </si>
  <si>
    <t xml:space="preserve"> ANALYSIS OF OPERATIONS AND MAINTENANCE EXPENSES FOR SCHOOL BUILDINGS</t>
  </si>
  <si>
    <t>ANALYSIS OF EXPENSE BY PROGRAM</t>
  </si>
  <si>
    <t>OPERATING FUND COST PER PUPIL</t>
  </si>
  <si>
    <r>
      <t xml:space="preserve"> INFORMATION TECHNOLOGY EXPENSES </t>
    </r>
    <r>
      <rPr>
        <b/>
        <vertAlign val="superscript"/>
        <sz val="10"/>
        <rFont val="Arial"/>
        <family val="2"/>
      </rPr>
      <t>(1)</t>
    </r>
  </si>
  <si>
    <t>ANALYSIS OF TRANSPORTATION EXPENSES (CONT'D)</t>
  </si>
  <si>
    <t>ANALYSIS OF TRANSPORTATION EXPENSES</t>
  </si>
  <si>
    <t>COMPRISED OF:</t>
  </si>
  <si>
    <r>
      <t xml:space="preserve">  RECHARGE </t>
    </r>
    <r>
      <rPr>
        <vertAlign val="superscript"/>
        <sz val="9"/>
        <rFont val="Arial"/>
        <family val="2"/>
      </rPr>
      <t>(1)</t>
    </r>
  </si>
  <si>
    <t xml:space="preserve">  BAD DEBT EXPENSE</t>
  </si>
  <si>
    <r>
      <t xml:space="preserve">LAND </t>
    </r>
    <r>
      <rPr>
        <b/>
        <vertAlign val="superscript"/>
        <sz val="10"/>
        <rFont val="Arial"/>
        <family val="2"/>
      </rPr>
      <t>(1)</t>
    </r>
  </si>
  <si>
    <t xml:space="preserve">  ACCUMULATED SURPLUS / EQUITY</t>
  </si>
  <si>
    <r>
      <t xml:space="preserve">AMORTIZATION </t>
    </r>
    <r>
      <rPr>
        <b/>
        <vertAlign val="superscript"/>
        <sz val="9"/>
        <rFont val="Arial"/>
        <family val="2"/>
      </rPr>
      <t>(1)</t>
    </r>
  </si>
  <si>
    <r>
      <t>EQUIPMENT</t>
    </r>
    <r>
      <rPr>
        <b/>
        <vertAlign val="superscript"/>
        <sz val="10"/>
        <rFont val="Arial"/>
        <family val="2"/>
      </rPr>
      <t xml:space="preserve"> (2)</t>
    </r>
  </si>
  <si>
    <t xml:space="preserve">  FISCAL YEAR ADDITIONS TO TANGIBLE CAPITAL ASSETS</t>
  </si>
  <si>
    <t>UNDESIGNATED</t>
  </si>
  <si>
    <t>Health and Education Levy</t>
  </si>
  <si>
    <t>Dates</t>
  </si>
  <si>
    <t>September 30,</t>
  </si>
  <si>
    <r>
      <t xml:space="preserve">ADMINISTRATION EXPENSES </t>
    </r>
    <r>
      <rPr>
        <b/>
        <vertAlign val="superscript"/>
        <sz val="10"/>
        <rFont val="Arial"/>
        <family val="2"/>
      </rPr>
      <t>(1)</t>
    </r>
    <r>
      <rPr>
        <b/>
        <sz val="9"/>
        <rFont val="Arial"/>
        <family val="2"/>
      </rPr>
      <t xml:space="preserve"> </t>
    </r>
  </si>
  <si>
    <r>
      <t xml:space="preserve">OTHER  </t>
    </r>
    <r>
      <rPr>
        <b/>
        <vertAlign val="superscript"/>
        <sz val="9"/>
        <rFont val="Arial"/>
        <family val="2"/>
      </rPr>
      <t>(1)</t>
    </r>
  </si>
  <si>
    <r>
      <t>BUILDINGS</t>
    </r>
    <r>
      <rPr>
        <b/>
        <vertAlign val="superscript"/>
        <sz val="9"/>
        <rFont val="Arial"/>
        <family val="2"/>
      </rPr>
      <t xml:space="preserve"> </t>
    </r>
    <r>
      <rPr>
        <b/>
        <vertAlign val="superscript"/>
        <sz val="10"/>
        <rFont val="Arial"/>
        <family val="2"/>
      </rPr>
      <t>(2)</t>
    </r>
  </si>
  <si>
    <t>INSTRUCTIONAL AND OTHER SUPPORT SERVICES</t>
  </si>
  <si>
    <t>ANALYSIS OF INFORMATION TECHNOLOGY EXPENSES</t>
  </si>
  <si>
    <t xml:space="preserve">  EXECUTIVE, MANAGERIAL
 AND SUPERVISORY</t>
  </si>
  <si>
    <t xml:space="preserve"> TECHNICAL, 
SPECIALIZED AND SERVICE</t>
  </si>
  <si>
    <t>SECRETARIAL 
CLERICAL
 AND OTHER</t>
  </si>
  <si>
    <t>TOTAL 
FTE</t>
  </si>
  <si>
    <t xml:space="preserve"> DIVISION/DISTRICT</t>
  </si>
  <si>
    <t>BEAUTIFUL PLAINS</t>
  </si>
  <si>
    <t>BORDER LAND</t>
  </si>
  <si>
    <t>BRANDON</t>
  </si>
  <si>
    <t>EVERGREEN</t>
  </si>
  <si>
    <t>FLIN FLON</t>
  </si>
  <si>
    <t>FORT LA BOSSE</t>
  </si>
  <si>
    <t>FRONTIER</t>
  </si>
  <si>
    <t>GARDEN VALLEY</t>
  </si>
  <si>
    <t>HANOVER</t>
  </si>
  <si>
    <t>INTERLAKE</t>
  </si>
  <si>
    <t>KELSEY</t>
  </si>
  <si>
    <t>LAKESHORE</t>
  </si>
  <si>
    <t>LORD SELKIRK</t>
  </si>
  <si>
    <t>LOUIS RIEL</t>
  </si>
  <si>
    <t>MOUNTAIN VIEW</t>
  </si>
  <si>
    <t>MYSTERY LAKE</t>
  </si>
  <si>
    <t>PARK WEST</t>
  </si>
  <si>
    <t>PEMBINA TRAILS</t>
  </si>
  <si>
    <t>PINE CREEK</t>
  </si>
  <si>
    <t>PORTAGE LA PRAIRIE</t>
  </si>
  <si>
    <t>PRAIRIE ROSE</t>
  </si>
  <si>
    <t>PRAIRIE SPIRIT</t>
  </si>
  <si>
    <t>RED RIVER VALLEY</t>
  </si>
  <si>
    <t>RIVER EAST TRANSCONA</t>
  </si>
  <si>
    <t>ROLLING RIVER</t>
  </si>
  <si>
    <t>SEINE RIVER</t>
  </si>
  <si>
    <t>SEVEN OAKS</t>
  </si>
  <si>
    <t>SOUTHWEST HORIZON</t>
  </si>
  <si>
    <t>ST. JAMES-ASSINIBOIA</t>
  </si>
  <si>
    <t>SUNRISE</t>
  </si>
  <si>
    <t>SWAN VALLEY</t>
  </si>
  <si>
    <t>TURTLE MOUNTAIN</t>
  </si>
  <si>
    <t>TURTLE RIVER</t>
  </si>
  <si>
    <t>WESTERN</t>
  </si>
  <si>
    <t>WINNIPEG</t>
  </si>
  <si>
    <t>WHITESHELL</t>
  </si>
  <si>
    <t>W.T.C.</t>
  </si>
  <si>
    <t>DIRECT SUPPORT TO PUPILS</t>
  </si>
  <si>
    <t>PER PUPIL</t>
  </si>
  <si>
    <t>NET SPECIAL LEVY</t>
  </si>
  <si>
    <t>GROSS SPECIAL</t>
  </si>
  <si>
    <t>NET SPECIAL</t>
  </si>
  <si>
    <t xml:space="preserve">      </t>
  </si>
  <si>
    <t>CurrY</t>
  </si>
  <si>
    <t>PrevY</t>
  </si>
  <si>
    <r>
      <t xml:space="preserve">REGULAR INSTRUCTION </t>
    </r>
    <r>
      <rPr>
        <b/>
        <vertAlign val="superscript"/>
        <sz val="9"/>
        <rFont val="Arial"/>
        <family val="2"/>
      </rPr>
      <t>(1)</t>
    </r>
  </si>
  <si>
    <t>(1)  From page 4 (for more information, see page 4).</t>
  </si>
  <si>
    <t>(2)  From page 9 (for more information, see page 9).</t>
  </si>
  <si>
    <t>(3)  Administration, supervision and coordination of Curriculum Consulting and Development (Function 600, Program 605).</t>
  </si>
  <si>
    <t>(1)  90% or more of Regular Instruction enrolment is in one language program.</t>
  </si>
  <si>
    <t>(2)  No one language program comprises 90% or more of Regular Instruction enrolment.</t>
  </si>
  <si>
    <t>(1)  Total operating expenses as reported on the Schedule of Revenue, Expenses and Accumulated Surplus by each school division.</t>
  </si>
  <si>
    <t>(3)  As reported on pages 10 and 13 (on a provincial basis).</t>
  </si>
  <si>
    <t>(4)  Expenses for Adult Learning Centres and Community Education and Services (Functions 300 and 400).</t>
  </si>
  <si>
    <t>(5)  As reported on page 4.</t>
  </si>
  <si>
    <t>(1)  90% or more of Regular Instruction enrolment is in one language.</t>
  </si>
  <si>
    <t>(1)  No one language program comprises 90% or more of Regular Instruction enrolment.</t>
  </si>
  <si>
    <t>(1)  Expenses shown are extra costs associated with special needs students in regular classes, not the total cost of educating those students.</t>
  </si>
  <si>
    <t>(1)  Includes food services, health services, and other activities related to instructional and other support not included in previous programs.</t>
  </si>
  <si>
    <t>(2)  Square footage (as per note above) divided by total F.T.E. enrolment (from page 7).</t>
  </si>
  <si>
    <t>(1)  Excludes information technology expenses in Function 300 (Adult Learning Centres) and Function 400 (Community Education and Services).</t>
  </si>
  <si>
    <t>(1)  See appendix for more detail.</t>
  </si>
  <si>
    <t>(5)  Includes revenue from other provincial government departments.</t>
  </si>
  <si>
    <t>(1)  Includes amortization of capital assets over their useful lives as defined in section 8 of the FRAME Manual - available on the Internet at:</t>
  </si>
  <si>
    <t>(1)  Comprised of principal and interest payments for debentures issued to finance asset additions.</t>
  </si>
  <si>
    <t>(2)  Includes other governments, investment income, donations and gain/(loss) on disposal of capital assets. .</t>
  </si>
  <si>
    <t>(2)  Internally restricted and held for future capital expense purposes.</t>
  </si>
  <si>
    <t>(1)  Land and improvements.</t>
  </si>
  <si>
    <t>(4)  Includes school buses and other vehicles.</t>
  </si>
  <si>
    <t>(2)  Mill rates for Flin Flon and Mystery Lake are adjusted for mining revenue.</t>
  </si>
  <si>
    <t>(2)  Provided in recognition of the higher costs associated with sparsely populated rural and northern divisions.</t>
  </si>
  <si>
    <t>(1)  Includes vehicle support for school buses.</t>
  </si>
  <si>
    <t xml:space="preserve"> DSFM</t>
  </si>
  <si>
    <t>DSFM</t>
  </si>
  <si>
    <r>
      <rPr>
        <sz val="9"/>
        <color indexed="12"/>
        <rFont val="Arial"/>
        <family val="2"/>
      </rPr>
      <t xml:space="preserve"> </t>
    </r>
    <r>
      <rPr>
        <u/>
        <sz val="9"/>
        <color indexed="12"/>
        <rFont val="Arial"/>
        <family val="2"/>
      </rPr>
      <t>http://www.edu.gov.mb.ca/k12/finance/frame_manual/index.html</t>
    </r>
  </si>
  <si>
    <t>(2)  For a definition of Divisional Administration, see expense definitions, page iii.</t>
  </si>
  <si>
    <r>
      <t xml:space="preserve">  VEHICLES </t>
    </r>
    <r>
      <rPr>
        <vertAlign val="superscript"/>
        <sz val="10"/>
        <rFont val="Arial"/>
        <family val="2"/>
      </rPr>
      <t>(4)</t>
    </r>
  </si>
  <si>
    <r>
      <t xml:space="preserve">PORTIONED ASSESSMENT AND EDUCATION SUPPORT LEVY  </t>
    </r>
    <r>
      <rPr>
        <b/>
        <vertAlign val="superscript"/>
        <sz val="10"/>
        <rFont val="Arial"/>
        <family val="2"/>
      </rPr>
      <t>(1)</t>
    </r>
  </si>
  <si>
    <t>ADDITIONAL INSTRUCTIONAL SUPPORT FOR 
SMALL SCHOOLS</t>
  </si>
  <si>
    <r>
      <t xml:space="preserve">TRANSPORTATION </t>
    </r>
    <r>
      <rPr>
        <b/>
        <vertAlign val="superscript"/>
        <sz val="10"/>
        <rFont val="Arial"/>
        <family val="2"/>
      </rPr>
      <t>(1)</t>
    </r>
  </si>
  <si>
    <t xml:space="preserve"> TEACHING</t>
  </si>
  <si>
    <t xml:space="preserve"> INSTRUCTIONAL
</t>
  </si>
  <si>
    <r>
      <t xml:space="preserve"> 
 CLINICIAN</t>
    </r>
    <r>
      <rPr>
        <b/>
        <vertAlign val="superscript"/>
        <sz val="9"/>
        <rFont val="Arial"/>
        <family val="2"/>
      </rPr>
      <t xml:space="preserve"> </t>
    </r>
    <r>
      <rPr>
        <vertAlign val="superscript"/>
        <sz val="9"/>
        <rFont val="Arial"/>
        <family val="2"/>
      </rPr>
      <t>(2)</t>
    </r>
  </si>
  <si>
    <r>
      <t xml:space="preserve">  
  IT  </t>
    </r>
    <r>
      <rPr>
        <b/>
        <vertAlign val="superscript"/>
        <sz val="9"/>
        <rFont val="Arial"/>
        <family val="2"/>
      </rPr>
      <t>(3)</t>
    </r>
  </si>
  <si>
    <t>Per Funded</t>
  </si>
  <si>
    <t>Resident</t>
  </si>
  <si>
    <t>Pupil &lt; 21</t>
  </si>
  <si>
    <t>for Page 55</t>
  </si>
  <si>
    <t>SCHOOL GENERATED FUNDS</t>
  </si>
  <si>
    <t>(2)  Includes clinicians contracted/outsourced/private or employed by other divisions on a full time equivalent basis.</t>
  </si>
  <si>
    <r>
      <t>% of K-12 Expense</t>
    </r>
    <r>
      <rPr>
        <b/>
        <vertAlign val="superscript"/>
        <sz val="9"/>
        <rFont val="Arial"/>
        <family val="2"/>
      </rPr>
      <t xml:space="preserve"> (2)</t>
    </r>
  </si>
  <si>
    <t>(2) Expenses net of transfers (page 3).</t>
  </si>
  <si>
    <r>
      <t>FULL TIME EQUIVALENT (FTE) PERSONNEL EMPLOYED</t>
    </r>
    <r>
      <rPr>
        <b/>
        <vertAlign val="superscript"/>
        <sz val="9"/>
        <rFont val="Arial"/>
        <family val="2"/>
      </rPr>
      <t xml:space="preserve"> (1)</t>
    </r>
  </si>
  <si>
    <r>
      <t xml:space="preserve">DESIGNATED </t>
    </r>
    <r>
      <rPr>
        <b/>
        <vertAlign val="superscript"/>
        <sz val="9"/>
        <rFont val="Arial"/>
        <family val="2"/>
      </rPr>
      <t>(2)</t>
    </r>
  </si>
  <si>
    <r>
      <t xml:space="preserve">EXPENSES </t>
    </r>
    <r>
      <rPr>
        <b/>
        <vertAlign val="superscript"/>
        <sz val="10"/>
        <rFont val="Arial"/>
        <family val="2"/>
      </rPr>
      <t>(3)</t>
    </r>
  </si>
  <si>
    <t>(1)  Accumulated Surplus / (Deficit) at Year End is gross of estimated non-vested accumulated sick leave.</t>
  </si>
  <si>
    <t>W:\Edusfb\Age and Area</t>
  </si>
  <si>
    <r>
      <t xml:space="preserve">ACCUMULATED SURPLUS / (DEFICIT) AT YEAR END </t>
    </r>
    <r>
      <rPr>
        <b/>
        <vertAlign val="superscript"/>
        <sz val="9"/>
        <rFont val="Arial"/>
        <family val="2"/>
      </rPr>
      <t xml:space="preserve"> (1)</t>
    </r>
  </si>
  <si>
    <t>(4)  Includes School Buildings "D" Support, Technology Education Equipment and other minor capital support.</t>
  </si>
  <si>
    <t>(5)  Includes adjustment for days schools are closed (not shown).</t>
  </si>
  <si>
    <t>SEPT. 30, 2012</t>
  </si>
  <si>
    <t>W:\Edusfb\Frame.fin\[Final13.xls]Scdatabase - Column AD</t>
  </si>
  <si>
    <t>(2)  Represents long term debt servicing interest costs.</t>
  </si>
  <si>
    <r>
      <t>SPARSITY</t>
    </r>
    <r>
      <rPr>
        <b/>
        <vertAlign val="superscript"/>
        <sz val="9"/>
        <rFont val="Arial"/>
        <family val="2"/>
      </rPr>
      <t xml:space="preserve"> (2)</t>
    </r>
  </si>
  <si>
    <t>(1)  All other categorical support not shown elsewhere (eg. Aboriginal and International Languages, Northern Allowance, etc.).</t>
  </si>
  <si>
    <t>(4)  Includes other miscellaneous support (Institutional Programs, Nursing Supports, General Support Grant, Smaller Classes Initiative, etc.).</t>
  </si>
  <si>
    <t>2013/14</t>
  </si>
  <si>
    <t>2013/2014 ACTUAL</t>
  </si>
  <si>
    <t>SEPT. 30, 2013</t>
  </si>
  <si>
    <t>EXPENSES, REVENUE AND ACCUMULATED SURPLUS</t>
  </si>
  <si>
    <t>Reallocation of administration costs associated with Adult Learning Centres and Community and Education &amp; Services.</t>
  </si>
  <si>
    <t>(1)  Reallocation of administration costs associated with Adult Learning Centres and Community Education.</t>
  </si>
  <si>
    <t>(1)  Excludes personnel in Function 300 (Adult Learning Centres) and Function 400 (Community Education and Services) who do not provide 
       educational services to K-12 pupils.</t>
  </si>
  <si>
    <t>(3)  Information Technology personnel.</t>
  </si>
  <si>
    <t xml:space="preserve"> &lt; from Lyndonna</t>
  </si>
  <si>
    <t>Waywayseecapo</t>
  </si>
  <si>
    <t>2014/15</t>
  </si>
  <si>
    <t>2014 TSA</t>
  </si>
  <si>
    <t>Sept. 30 / 14</t>
  </si>
  <si>
    <t>Coming from Budget. Pg 49</t>
  </si>
  <si>
    <t>2014/2015 ACTUAL</t>
  </si>
  <si>
    <t>SEPT. 30, 2014</t>
  </si>
  <si>
    <r>
      <t xml:space="preserve">2014/15 </t>
    </r>
    <r>
      <rPr>
        <b/>
        <vertAlign val="superscript"/>
        <sz val="10"/>
        <rFont val="Arial"/>
        <family val="2"/>
      </rPr>
      <t>(2)</t>
    </r>
  </si>
  <si>
    <r>
      <t xml:space="preserve">2014 </t>
    </r>
    <r>
      <rPr>
        <b/>
        <vertAlign val="superscript"/>
        <sz val="10"/>
        <rFont val="Arial"/>
        <family val="2"/>
      </rPr>
      <t>(3)</t>
    </r>
  </si>
  <si>
    <r>
      <t xml:space="preserve">2014 </t>
    </r>
    <r>
      <rPr>
        <b/>
        <vertAlign val="superscript"/>
        <sz val="10"/>
        <rFont val="Arial"/>
        <family val="2"/>
      </rPr>
      <t>(4)</t>
    </r>
  </si>
  <si>
    <t>PAGE 1 OF 16</t>
  </si>
  <si>
    <t>PAGE 2 OF 16</t>
  </si>
  <si>
    <t>PAGE 3 OF 16</t>
  </si>
  <si>
    <t>PAGE 4 OF 16</t>
  </si>
  <si>
    <t>PAGE 5 OF 16</t>
  </si>
  <si>
    <t>PAGE 6 OF 16</t>
  </si>
  <si>
    <t>PAGE 7 OF 16</t>
  </si>
  <si>
    <t>PAGE 8 OF 16</t>
  </si>
  <si>
    <t>PAGE 9 OF 16</t>
  </si>
  <si>
    <t>PAGE 10 OF 16</t>
  </si>
  <si>
    <t>PAGE 11 OF 16</t>
  </si>
  <si>
    <t>PAGE 12 OF 16</t>
  </si>
  <si>
    <t>PAGE 13 OF 16</t>
  </si>
  <si>
    <t>PAGE 14 OF 16</t>
  </si>
  <si>
    <t>PAGE 15 OF 16</t>
  </si>
  <si>
    <t>PAGE 16 OF 16</t>
  </si>
  <si>
    <t>(1)  Based on area (square footage) of active school buildings as at September 30, 2014. Includes rented and leased space.</t>
  </si>
  <si>
    <t>(2)  Capitalized Information Technology equipment is reported on page 48.</t>
  </si>
  <si>
    <t>(2)  Total Management Information Services expenses in Function 500 (from page 26).</t>
  </si>
  <si>
    <t>(3)  For information technology equipment purchased in Operating Fund, see page 37.</t>
  </si>
  <si>
    <t>(1) The mill rate for other property in 2014 is 11.39.</t>
  </si>
  <si>
    <t>(4)  Administration of Pupil Transportation. For a definition of Transportation of Pupils, see expense definitions, page iii.</t>
  </si>
  <si>
    <t>(5)  Administration of Operations and Maintenance. For a definition of Operations and Maintenance, see expense definitions, page iii.</t>
  </si>
  <si>
    <t>(3)  From page 55 (for more information, see page 55).</t>
  </si>
  <si>
    <t xml:space="preserve">(4)  From page 53 (for more information, see page 53). </t>
  </si>
  <si>
    <t>FOR THE 2014 TAXATION YEAR (2014 IS A REASSESSMENT YEAR)</t>
  </si>
  <si>
    <t>OE799X</t>
  </si>
  <si>
    <t>OE1TRANS</t>
  </si>
  <si>
    <t>OE7TRANS</t>
  </si>
  <si>
    <t>OE2TRANS</t>
  </si>
  <si>
    <t>OE3TRANS</t>
  </si>
  <si>
    <t>OE4TRANS</t>
  </si>
  <si>
    <t>OE5TRANS</t>
  </si>
  <si>
    <t>OE6TRANS</t>
  </si>
  <si>
    <t>LIABINS</t>
  </si>
  <si>
    <t>ADMINSELF</t>
  </si>
  <si>
    <t>ADJUSTMENT</t>
  </si>
  <si>
    <t>FOR DAYS</t>
  </si>
  <si>
    <t>CLOSED</t>
  </si>
  <si>
    <t>DAYSCLOS</t>
  </si>
  <si>
    <t>CATSUP</t>
  </si>
  <si>
    <t>SPECIAL NEEDS</t>
  </si>
  <si>
    <t>COORDINATOR/</t>
  </si>
  <si>
    <t>CLINICIAN</t>
  </si>
  <si>
    <t>LEVEL II</t>
  </si>
  <si>
    <t>LEVEL III</t>
  </si>
  <si>
    <t>SPECNEEDCLIN</t>
  </si>
  <si>
    <t>SPECNEED2</t>
  </si>
  <si>
    <t>SPECNEED3</t>
  </si>
  <si>
    <t>Page</t>
  </si>
  <si>
    <t>Function</t>
  </si>
  <si>
    <t xml:space="preserve"> Function's check</t>
  </si>
  <si>
    <t>(2)  Operating fund transfers are payments to other school divisions, organizations and individuals. These are removed to provide more accurate
       per pupil costs.</t>
  </si>
  <si>
    <r>
      <t xml:space="preserve">TOTAL
EXPENSES </t>
    </r>
    <r>
      <rPr>
        <b/>
        <vertAlign val="superscript"/>
        <sz val="9"/>
        <rFont val="Arial"/>
        <family val="2"/>
      </rPr>
      <t>(1)</t>
    </r>
  </si>
  <si>
    <r>
      <t>LESS
OPERATING 
FUND 
TRANSFERS</t>
    </r>
    <r>
      <rPr>
        <b/>
        <vertAlign val="superscript"/>
        <sz val="9"/>
        <rFont val="Arial"/>
        <family val="2"/>
      </rPr>
      <t xml:space="preserve"> (2)</t>
    </r>
  </si>
  <si>
    <r>
      <t xml:space="preserve">EXPENSES NET 
OF TRANFERS </t>
    </r>
    <r>
      <rPr>
        <b/>
        <vertAlign val="superscript"/>
        <sz val="9"/>
        <rFont val="Arial"/>
        <family val="2"/>
      </rPr>
      <t>(3)</t>
    </r>
  </si>
  <si>
    <r>
      <t>LESS
 NON K-12 
EDUCATION &amp; 
SERVICES</t>
    </r>
    <r>
      <rPr>
        <b/>
        <vertAlign val="superscript"/>
        <sz val="9"/>
        <rFont val="Arial"/>
        <family val="2"/>
      </rPr>
      <t xml:space="preserve"> (4)</t>
    </r>
  </si>
  <si>
    <r>
      <t xml:space="preserve">TOTAL
 EXPENSES 
FOR PER PUPIL COSTS </t>
    </r>
    <r>
      <rPr>
        <b/>
        <vertAlign val="superscript"/>
        <sz val="9"/>
        <rFont val="Arial"/>
        <family val="2"/>
      </rPr>
      <t>(5)</t>
    </r>
  </si>
  <si>
    <t>(1)  Operating fund transfers (i.e. payments to other school divisions, organizations and individuals) are excluded to provide more accurate per
       pupil costs. Also excluded are expenditures on educational services not provided to K-12 pupils: Function 300 (Adult Learning Centres) and
       Function  400 (Community Education and Services).</t>
  </si>
  <si>
    <t>OTHER BILINGUAL</t>
  </si>
  <si>
    <t>K-12  F.T.E. ENROLMENT</t>
  </si>
  <si>
    <t>SENIOR YEARS TECHNOLOGY</t>
  </si>
  <si>
    <t>(1) Special Placement students are no longer reported separately. They are included in Regular Instruction Enrolment. As a result, total enrolment
      in Regular Instruction is equal to Total K-12 F.T.E. enrolment.</t>
  </si>
  <si>
    <t>N-12 ENROLMENT</t>
  </si>
  <si>
    <t>NURSERY ENROLMENT</t>
  </si>
  <si>
    <t>K-12 ENROLMENT</t>
  </si>
  <si>
    <t>(3)  Provincially supported pupils (actual September 30, 2013 for 2014/15 and actual September 30, 2012 for 2013/14). The Whiteshell Special 
       Revenue District includes out-of-district pupils.</t>
  </si>
  <si>
    <t>(2)  The total number of pupils enrolled in schools adjusted for full time equivalence (F.T.E.).  Full time equivalent means pupils are counted on the
        basis of time attending school - eg. Kindergarten as 1/2.  This total is the same as reported on page 7.</t>
  </si>
  <si>
    <r>
      <t xml:space="preserve">REGULAR 
 INSTRUCTION </t>
    </r>
    <r>
      <rPr>
        <b/>
        <vertAlign val="superscript"/>
        <sz val="9"/>
        <rFont val="Arial"/>
        <family val="2"/>
      </rPr>
      <t>(1)</t>
    </r>
  </si>
  <si>
    <t>(1)  Based on object code 330 Instructional-Teaching personnel and F.T.E. students in Function 100. Included are teachers in physical education,  
       music, EAL, etc. in addition to regular classroom teachers. School-based administrative personnel and teachers in Student Support Services
       (Function 200) are excluded.</t>
  </si>
  <si>
    <t>(2)  Based on total instructional-teaching (excluding Community Education and Adult Learning Centres) as well as school-based administrative  
       staff - eg. department heads, coordinators, principals and vice-principals - and K-12 F.T.E. enrolment. Division administrators (Function 500) 
       are excluded.</t>
  </si>
  <si>
    <t>EMPLOYEE
BENEFITS</t>
  </si>
  <si>
    <t>SUPPLIES AND MATERIALS</t>
  </si>
  <si>
    <t>BAD DEBT EXPENSE</t>
  </si>
  <si>
    <t>REGULAR 
INSTRUCTION</t>
  </si>
  <si>
    <t>COMMUNITY
 EDUCATION</t>
  </si>
  <si>
    <t>INSTRUCTIONAL &amp; OTHER SUPPORT SERVICES</t>
  </si>
  <si>
    <t>STUDENT SUPPORT
 SERVICES</t>
  </si>
  <si>
    <t>ADULT LEARNING 
CENTRES</t>
  </si>
  <si>
    <t>COMMUNITY EDUCATION
 AND SERVICES</t>
  </si>
  <si>
    <t>DIVISIONAL
 ADMINISTRATION</t>
  </si>
  <si>
    <t>INSTRUCTIONAL &amp; OTHER 
SUPPORT SERVICES</t>
  </si>
  <si>
    <t>TRANSPORTATION 
OF PUPILS</t>
  </si>
  <si>
    <t>OPERATIONS AND 
MAINTENANCE</t>
  </si>
  <si>
    <t>PER
PUPIL</t>
  </si>
  <si>
    <t>PER
 PUPIL</t>
  </si>
  <si>
    <t>SENIOR YEARS
 TECHNOLOGY EDUCATION</t>
  </si>
  <si>
    <t>NO. OF F.T.E. PUPILS</t>
  </si>
  <si>
    <t>ADMINISTRATION / 
COORDINATION</t>
  </si>
  <si>
    <t>CLINICAL AND RELATED SERVICES</t>
  </si>
  <si>
    <t>SPECIAL 
PLACEMENT</t>
  </si>
  <si>
    <r>
      <t xml:space="preserve">REGULAR 
PLACEMENT </t>
    </r>
    <r>
      <rPr>
        <b/>
        <vertAlign val="superscript"/>
        <sz val="9"/>
        <rFont val="Arial"/>
        <family val="2"/>
      </rPr>
      <t>(1)</t>
    </r>
  </si>
  <si>
    <t xml:space="preserve"> RESOURCE 
SERVICES</t>
  </si>
  <si>
    <t>COUNSELLING AND 
GUIDANCE</t>
  </si>
  <si>
    <t>ADMINISTRATION 
AND OTHER</t>
  </si>
  <si>
    <t>CONTINUING EDUCATION</t>
  </si>
  <si>
    <t>ENGLISH AS AN ADDITIONAL LANGUAGE FOR ADULTS</t>
  </si>
  <si>
    <t>COMMUNITY SERVICES &amp; RECREATION</t>
  </si>
  <si>
    <t>PRE-KINDERGARTEN EDUCATION</t>
  </si>
  <si>
    <t>INSTRUCTIONAL MGMT. 
AND ADMINISTRATION</t>
  </si>
  <si>
    <t>BUSINESS AND
ADMIN. SERVICES</t>
  </si>
  <si>
    <t>MANAGEMENT
 INFORMATION SERVICES</t>
  </si>
  <si>
    <t>CURRICULUM CONSULTING 
AND DEVELOPMENT ADMIN.</t>
  </si>
  <si>
    <t>CURRICULUM CONSULTING 
AND DEVELOPMENT</t>
  </si>
  <si>
    <t>LIBRARY / 
MEDIA CENTRE</t>
  </si>
  <si>
    <t>PROFESSIONAL AND
 STAFF DEVELOPMENT</t>
  </si>
  <si>
    <t>ALLOWANCES IN LIEU 
OF TRANSPORTATION</t>
  </si>
  <si>
    <t>BOARDING OF
 STUDENTS</t>
  </si>
  <si>
    <t>FIELD TRIPS
 AND OTHER</t>
  </si>
  <si>
    <t>INTEREST AND
 BANK CHARGES</t>
  </si>
  <si>
    <t>BAD
 DEBT</t>
  </si>
  <si>
    <t>HEALTH AND 
EDUCATION LEVY</t>
  </si>
  <si>
    <t>TRANSPORTED PUPILS</t>
  </si>
  <si>
    <t>TOTAL KM. (ROUTES)</t>
  </si>
  <si>
    <t>COST
 PER KM.</t>
  </si>
  <si>
    <t>LOADED 
KM.</t>
  </si>
  <si>
    <t>COST 
PER KM.</t>
  </si>
  <si>
    <t>TOTAL KM.
 (LOG BOOK)</t>
  </si>
  <si>
    <t>ADMINISTRATION, REGULAR AND OTHER
 (PROGRAMS 710, 720 AND 790)</t>
  </si>
  <si>
    <t>REPAIRS 
AND REPLACEMENTS</t>
  </si>
  <si>
    <t>COST PER PUPIL</t>
  </si>
  <si>
    <r>
      <t xml:space="preserve">COST PER 
SQ. FT. </t>
    </r>
    <r>
      <rPr>
        <b/>
        <vertAlign val="superscript"/>
        <sz val="9"/>
        <rFont val="Arial"/>
        <family val="2"/>
      </rPr>
      <t>(1)</t>
    </r>
  </si>
  <si>
    <r>
      <t>SQ. FT. PER PUPIL</t>
    </r>
    <r>
      <rPr>
        <b/>
        <vertAlign val="superscript"/>
        <sz val="9"/>
        <rFont val="Arial"/>
        <family val="2"/>
      </rPr>
      <t xml:space="preserve"> (2)</t>
    </r>
  </si>
  <si>
    <r>
      <t xml:space="preserve">COST PER
SQ. FT. </t>
    </r>
    <r>
      <rPr>
        <b/>
        <vertAlign val="superscript"/>
        <sz val="9"/>
        <rFont val="Arial"/>
        <family val="2"/>
      </rPr>
      <t>(1)</t>
    </r>
  </si>
  <si>
    <t>(1)  Excludes information technology expenses in Function 300 (Adult Learning Centres), Function 400 (Community Education and Services) 
       and, Management Information Services in Function 500. Total expenses for Management Information Services are included on page 38
       and form part of Total Information Technology Expenses.</t>
  </si>
  <si>
    <r>
      <t xml:space="preserve">MANAGEMENT
 INFORMATION SERVICES </t>
    </r>
    <r>
      <rPr>
        <b/>
        <vertAlign val="superscript"/>
        <sz val="9"/>
        <rFont val="Arial"/>
        <family val="2"/>
      </rPr>
      <t>(2)</t>
    </r>
  </si>
  <si>
    <t>PRIVATE 
ORG.'S &amp; 
INDIVIDUALS</t>
  </si>
  <si>
    <t>OTHER SCHOOL DIVISIONS</t>
  </si>
  <si>
    <t>TOTAL PROVINCIAL REVENUE</t>
  </si>
  <si>
    <r>
      <t>%
 OPERATING 
FUND
 REVENUE</t>
    </r>
    <r>
      <rPr>
        <b/>
        <vertAlign val="superscript"/>
        <sz val="9"/>
        <rFont val="Arial"/>
        <family val="2"/>
      </rPr>
      <t xml:space="preserve"> (6)</t>
    </r>
  </si>
  <si>
    <r>
      <t>OTHER PROVINCIAL REVENUE</t>
    </r>
    <r>
      <rPr>
        <b/>
        <vertAlign val="superscript"/>
        <sz val="9"/>
        <rFont val="Arial"/>
        <family val="2"/>
      </rPr>
      <t xml:space="preserve"> (5)</t>
    </r>
  </si>
  <si>
    <r>
      <t>OTHER REVENUE</t>
    </r>
    <r>
      <rPr>
        <b/>
        <vertAlign val="superscript"/>
        <sz val="9"/>
        <rFont val="Arial"/>
        <family val="2"/>
      </rPr>
      <t xml:space="preserve"> (4)</t>
    </r>
  </si>
  <si>
    <r>
      <t>TAX  INCENTIVE GRANT</t>
    </r>
    <r>
      <rPr>
        <b/>
        <vertAlign val="superscript"/>
        <sz val="9"/>
        <rFont val="Arial"/>
        <family val="2"/>
      </rPr>
      <t xml:space="preserve"> (3)</t>
    </r>
  </si>
  <si>
    <r>
      <t xml:space="preserve">EDUCATION PROPERTY 
TAX CREDIT </t>
    </r>
    <r>
      <rPr>
        <b/>
        <vertAlign val="superscript"/>
        <sz val="9"/>
        <rFont val="Arial"/>
        <family val="2"/>
      </rPr>
      <t>(2)</t>
    </r>
  </si>
  <si>
    <r>
      <t>FUNDING OF SCHOOLS
PROGRAM</t>
    </r>
    <r>
      <rPr>
        <b/>
        <vertAlign val="superscript"/>
        <sz val="9"/>
        <rFont val="Arial"/>
        <family val="2"/>
      </rPr>
      <t xml:space="preserve"> (1)</t>
    </r>
  </si>
  <si>
    <t>(3)  Although the Tax Incentive Grant was discontinued in 2012, the funding provided in 2011 continues to be provided. Amounts shown here are the portions  
       by division after the allocation to the DSFM.</t>
  </si>
  <si>
    <t>FEDERAL
 GOVERNMENT</t>
  </si>
  <si>
    <r>
      <t xml:space="preserve">MUNICIPAL GOVERNMENT </t>
    </r>
    <r>
      <rPr>
        <b/>
        <vertAlign val="superscript"/>
        <sz val="9"/>
        <rFont val="Arial"/>
        <family val="2"/>
      </rPr>
      <t>(1)</t>
    </r>
  </si>
  <si>
    <t>PRIVATE ORGANIZATIONS
 &amp; INDIVIDUALS</t>
  </si>
  <si>
    <t>TOTAL 
NON-PROVINCIAL
 REVENUE</t>
  </si>
  <si>
    <t>TOTAL
 OPERATING 
FUND</t>
  </si>
  <si>
    <t>(3) Operating expenses include transfers to other school divisions, organizations and individuals but not net transfers to capital. See
      page 3 for Total Expenses.</t>
  </si>
  <si>
    <t>(2) Designated Surplus is the amount that school divisions have set aside for specific purposes. For further information, please refer
      to the school divisions' financial statements.</t>
  </si>
  <si>
    <r>
      <t xml:space="preserve">DEBT
 INTEREST </t>
    </r>
    <r>
      <rPr>
        <b/>
        <vertAlign val="superscript"/>
        <sz val="9"/>
        <rFont val="Arial"/>
        <family val="2"/>
      </rPr>
      <t>(2)</t>
    </r>
  </si>
  <si>
    <t>OTHER 
CAPITAL
 ITEMS</t>
  </si>
  <si>
    <t>TOTAL EXPENSES</t>
  </si>
  <si>
    <t>TOTAL
 EXPENSES</t>
  </si>
  <si>
    <r>
      <t xml:space="preserve">PROVINCIAL GOVERNMENT </t>
    </r>
    <r>
      <rPr>
        <b/>
        <vertAlign val="superscript"/>
        <sz val="9"/>
        <rFont val="Arial"/>
        <family val="2"/>
      </rPr>
      <t>(1)</t>
    </r>
  </si>
  <si>
    <r>
      <t xml:space="preserve">OTHER
 SOURCES </t>
    </r>
    <r>
      <rPr>
        <b/>
        <vertAlign val="superscript"/>
        <sz val="9"/>
        <rFont val="Arial"/>
        <family val="2"/>
      </rPr>
      <t>(2)</t>
    </r>
  </si>
  <si>
    <t>TOTAL
 REVENUE</t>
  </si>
  <si>
    <t>NET TRANSFERS
 TO / (FROM) 
CAPITAL</t>
  </si>
  <si>
    <t>(1)  Residual interest (accounting value) in all tangible capital assets (i.e. land, buildings, vehicles and equipment) net of accumulated amortization
      and liabilities.</t>
  </si>
  <si>
    <t>CLOSING ACCUMULATED SURPLUS / 
EQUITY</t>
  </si>
  <si>
    <r>
      <t xml:space="preserve">RESERVE ACCOUNTS </t>
    </r>
    <r>
      <rPr>
        <b/>
        <vertAlign val="superscript"/>
        <sz val="9"/>
        <rFont val="Arial"/>
        <family val="2"/>
      </rPr>
      <t>(2)</t>
    </r>
  </si>
  <si>
    <r>
      <t xml:space="preserve">EQUITY IN TANGIBLE 
ASSETS </t>
    </r>
    <r>
      <rPr>
        <b/>
        <vertAlign val="superscript"/>
        <sz val="9"/>
        <rFont val="Arial"/>
        <family val="2"/>
      </rPr>
      <t>(1)</t>
    </r>
  </si>
  <si>
    <t>FURNITURE / FIXTURES &amp; EQUIPMENT</t>
  </si>
  <si>
    <r>
      <t xml:space="preserve">COMPUTER HARDWARE &amp; SOFTWARE </t>
    </r>
    <r>
      <rPr>
        <b/>
        <vertAlign val="superscript"/>
        <sz val="9"/>
        <rFont val="Arial"/>
        <family val="2"/>
      </rPr>
      <t>(3)</t>
    </r>
  </si>
  <si>
    <t>(2)  Comprised of school and other building new construction and betterments financed primarily through debenture debt. Includes
        leasehold improvements and assets under construction.</t>
  </si>
  <si>
    <t>OTHER 
FUNDS</t>
  </si>
  <si>
    <t>CLOSING ACCUMULATED SURPLUS /
 EQUITY</t>
  </si>
  <si>
    <t xml:space="preserve">(1) The Special Purpose Fund reports school generated funds and controlled charitable foundations. School generated funds are those funds which
      the school has authority to make decisions as to when, how, and on what the funds are to be spent (e.g. Parent council and student council
      funds are not included).  </t>
  </si>
  <si>
    <t>TOTAL SCHOOL GENERATED FUNDS</t>
  </si>
  <si>
    <r>
      <t>SCHOOL GENERATED FUNDS ACCUMULATED SURPLUS</t>
    </r>
    <r>
      <rPr>
        <b/>
        <vertAlign val="superscript"/>
        <sz val="9"/>
        <rFont val="Arial"/>
        <family val="2"/>
      </rPr>
      <t xml:space="preserve"> (1)</t>
    </r>
  </si>
  <si>
    <t xml:space="preserve">(1)  From page 49. School Generated Funds Accumulated surplus is money for which schools have authority to make decisions as to when,
       how, and on what the funds are to be spent. </t>
  </si>
  <si>
    <t>(2)  The liability is money held for designated projects in school bank accounts for which schools do not have authority to make decisions as to
        when, how, and on what the funds are to be spent (e.g. Parent council and student council funds).</t>
  </si>
  <si>
    <t>EDUCATION 
SUPPORT LEVY</t>
  </si>
  <si>
    <t xml:space="preserve">PORTIONED 
ASSESSMENT 
OTHER  </t>
  </si>
  <si>
    <t>(1)  Special levy net of the Tax Incentive Grant (page 54) requisitioned by school divisions for the 2014 tax year. Actual remittance to
       school divisions by municipalities is reduced by the Education Property Tax Credit. See pages 41 and 42 for more detail.</t>
  </si>
  <si>
    <r>
      <t>SPECIAL
 LEVY</t>
    </r>
    <r>
      <rPr>
        <b/>
        <vertAlign val="superscript"/>
        <sz val="9"/>
        <rFont val="Arial"/>
        <family val="2"/>
      </rPr>
      <t xml:space="preserve"> (1)</t>
    </r>
  </si>
  <si>
    <r>
      <t>SPECIAL
 LEVY 
MILL RATE</t>
    </r>
    <r>
      <rPr>
        <b/>
        <vertAlign val="superscript"/>
        <sz val="9"/>
        <rFont val="Arial"/>
        <family val="2"/>
      </rPr>
      <t xml:space="preserve"> (2)</t>
    </r>
  </si>
  <si>
    <t>FARM 
LAND AND BUILDINGS</t>
  </si>
  <si>
    <t>URBAN 
AND FARM RESIDENTIAL</t>
  </si>
  <si>
    <t>NET SPECIAL 
LEVY</t>
  </si>
  <si>
    <r>
      <t xml:space="preserve">TAX INCENTIVE
 GRANT </t>
    </r>
    <r>
      <rPr>
        <b/>
        <vertAlign val="superscript"/>
        <sz val="9"/>
        <rFont val="Arial"/>
        <family val="2"/>
      </rPr>
      <t>(1)</t>
    </r>
  </si>
  <si>
    <t>GROSS SPECIAL
 LEVY</t>
  </si>
  <si>
    <t>(1)  The Tax Incentive Grant was offered to school divisions that maintained their prior year Special Levy amount adjusted for real growth in
        property assessment. The 2014 grant is unchanged from the amount provided in 2011. Amounts shown here are the portions by
        division before the allocation to the DSFM.</t>
  </si>
  <si>
    <t>EDUCATION
 SUPPORT 
LEVY</t>
  </si>
  <si>
    <r>
      <t>ASSESSMENT
 PER
 RESIDENT PUPIL</t>
    </r>
    <r>
      <rPr>
        <b/>
        <vertAlign val="superscript"/>
        <sz val="9"/>
        <rFont val="Arial"/>
        <family val="2"/>
      </rPr>
      <t xml:space="preserve"> (1)</t>
    </r>
  </si>
  <si>
    <t>(1)  Assessment per resident pupil is based on total portioned assessment adjusted for allocations to the DSFM and corresponds to data provided
      in the calculation of support to school divisions. Assessment per resident pupil for Flin Flon, Frontier and Mystery Lake reflects non-assessed
      mining properties. DSFM assessment per resident pupil is derived on a pro rata basis according to enrolment within DSFM boundaries.</t>
  </si>
  <si>
    <r>
      <t>INSTRUCTIONAL SUPPORT</t>
    </r>
    <r>
      <rPr>
        <b/>
        <vertAlign val="superscript"/>
        <sz val="9"/>
        <rFont val="Arial"/>
        <family val="2"/>
      </rPr>
      <t xml:space="preserve"> (1)</t>
    </r>
  </si>
  <si>
    <t>CURRICULAR MATERIALS</t>
  </si>
  <si>
    <t>INFORMATION TECHNOLOGY</t>
  </si>
  <si>
    <t>LIBRARY SERVICES</t>
  </si>
  <si>
    <t>EDUCATION 
FUNDING OF SCHOOLS PROGRAM</t>
  </si>
  <si>
    <t>COUNSELLING AND GUIDANCE</t>
  </si>
  <si>
    <t>PROFESSIONAL DEVELOPMENT</t>
  </si>
  <si>
    <t>PHYSICAL EDUCATION</t>
  </si>
  <si>
    <t>TOTAL
 BASE
 SUPPORT</t>
  </si>
  <si>
    <t>EDUCATION 
FUNDING OF SCHOOLS PROGRAM (CONT'D)</t>
  </si>
  <si>
    <r>
      <t>SPECIAL
 NEEDS</t>
    </r>
    <r>
      <rPr>
        <b/>
        <vertAlign val="superscript"/>
        <sz val="9"/>
        <rFont val="Arial"/>
        <family val="2"/>
      </rPr>
      <t xml:space="preserve"> (2)</t>
    </r>
  </si>
  <si>
    <t>ENGLISH AS AN ADDITIONAL LANGUAGE</t>
  </si>
  <si>
    <t>SENIOR YEARS TECHNOLOGY EDUCATION</t>
  </si>
  <si>
    <t>ABORIGINAL
 ACADEMIC 
ACHIEVEMENT</t>
  </si>
  <si>
    <t>FRENCH LANGUAGE PROGRAMS</t>
  </si>
  <si>
    <t>EARLY
 CHILDHOOD
 INITIATIVE</t>
  </si>
  <si>
    <t>EARLY 
LITERACY
 INTERVENTION</t>
  </si>
  <si>
    <r>
      <t>OTHER CATEGORICAL</t>
    </r>
    <r>
      <rPr>
        <b/>
        <vertAlign val="superscript"/>
        <sz val="9"/>
        <rFont val="Arial"/>
        <family val="2"/>
      </rPr>
      <t xml:space="preserve"> (1)</t>
    </r>
  </si>
  <si>
    <t>TOTAL CATEGORICAL SUPPORT</t>
  </si>
  <si>
    <r>
      <t>EQUALIZATION SUPPORT</t>
    </r>
    <r>
      <rPr>
        <b/>
        <vertAlign val="superscript"/>
        <sz val="9"/>
        <rFont val="Arial"/>
        <family val="2"/>
      </rPr>
      <t xml:space="preserve"> (1)</t>
    </r>
  </si>
  <si>
    <r>
      <t>ADDITIONAL EQUALIZATION SUPPORT</t>
    </r>
    <r>
      <rPr>
        <b/>
        <vertAlign val="superscript"/>
        <sz val="9"/>
        <rFont val="Arial"/>
        <family val="2"/>
      </rPr>
      <t xml:space="preserve"> (2)</t>
    </r>
  </si>
  <si>
    <r>
      <t xml:space="preserve">FORMULA GUARANTEE </t>
    </r>
    <r>
      <rPr>
        <b/>
        <vertAlign val="superscript"/>
        <sz val="9"/>
        <rFont val="Arial"/>
        <family val="2"/>
      </rPr>
      <t>(3)</t>
    </r>
  </si>
  <si>
    <r>
      <t>OTHER
 PROGRAM 
SUPPORT</t>
    </r>
    <r>
      <rPr>
        <b/>
        <vertAlign val="superscript"/>
        <sz val="9"/>
        <rFont val="Arial"/>
        <family val="2"/>
      </rPr>
      <t xml:space="preserve"> (4)</t>
    </r>
  </si>
  <si>
    <r>
      <t xml:space="preserve">TOTAL FUNDING 
OF SCHOOLS 
PROGRAM </t>
    </r>
    <r>
      <rPr>
        <b/>
        <vertAlign val="superscript"/>
        <sz val="9"/>
        <rFont val="Arial"/>
        <family val="2"/>
      </rPr>
      <t>(5)</t>
    </r>
  </si>
  <si>
    <t>(2)  Additional Equalization is provided to specifically assist school divisions or districts that have both higher than average tax effort and
        lower than average assessment per pupil.</t>
  </si>
  <si>
    <t>(1)  Equalization is provided to recognize the varying ability of school divisions to meet the cost of unsupported program requirements
        through the property tax base of the school division.</t>
  </si>
  <si>
    <t>DIVISIONAL FUNCTION 500</t>
  </si>
  <si>
    <t>CURRICULUM CONSULTING / DEVELOPMENT PROGRAM 605</t>
  </si>
  <si>
    <t>TRANSPORTATION PROGRAM 710</t>
  </si>
  <si>
    <t>OPERATIONS &amp; MAINTENANCE PROGRAM 810</t>
  </si>
  <si>
    <t>LESS: 
LIABILITY
 INSURANCE
  &amp; ADMIN.
 PORTION OF
 SELF-FUNDED
 EXPENSES</t>
  </si>
  <si>
    <t>TOTAL
 ADMIN. 
EXPENSES</t>
  </si>
  <si>
    <t>(1)  For a definition of Adult Learning Centres, see expense definitions, page iii. Expenses shown here may differ from those shown for Adult
       Learning Centres on page 15 owing to the inclusion of operating transfers for the purpose of calculating administration costs.</t>
  </si>
  <si>
    <t>TOTAL 
OPERATING 
EXPENSES
 (from page 3)</t>
  </si>
  <si>
    <t>PLUS
 TRANSFERS
 TO 
CAPITAL</t>
  </si>
  <si>
    <r>
      <t xml:space="preserve">LESS ADULT
 LEARNING
 CENTRES 
FUNCTION 300 </t>
    </r>
    <r>
      <rPr>
        <b/>
        <vertAlign val="superscript"/>
        <sz val="9"/>
        <rFont val="Arial"/>
        <family val="2"/>
      </rPr>
      <t>(1)</t>
    </r>
  </si>
  <si>
    <t>ADJUSTED EXPENDITURE BASE</t>
  </si>
  <si>
    <t>TOTAL
 ADMIN. 
EXPENSES
 AS % OF
 EXPENDITURE
 BASE</t>
  </si>
  <si>
    <t>DIRECT SUPPORT
 TO PUPILS
 PER PUPIL</t>
  </si>
  <si>
    <r>
      <t>DIRECT SUPPORT
 TO PUPILS
 FUNCTIONS 100 + 200 + 600</t>
    </r>
    <r>
      <rPr>
        <b/>
        <vertAlign val="superscript"/>
        <sz val="9"/>
        <rFont val="Arial"/>
        <family val="2"/>
      </rPr>
      <t xml:space="preserve"> (1)</t>
    </r>
  </si>
  <si>
    <t>(1) Total of Regular Instruction, Student Support Services and Instructional and Other Support Services. See pages 15 and
      16 for details.</t>
  </si>
  <si>
    <t>SPECIAL LEVY 
MILL RATE</t>
  </si>
  <si>
    <t>ASSESSMENT
 PER RESIDENT 
PUPIL</t>
  </si>
  <si>
    <t>PUPIL / EDUCATOR 
RATIO</t>
  </si>
  <si>
    <r>
      <t xml:space="preserve">OPERATING 
COST
 PER PUPIL </t>
    </r>
    <r>
      <rPr>
        <b/>
        <vertAlign val="superscript"/>
        <sz val="9"/>
        <rFont val="Arial"/>
        <family val="2"/>
      </rPr>
      <t>(1)</t>
    </r>
  </si>
  <si>
    <t>check</t>
  </si>
  <si>
    <t xml:space="preserve"> MITT</t>
  </si>
  <si>
    <t>(1)  School divisions are required to limit the proportion of the budget spent on administration expenditures in defined categories to 4% (urban school
       divisions), 4.5% (rural school divisions) and 5.0% (northern school divisions).  Frontier School Division, DSFM and the MITT are exempt from
       these limits and are not reflected in the above totals. The defined administration categories exclude administration at the school  level (Function
       100 - Regular Instruction, Program 110) and special needs administration (Function 200 - Exceptional, Program 210). This appendix provides
       an analysis of the defined administration expenditures as a percentage of the adjusted operating expenditure base.  Expenditures shown
        for Function 500 or Program 710 may differ from corresponding amounts shown elsewhere in this report owing to the inclusion of operating
       transfers for the purpose of calculating administration costs.</t>
  </si>
  <si>
    <r>
      <t xml:space="preserve">LIABILITY </t>
    </r>
    <r>
      <rPr>
        <b/>
        <vertAlign val="superscript"/>
        <sz val="9"/>
        <rFont val="Arial"/>
        <family val="2"/>
      </rPr>
      <t xml:space="preserve">(2) 
</t>
    </r>
    <r>
      <rPr>
        <b/>
        <sz val="9"/>
        <rFont val="Arial"/>
        <family val="2"/>
      </rPr>
      <t>(DESIGNATED FUNDS)</t>
    </r>
  </si>
  <si>
    <t>(2)  Effective with the 2005 tax year, the Resident Homeowner Advance portion of the Manitoba Education Property Tax Credit (EPTC) is provided directly to
       school divisions as revenue from the Province of Manitoba to more accurately reflect the amount of provincial funding provided in support of education. 
       Amounts shown here do not include the income tax portion of the EPTC nor the School Tax Assistance for Tenants and Homeowners (55+) because 
       these are not  quantifiable on a school division basis.  For the income tax portion of these credits, see page i.</t>
  </si>
  <si>
    <r>
      <t xml:space="preserve"> FUNCTION 200: STUDENT SUPPORT SERVICES </t>
    </r>
    <r>
      <rPr>
        <b/>
        <vertAlign val="superscript"/>
        <sz val="9"/>
        <rFont val="Arial"/>
        <family val="2"/>
      </rPr>
      <t>(1)</t>
    </r>
  </si>
  <si>
    <t>(1) Separate reporting for Gifted Education has been removed from Function 200 beginning 2014/15.  All costs related to gifted 
      students are included in Function 100 – Regular Instruction.  For a more complete description of programming under Function 100
      see “Expense Definitions” on page iii.</t>
  </si>
  <si>
    <t>STUDENT SERVICES</t>
  </si>
  <si>
    <t>TOTAL
 ADMIN. 
EXPENSES
 (from page 62)</t>
  </si>
  <si>
    <t>All pages of the FRAME report containing the tables of financial and statistical data are included in this file.</t>
  </si>
  <si>
    <t>In most cases, formulas have been left intact to show how statistics such as percentages and average costs per pupil are derived.</t>
  </si>
  <si>
    <t>The cover page, table of contents, forward and introduction, etc. as well as the graphs (e.g. pie charts, bar charts, etc.) are not included.  The complete report is available in PDF format on the same web site from which you retrieved this Excel file.</t>
  </si>
  <si>
    <t>Each worksheet tab is numbered to match the corresponding page found in the published document so, for example, to see page 15, click the worksheet tab named "- 15 -".</t>
  </si>
  <si>
    <t>This file is unprotected for data manipulation and calculation.  Data may also be copied to other files or additional data copied to this one.  In cases of dispute however, the published FRAME reports and the corresponding files located on the Manitoba Government web site remain  the final authority.</t>
  </si>
  <si>
    <t>FRAME Report: 2014/15 Actual</t>
  </si>
</sst>
</file>

<file path=xl/styles.xml><?xml version="1.0" encoding="utf-8"?>
<styleSheet xmlns="http://schemas.openxmlformats.org/spreadsheetml/2006/main">
  <numFmts count="14">
    <numFmt numFmtId="165" formatCode="_(* #,##0.00_);_(* \(#,##0.00\);_(* &quot;-&quot;??_);_(@_)"/>
    <numFmt numFmtId="166" formatCode=";;;"/>
    <numFmt numFmtId="167" formatCode="0.0%"/>
    <numFmt numFmtId="168" formatCode="#,##0.0_);\(#,##0.0\)"/>
    <numFmt numFmtId="169" formatCode="0.0_)"/>
    <numFmt numFmtId="170" formatCode="0.00_)"/>
    <numFmt numFmtId="171" formatCode="#,##0_ ;\(#,##0\)"/>
    <numFmt numFmtId="172" formatCode="#,##0\ ;\(#,##0\ \)"/>
    <numFmt numFmtId="173" formatCode="#,##0.0;\-#,##0.0"/>
    <numFmt numFmtId="174" formatCode="#,##0.0000;\-#,##0.0000"/>
    <numFmt numFmtId="175" formatCode="#,##0.0_ ;\(#,##0.0\)"/>
    <numFmt numFmtId="176" formatCode="#,##0.0_);[Red]\(#,##0.0\)"/>
    <numFmt numFmtId="177" formatCode="#,##0.00_ ;\(#,##0.00\)"/>
    <numFmt numFmtId="182" formatCode="dd\-mmm\-yy_)"/>
  </numFmts>
  <fonts count="29">
    <font>
      <sz val="9"/>
      <name val="Times New Roman"/>
    </font>
    <font>
      <sz val="10"/>
      <name val="Times New Roman"/>
      <family val="1"/>
    </font>
    <font>
      <sz val="10"/>
      <name val="Courier"/>
      <family val="3"/>
    </font>
    <font>
      <sz val="10"/>
      <name val="Arial"/>
      <family val="2"/>
    </font>
    <font>
      <b/>
      <sz val="9"/>
      <name val="Arial"/>
      <family val="2"/>
    </font>
    <font>
      <vertAlign val="superscript"/>
      <sz val="9"/>
      <name val="Arial"/>
      <family val="2"/>
    </font>
    <font>
      <sz val="8"/>
      <name val="Times New Roman"/>
      <family val="1"/>
    </font>
    <font>
      <sz val="9"/>
      <name val="Arial"/>
      <family val="2"/>
    </font>
    <font>
      <sz val="8"/>
      <name val="Arial"/>
      <family val="2"/>
    </font>
    <font>
      <b/>
      <sz val="12"/>
      <name val="Arial"/>
      <family val="2"/>
    </font>
    <font>
      <sz val="9"/>
      <color indexed="12"/>
      <name val="Arial"/>
      <family val="2"/>
    </font>
    <font>
      <b/>
      <vertAlign val="superscript"/>
      <sz val="9"/>
      <name val="Arial"/>
      <family val="2"/>
    </font>
    <font>
      <b/>
      <vertAlign val="superscript"/>
      <sz val="10"/>
      <name val="Arial"/>
      <family val="2"/>
    </font>
    <font>
      <vertAlign val="superscript"/>
      <sz val="10"/>
      <name val="Arial"/>
      <family val="2"/>
    </font>
    <font>
      <u/>
      <sz val="9"/>
      <name val="Arial"/>
      <family val="2"/>
    </font>
    <font>
      <sz val="11"/>
      <name val="Arial"/>
      <family val="2"/>
    </font>
    <font>
      <sz val="9"/>
      <color indexed="9"/>
      <name val="Arial"/>
      <family val="2"/>
    </font>
    <font>
      <u/>
      <sz val="9"/>
      <color indexed="12"/>
      <name val="Times New Roman"/>
      <family val="1"/>
    </font>
    <font>
      <sz val="10"/>
      <name val="Arial"/>
      <family val="2"/>
    </font>
    <font>
      <sz val="8"/>
      <name val="Arial"/>
      <family val="2"/>
    </font>
    <font>
      <b/>
      <sz val="11"/>
      <name val="Arial"/>
      <family val="2"/>
    </font>
    <font>
      <u/>
      <sz val="9"/>
      <color indexed="12"/>
      <name val="Arial"/>
      <family val="2"/>
    </font>
    <font>
      <sz val="8"/>
      <color indexed="81"/>
      <name val="Tahoma"/>
      <family val="2"/>
    </font>
    <font>
      <b/>
      <sz val="9"/>
      <color indexed="10"/>
      <name val="Arial"/>
      <family val="2"/>
    </font>
    <font>
      <sz val="9"/>
      <name val="Times New Roman"/>
      <family val="1"/>
    </font>
    <font>
      <sz val="11"/>
      <name val="Calibri"/>
      <family val="2"/>
    </font>
    <font>
      <sz val="9"/>
      <color theme="0"/>
      <name val="Arial"/>
      <family val="2"/>
    </font>
    <font>
      <sz val="9"/>
      <color rgb="FFFF0000"/>
      <name val="Arial"/>
      <family val="2"/>
    </font>
    <font>
      <sz val="9"/>
      <color rgb="FF0070C0"/>
      <name val="Arial"/>
      <family val="2"/>
    </font>
  </fonts>
  <fills count="16">
    <fill>
      <patternFill patternType="none"/>
    </fill>
    <fill>
      <patternFill patternType="gray125"/>
    </fill>
    <fill>
      <patternFill patternType="solid">
        <fgColor indexed="22"/>
        <bgColor indexed="22"/>
      </patternFill>
    </fill>
    <fill>
      <patternFill patternType="solid">
        <fgColor indexed="9"/>
        <bgColor indexed="9"/>
      </patternFill>
    </fill>
    <fill>
      <patternFill patternType="solid">
        <fgColor indexed="65"/>
        <bgColor indexed="64"/>
      </patternFill>
    </fill>
    <fill>
      <patternFill patternType="solid">
        <fgColor indexed="9"/>
        <bgColor indexed="8"/>
      </patternFill>
    </fill>
    <fill>
      <patternFill patternType="solid">
        <fgColor indexed="27"/>
        <bgColor indexed="8"/>
      </patternFill>
    </fill>
    <fill>
      <patternFill patternType="solid">
        <fgColor indexed="27"/>
        <bgColor indexed="64"/>
      </patternFill>
    </fill>
    <fill>
      <patternFill patternType="solid">
        <fgColor indexed="41"/>
        <bgColor indexed="64"/>
      </patternFill>
    </fill>
    <fill>
      <patternFill patternType="solid">
        <fgColor indexed="27"/>
        <bgColor indexed="27"/>
      </patternFill>
    </fill>
    <fill>
      <patternFill patternType="solid">
        <fgColor indexed="41"/>
        <bgColor indexed="8"/>
      </patternFill>
    </fill>
    <fill>
      <patternFill patternType="solid">
        <fgColor indexed="41"/>
        <bgColor indexed="42"/>
      </patternFill>
    </fill>
    <fill>
      <patternFill patternType="solid">
        <fgColor rgb="FFFFFF0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bgColor indexed="64"/>
      </patternFill>
    </fill>
  </fills>
  <borders count="78">
    <border>
      <left/>
      <right/>
      <top/>
      <bottom/>
      <diagonal/>
    </border>
    <border>
      <left style="thin">
        <color indexed="8"/>
      </left>
      <right style="thin">
        <color indexed="8"/>
      </right>
      <top/>
      <bottom/>
      <diagonal/>
    </border>
    <border>
      <left/>
      <right/>
      <top style="thin">
        <color indexed="8"/>
      </top>
      <bottom/>
      <diagonal/>
    </border>
    <border>
      <left/>
      <right/>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64"/>
      </bottom>
      <diagonal/>
    </border>
    <border>
      <left/>
      <right/>
      <top style="thin">
        <color indexed="64"/>
      </top>
      <bottom/>
      <diagonal/>
    </border>
    <border>
      <left/>
      <right/>
      <top style="thin">
        <color indexed="8"/>
      </top>
      <bottom style="thin">
        <color indexed="8"/>
      </bottom>
      <diagonal/>
    </border>
    <border>
      <left style="thin">
        <color indexed="8"/>
      </left>
      <right/>
      <top style="thin">
        <color indexed="8"/>
      </top>
      <bottom/>
      <diagonal/>
    </border>
    <border>
      <left style="thin">
        <color indexed="64"/>
      </left>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style="double">
        <color indexed="8"/>
      </left>
      <right/>
      <top/>
      <bottom style="thin">
        <color indexed="8"/>
      </bottom>
      <diagonal/>
    </border>
    <border>
      <left style="thin">
        <color indexed="8"/>
      </left>
      <right style="double">
        <color indexed="8"/>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8"/>
      </left>
      <right/>
      <top style="thin">
        <color indexed="64"/>
      </top>
      <bottom style="thin">
        <color indexed="64"/>
      </bottom>
      <diagonal/>
    </border>
    <border>
      <left/>
      <right style="thin">
        <color indexed="64"/>
      </right>
      <top style="thin">
        <color indexed="64"/>
      </top>
      <bottom style="thin">
        <color indexed="64"/>
      </bottom>
      <diagonal/>
    </border>
    <border>
      <left style="double">
        <color indexed="8"/>
      </left>
      <right style="thin">
        <color indexed="8"/>
      </right>
      <top/>
      <bottom/>
      <diagonal/>
    </border>
    <border>
      <left style="double">
        <color indexed="8"/>
      </left>
      <right style="thin">
        <color indexed="8"/>
      </right>
      <top/>
      <bottom style="thin">
        <color indexed="8"/>
      </bottom>
      <diagonal/>
    </border>
    <border>
      <left/>
      <right/>
      <top style="thin">
        <color indexed="8"/>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8"/>
      </left>
      <right style="double">
        <color indexed="8"/>
      </right>
      <top style="thin">
        <color indexed="8"/>
      </top>
      <bottom style="thin">
        <color indexed="8"/>
      </bottom>
      <diagonal/>
    </border>
    <border>
      <left style="thin">
        <color indexed="64"/>
      </left>
      <right style="thin">
        <color indexed="64"/>
      </right>
      <top style="thin">
        <color indexed="8"/>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8"/>
      </top>
      <bottom style="thin">
        <color indexed="8"/>
      </bottom>
      <diagonal/>
    </border>
    <border>
      <left style="double">
        <color indexed="8"/>
      </left>
      <right style="thin">
        <color indexed="8"/>
      </right>
      <top style="thin">
        <color indexed="8"/>
      </top>
      <bottom style="thin">
        <color indexed="8"/>
      </bottom>
      <diagonal/>
    </border>
    <border>
      <left style="thin">
        <color indexed="8"/>
      </left>
      <right style="double">
        <color indexed="8"/>
      </right>
      <top style="thin">
        <color indexed="64"/>
      </top>
      <bottom/>
      <diagonal/>
    </border>
    <border>
      <left style="thin">
        <color indexed="8"/>
      </left>
      <right style="double">
        <color indexed="8"/>
      </right>
      <top/>
      <bottom style="thin">
        <color indexed="8"/>
      </bottom>
      <diagonal/>
    </border>
    <border>
      <left style="thin">
        <color indexed="64"/>
      </left>
      <right style="thin">
        <color indexed="64"/>
      </right>
      <top/>
      <bottom style="thin">
        <color indexed="8"/>
      </bottom>
      <diagonal/>
    </border>
    <border>
      <left style="thin">
        <color indexed="64"/>
      </left>
      <right/>
      <top/>
      <bottom style="thin">
        <color indexed="8"/>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right style="thin">
        <color indexed="8"/>
      </right>
      <top style="thin">
        <color indexed="64"/>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style="thin">
        <color indexed="64"/>
      </right>
      <top style="thin">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64"/>
      </left>
      <right style="thin">
        <color indexed="8"/>
      </right>
      <top style="thin">
        <color indexed="8"/>
      </top>
      <bottom/>
      <diagonal/>
    </border>
    <border>
      <left style="thin">
        <color indexed="8"/>
      </left>
      <right style="thin">
        <color indexed="64"/>
      </right>
      <top style="thin">
        <color indexed="8"/>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style="thin">
        <color indexed="64"/>
      </right>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style="double">
        <color indexed="8"/>
      </right>
      <top style="thin">
        <color indexed="8"/>
      </top>
      <bottom/>
      <diagonal/>
    </border>
    <border>
      <left style="double">
        <color indexed="8"/>
      </left>
      <right style="thin">
        <color indexed="8"/>
      </right>
      <top style="thin">
        <color indexed="8"/>
      </top>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
      <left style="thin">
        <color indexed="8"/>
      </left>
      <right style="thin">
        <color indexed="64"/>
      </right>
      <top/>
      <bottom style="thin">
        <color indexed="8"/>
      </bottom>
      <diagonal/>
    </border>
    <border>
      <left/>
      <right style="thin">
        <color indexed="64"/>
      </right>
      <top style="thin">
        <color indexed="8"/>
      </top>
      <bottom/>
      <diagonal/>
    </border>
    <border>
      <left/>
      <right style="thin">
        <color indexed="64"/>
      </right>
      <top/>
      <bottom style="thin">
        <color indexed="8"/>
      </bottom>
      <diagonal/>
    </border>
    <border>
      <left style="thin">
        <color indexed="8"/>
      </left>
      <right/>
      <top style="thin">
        <color indexed="64"/>
      </top>
      <bottom/>
      <diagonal/>
    </border>
    <border>
      <left style="thin">
        <color indexed="64"/>
      </left>
      <right/>
      <top style="thin">
        <color indexed="8"/>
      </top>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64"/>
      </left>
      <right style="thin">
        <color indexed="64"/>
      </right>
      <top style="thin">
        <color indexed="8"/>
      </top>
      <bottom/>
      <diagonal/>
    </border>
    <border>
      <left style="double">
        <color indexed="64"/>
      </left>
      <right style="thin">
        <color indexed="64"/>
      </right>
      <top/>
      <bottom/>
      <diagonal/>
    </border>
    <border>
      <left style="double">
        <color indexed="64"/>
      </left>
      <right style="thin">
        <color indexed="64"/>
      </right>
      <top/>
      <bottom style="thin">
        <color indexed="8"/>
      </bottom>
      <diagonal/>
    </border>
  </borders>
  <cellStyleXfs count="10">
    <xf numFmtId="37" fontId="0" fillId="0" borderId="0"/>
    <xf numFmtId="0" fontId="2" fillId="2" borderId="1"/>
    <xf numFmtId="165" fontId="1" fillId="0" borderId="0" applyFont="0" applyFill="0" applyBorder="0" applyAlignment="0" applyProtection="0"/>
    <xf numFmtId="165" fontId="18" fillId="0" borderId="0" applyFont="0" applyFill="0" applyBorder="0" applyAlignment="0" applyProtection="0"/>
    <xf numFmtId="0" fontId="17" fillId="0" borderId="0" applyNumberFormat="0" applyFill="0" applyBorder="0" applyAlignment="0" applyProtection="0">
      <alignment vertical="top"/>
      <protection locked="0"/>
    </xf>
    <xf numFmtId="0" fontId="18" fillId="0" borderId="0"/>
    <xf numFmtId="0" fontId="18" fillId="0" borderId="0"/>
    <xf numFmtId="39" fontId="24" fillId="0" borderId="0"/>
    <xf numFmtId="9" fontId="1" fillId="0" borderId="0" applyFont="0" applyFill="0" applyBorder="0" applyAlignment="0" applyProtection="0"/>
    <xf numFmtId="37" fontId="24" fillId="0" borderId="0"/>
  </cellStyleXfs>
  <cellXfs count="865">
    <xf numFmtId="37" fontId="0" fillId="0" borderId="0" xfId="0"/>
    <xf numFmtId="37" fontId="7" fillId="0" borderId="0" xfId="0" applyFont="1"/>
    <xf numFmtId="37" fontId="8" fillId="0" borderId="0" xfId="0" applyFont="1"/>
    <xf numFmtId="37" fontId="7" fillId="0" borderId="0" xfId="0" applyFont="1" applyAlignment="1">
      <alignment horizontal="right"/>
    </xf>
    <xf numFmtId="168" fontId="7" fillId="0" borderId="0" xfId="0" applyNumberFormat="1" applyFont="1"/>
    <xf numFmtId="37" fontId="4" fillId="0" borderId="0" xfId="0" applyFont="1"/>
    <xf numFmtId="166" fontId="7" fillId="0" borderId="0" xfId="0" applyNumberFormat="1" applyFont="1" applyProtection="1"/>
    <xf numFmtId="37" fontId="7" fillId="3" borderId="0" xfId="0" applyFont="1" applyFill="1"/>
    <xf numFmtId="37" fontId="4" fillId="3" borderId="2" xfId="0" applyFont="1" applyFill="1" applyBorder="1" applyAlignment="1">
      <alignment horizontal="centerContinuous" vertical="center"/>
    </xf>
    <xf numFmtId="37" fontId="7" fillId="3" borderId="2" xfId="0" applyFont="1" applyFill="1" applyBorder="1" applyAlignment="1">
      <alignment horizontal="centerContinuous"/>
    </xf>
    <xf numFmtId="37" fontId="4" fillId="3" borderId="3" xfId="0" applyFont="1" applyFill="1" applyBorder="1" applyAlignment="1">
      <alignment horizontal="centerContinuous" vertical="center"/>
    </xf>
    <xf numFmtId="37" fontId="7" fillId="3" borderId="3" xfId="0" applyFont="1" applyFill="1" applyBorder="1" applyAlignment="1">
      <alignment horizontal="centerContinuous"/>
    </xf>
    <xf numFmtId="37" fontId="10" fillId="3" borderId="3" xfId="0" applyFont="1" applyFill="1" applyBorder="1" applyAlignment="1">
      <alignment horizontal="centerContinuous"/>
    </xf>
    <xf numFmtId="37" fontId="7" fillId="3" borderId="0" xfId="0" applyFont="1" applyFill="1" applyAlignment="1">
      <alignment horizontal="center"/>
    </xf>
    <xf numFmtId="37" fontId="4" fillId="3" borderId="1" xfId="0" applyFont="1" applyFill="1" applyBorder="1" applyAlignment="1">
      <alignment horizontal="center"/>
    </xf>
    <xf numFmtId="49" fontId="4" fillId="0" borderId="7" xfId="0" applyNumberFormat="1" applyFont="1" applyBorder="1"/>
    <xf numFmtId="49" fontId="4" fillId="0" borderId="8" xfId="0" applyNumberFormat="1" applyFont="1" applyBorder="1"/>
    <xf numFmtId="49" fontId="4" fillId="0" borderId="0" xfId="0" applyNumberFormat="1" applyFont="1"/>
    <xf numFmtId="49" fontId="7" fillId="0" borderId="1" xfId="0" applyNumberFormat="1" applyFont="1" applyBorder="1" applyAlignment="1">
      <alignment vertical="center"/>
    </xf>
    <xf numFmtId="171" fontId="7" fillId="0" borderId="1" xfId="0" applyNumberFormat="1" applyFont="1" applyBorder="1" applyAlignment="1">
      <alignment vertical="center"/>
    </xf>
    <xf numFmtId="49" fontId="7" fillId="0" borderId="0" xfId="0" applyNumberFormat="1" applyFont="1" applyAlignment="1">
      <alignment vertical="center"/>
    </xf>
    <xf numFmtId="172" fontId="7" fillId="0" borderId="0" xfId="0" applyNumberFormat="1" applyFont="1" applyAlignment="1">
      <alignment vertical="center"/>
    </xf>
    <xf numFmtId="37" fontId="7" fillId="0" borderId="11" xfId="0" applyFont="1" applyBorder="1"/>
    <xf numFmtId="49" fontId="7" fillId="0" borderId="0" xfId="0" applyNumberFormat="1" applyFont="1" applyAlignment="1"/>
    <xf numFmtId="37" fontId="7" fillId="0" borderId="0" xfId="0" applyFont="1" applyAlignment="1">
      <alignment horizontal="left"/>
    </xf>
    <xf numFmtId="49" fontId="7" fillId="0" borderId="0" xfId="0" applyNumberFormat="1" applyFont="1" applyAlignment="1">
      <alignment horizontal="left"/>
    </xf>
    <xf numFmtId="37" fontId="7" fillId="3" borderId="12" xfId="0" applyFont="1" applyFill="1" applyBorder="1" applyAlignment="1">
      <alignment horizontal="centerContinuous"/>
    </xf>
    <xf numFmtId="37" fontId="7" fillId="3" borderId="12" xfId="0" applyFont="1" applyFill="1" applyBorder="1" applyAlignment="1"/>
    <xf numFmtId="166" fontId="7" fillId="0" borderId="3" xfId="0" applyNumberFormat="1" applyFont="1" applyBorder="1" applyAlignment="1" applyProtection="1">
      <alignment horizontal="centerContinuous"/>
    </xf>
    <xf numFmtId="37" fontId="7" fillId="3" borderId="11" xfId="0" applyFont="1" applyFill="1" applyBorder="1" applyAlignment="1">
      <alignment horizontal="centerContinuous"/>
    </xf>
    <xf numFmtId="37" fontId="7" fillId="3" borderId="0" xfId="0" applyFont="1" applyFill="1" applyBorder="1"/>
    <xf numFmtId="37" fontId="7" fillId="0" borderId="0" xfId="0" applyNumberFormat="1" applyFont="1" applyBorder="1" applyProtection="1"/>
    <xf numFmtId="37" fontId="4" fillId="0" borderId="4" xfId="0" applyFont="1" applyBorder="1"/>
    <xf numFmtId="37" fontId="4" fillId="3" borderId="5" xfId="0" applyFont="1" applyFill="1" applyBorder="1" applyAlignment="1">
      <alignment horizontal="right"/>
    </xf>
    <xf numFmtId="37" fontId="4" fillId="0" borderId="8" xfId="0" applyFont="1" applyBorder="1"/>
    <xf numFmtId="37" fontId="4" fillId="0" borderId="10" xfId="0" applyFont="1" applyBorder="1" applyAlignment="1">
      <alignment horizontal="right"/>
    </xf>
    <xf numFmtId="171" fontId="7" fillId="0" borderId="1" xfId="0" applyNumberFormat="1" applyFont="1" applyBorder="1" applyAlignment="1">
      <alignment horizontal="right" vertical="center"/>
    </xf>
    <xf numFmtId="37" fontId="7" fillId="0" borderId="0" xfId="0" applyFont="1" applyAlignment="1"/>
    <xf numFmtId="37" fontId="7" fillId="0" borderId="13" xfId="0" applyFont="1" applyBorder="1"/>
    <xf numFmtId="37" fontId="4" fillId="0" borderId="13" xfId="0" applyFont="1" applyBorder="1" applyAlignment="1">
      <alignment horizontal="centerContinuous"/>
    </xf>
    <xf numFmtId="37" fontId="7" fillId="0" borderId="13" xfId="0" applyFont="1" applyBorder="1" applyAlignment="1">
      <alignment horizontal="centerContinuous"/>
    </xf>
    <xf numFmtId="37" fontId="7" fillId="0" borderId="13" xfId="0" applyFont="1" applyBorder="1" applyAlignment="1"/>
    <xf numFmtId="37" fontId="7" fillId="3" borderId="0" xfId="0" applyFont="1" applyFill="1" applyAlignment="1">
      <alignment horizontal="centerContinuous"/>
    </xf>
    <xf numFmtId="37" fontId="7" fillId="0" borderId="14" xfId="0" applyFont="1" applyBorder="1"/>
    <xf numFmtId="37" fontId="7" fillId="0" borderId="5" xfId="0" applyFont="1" applyBorder="1"/>
    <xf numFmtId="37" fontId="4" fillId="3" borderId="9" xfId="0" applyFont="1" applyFill="1" applyBorder="1" applyAlignment="1">
      <alignment horizontal="centerContinuous"/>
    </xf>
    <xf numFmtId="37" fontId="4" fillId="0" borderId="15" xfId="0" applyFont="1" applyBorder="1"/>
    <xf numFmtId="171" fontId="7" fillId="0" borderId="1" xfId="0" applyNumberFormat="1" applyFont="1" applyBorder="1" applyProtection="1"/>
    <xf numFmtId="171" fontId="7" fillId="0" borderId="6" xfId="0" applyNumberFormat="1" applyFont="1" applyBorder="1" applyProtection="1"/>
    <xf numFmtId="37" fontId="7" fillId="0" borderId="6" xfId="0" applyFont="1" applyBorder="1"/>
    <xf numFmtId="171" fontId="7" fillId="0" borderId="16" xfId="0" applyNumberFormat="1" applyFont="1" applyBorder="1" applyProtection="1"/>
    <xf numFmtId="37" fontId="7" fillId="0" borderId="1" xfId="0" applyNumberFormat="1" applyFont="1" applyBorder="1" applyProtection="1"/>
    <xf numFmtId="37" fontId="7" fillId="0" borderId="6" xfId="0" applyNumberFormat="1" applyFont="1" applyBorder="1" applyProtection="1"/>
    <xf numFmtId="37" fontId="7" fillId="0" borderId="16" xfId="0" applyNumberFormat="1" applyFont="1" applyBorder="1" applyProtection="1"/>
    <xf numFmtId="37" fontId="4" fillId="0" borderId="15" xfId="0" applyFont="1" applyBorder="1" applyAlignment="1">
      <alignment vertical="top"/>
    </xf>
    <xf numFmtId="37" fontId="4" fillId="0" borderId="0" xfId="0" applyFont="1" applyAlignment="1">
      <alignment wrapText="1"/>
    </xf>
    <xf numFmtId="37" fontId="7" fillId="0" borderId="0" xfId="0" applyNumberFormat="1" applyFont="1" applyProtection="1"/>
    <xf numFmtId="37" fontId="7" fillId="0" borderId="17" xfId="0" applyFont="1" applyBorder="1"/>
    <xf numFmtId="37" fontId="4" fillId="0" borderId="18" xfId="0" applyFont="1" applyBorder="1"/>
    <xf numFmtId="171" fontId="4" fillId="0" borderId="19" xfId="0" applyNumberFormat="1" applyFont="1" applyBorder="1" applyProtection="1"/>
    <xf numFmtId="171" fontId="4" fillId="0" borderId="18" xfId="0" applyNumberFormat="1" applyFont="1" applyBorder="1" applyProtection="1"/>
    <xf numFmtId="171" fontId="7" fillId="0" borderId="13" xfId="0" applyNumberFormat="1" applyFont="1" applyBorder="1"/>
    <xf numFmtId="166" fontId="7" fillId="0" borderId="2" xfId="0" applyNumberFormat="1" applyFont="1" applyBorder="1" applyProtection="1"/>
    <xf numFmtId="37" fontId="7" fillId="3" borderId="2" xfId="0" applyFont="1" applyFill="1" applyBorder="1" applyAlignment="1">
      <alignment horizontal="center"/>
    </xf>
    <xf numFmtId="166" fontId="7" fillId="0" borderId="3" xfId="0" applyNumberFormat="1" applyFont="1" applyBorder="1" applyProtection="1"/>
    <xf numFmtId="37" fontId="7" fillId="3" borderId="3" xfId="0" applyFont="1" applyFill="1" applyBorder="1"/>
    <xf numFmtId="37" fontId="4" fillId="0" borderId="7" xfId="0" applyFont="1" applyBorder="1"/>
    <xf numFmtId="37" fontId="4" fillId="3" borderId="1" xfId="0" applyFont="1" applyFill="1" applyBorder="1"/>
    <xf numFmtId="37" fontId="4" fillId="3" borderId="0" xfId="0" applyFont="1" applyFill="1"/>
    <xf numFmtId="175" fontId="7" fillId="0" borderId="1" xfId="0" applyNumberFormat="1" applyFont="1" applyBorder="1" applyAlignment="1">
      <alignment vertical="center"/>
    </xf>
    <xf numFmtId="175" fontId="7" fillId="0" borderId="0" xfId="0" applyNumberFormat="1" applyFont="1" applyAlignment="1">
      <alignment vertical="center"/>
    </xf>
    <xf numFmtId="37" fontId="4" fillId="3" borderId="2" xfId="0" applyFont="1" applyFill="1" applyBorder="1" applyAlignment="1">
      <alignment horizontal="centerContinuous"/>
    </xf>
    <xf numFmtId="37" fontId="7" fillId="3" borderId="2" xfId="0" applyFont="1" applyFill="1" applyBorder="1" applyAlignment="1"/>
    <xf numFmtId="37" fontId="4" fillId="3" borderId="3" xfId="0" applyFont="1" applyFill="1" applyBorder="1" applyAlignment="1" applyProtection="1">
      <alignment horizontal="centerContinuous" vertical="center"/>
    </xf>
    <xf numFmtId="37" fontId="7" fillId="3" borderId="3" xfId="0" applyFont="1" applyFill="1" applyBorder="1" applyAlignment="1"/>
    <xf numFmtId="37" fontId="4" fillId="3" borderId="5" xfId="0" applyFont="1" applyFill="1" applyBorder="1" applyAlignment="1">
      <alignment horizontal="centerContinuous"/>
    </xf>
    <xf numFmtId="37" fontId="4" fillId="0" borderId="10" xfId="0" applyFont="1" applyBorder="1" applyAlignment="1">
      <alignment horizontal="centerContinuous"/>
    </xf>
    <xf numFmtId="37" fontId="4" fillId="0" borderId="9" xfId="0" applyFont="1" applyBorder="1" applyAlignment="1">
      <alignment horizontal="centerContinuous"/>
    </xf>
    <xf numFmtId="168" fontId="7" fillId="0" borderId="11" xfId="0" applyNumberFormat="1" applyFont="1" applyBorder="1" applyProtection="1"/>
    <xf numFmtId="37" fontId="7" fillId="0" borderId="0" xfId="0" applyFont="1" applyAlignment="1">
      <alignment horizontal="centerContinuous"/>
    </xf>
    <xf numFmtId="37" fontId="7" fillId="3" borderId="2" xfId="0" applyFont="1" applyFill="1" applyBorder="1" applyAlignment="1">
      <alignment horizontal="right"/>
    </xf>
    <xf numFmtId="37" fontId="4" fillId="0" borderId="9" xfId="0" applyFont="1" applyBorder="1"/>
    <xf numFmtId="37" fontId="4" fillId="0" borderId="9" xfId="0" applyFont="1" applyBorder="1" applyAlignment="1">
      <alignment horizontal="center"/>
    </xf>
    <xf numFmtId="37" fontId="4" fillId="4" borderId="1" xfId="0" applyFont="1" applyFill="1" applyBorder="1" applyAlignment="1">
      <alignment horizontal="center"/>
    </xf>
    <xf numFmtId="37" fontId="7" fillId="0" borderId="0" xfId="0" applyFont="1" applyProtection="1"/>
    <xf numFmtId="37" fontId="7" fillId="4" borderId="0" xfId="0" applyFont="1" applyFill="1" applyBorder="1"/>
    <xf numFmtId="168" fontId="7" fillId="5" borderId="0" xfId="0" applyNumberFormat="1" applyFont="1" applyFill="1" applyBorder="1" applyProtection="1"/>
    <xf numFmtId="168" fontId="4" fillId="5" borderId="0" xfId="0" applyNumberFormat="1" applyFont="1" applyFill="1" applyBorder="1" applyProtection="1"/>
    <xf numFmtId="37" fontId="7" fillId="3" borderId="0" xfId="0" applyFont="1" applyFill="1" applyProtection="1"/>
    <xf numFmtId="37" fontId="4" fillId="3" borderId="2" xfId="0" applyFont="1" applyFill="1" applyBorder="1" applyAlignment="1" applyProtection="1">
      <alignment horizontal="centerContinuous" vertical="center"/>
    </xf>
    <xf numFmtId="37" fontId="7" fillId="3" borderId="2" xfId="0" applyFont="1" applyFill="1" applyBorder="1" applyAlignment="1" applyProtection="1">
      <alignment horizontal="centerContinuous"/>
    </xf>
    <xf numFmtId="37" fontId="7" fillId="3" borderId="2" xfId="0" applyFont="1" applyFill="1" applyBorder="1" applyAlignment="1" applyProtection="1">
      <alignment horizontal="right"/>
    </xf>
    <xf numFmtId="37" fontId="4" fillId="3" borderId="3" xfId="0" quotePrefix="1" applyFont="1" applyFill="1" applyBorder="1" applyAlignment="1" applyProtection="1">
      <alignment horizontal="centerContinuous" vertical="center"/>
    </xf>
    <xf numFmtId="37" fontId="7" fillId="3" borderId="3" xfId="0" applyFont="1" applyFill="1" applyBorder="1" applyAlignment="1" applyProtection="1">
      <alignment horizontal="centerContinuous"/>
    </xf>
    <xf numFmtId="37" fontId="7" fillId="3" borderId="3" xfId="0" quotePrefix="1" applyFont="1" applyFill="1" applyBorder="1" applyAlignment="1" applyProtection="1">
      <alignment horizontal="centerContinuous"/>
    </xf>
    <xf numFmtId="37" fontId="7" fillId="3" borderId="3" xfId="0" applyFont="1" applyFill="1" applyBorder="1" applyProtection="1"/>
    <xf numFmtId="170" fontId="7" fillId="3" borderId="0" xfId="0" applyNumberFormat="1" applyFont="1" applyFill="1" applyProtection="1"/>
    <xf numFmtId="37" fontId="4" fillId="0" borderId="20" xfId="0" applyFont="1" applyBorder="1" applyAlignment="1" applyProtection="1">
      <alignment horizontal="centerContinuous"/>
    </xf>
    <xf numFmtId="37" fontId="4" fillId="0" borderId="3" xfId="0" applyFont="1" applyBorder="1" applyAlignment="1" applyProtection="1">
      <alignment horizontal="centerContinuous"/>
    </xf>
    <xf numFmtId="37" fontId="4" fillId="0" borderId="21" xfId="0" applyFont="1" applyBorder="1" applyAlignment="1" applyProtection="1">
      <alignment horizontal="centerContinuous"/>
    </xf>
    <xf numFmtId="37" fontId="4" fillId="0" borderId="10" xfId="0" applyFont="1" applyBorder="1" applyAlignment="1" applyProtection="1">
      <alignment horizontal="centerContinuous"/>
    </xf>
    <xf numFmtId="37" fontId="4" fillId="0" borderId="7" xfId="0" applyFont="1" applyBorder="1" applyAlignment="1">
      <alignment vertical="center"/>
    </xf>
    <xf numFmtId="37" fontId="4" fillId="0" borderId="16" xfId="0" applyFont="1" applyBorder="1" applyAlignment="1" applyProtection="1">
      <alignment vertical="center"/>
    </xf>
    <xf numFmtId="37" fontId="4" fillId="0" borderId="8" xfId="0" applyFont="1" applyBorder="1" applyAlignment="1">
      <alignment vertical="center"/>
    </xf>
    <xf numFmtId="37" fontId="4" fillId="0" borderId="20" xfId="0" applyFont="1" applyBorder="1" applyAlignment="1" applyProtection="1">
      <alignment horizontal="center" vertical="center"/>
    </xf>
    <xf numFmtId="175" fontId="7" fillId="0" borderId="22" xfId="0" applyNumberFormat="1" applyFont="1" applyBorder="1" applyAlignment="1">
      <alignment vertical="center"/>
    </xf>
    <xf numFmtId="175" fontId="7" fillId="0" borderId="6" xfId="0" applyNumberFormat="1" applyFont="1" applyBorder="1" applyAlignment="1">
      <alignment vertical="center"/>
    </xf>
    <xf numFmtId="37" fontId="7" fillId="0" borderId="11" xfId="0" applyFont="1" applyBorder="1" applyProtection="1"/>
    <xf numFmtId="49" fontId="8" fillId="0" borderId="0" xfId="0" applyNumberFormat="1" applyFont="1" applyAlignment="1">
      <alignment horizontal="right"/>
    </xf>
    <xf numFmtId="49" fontId="13" fillId="0" borderId="6" xfId="0" applyNumberFormat="1" applyFont="1" applyBorder="1"/>
    <xf numFmtId="37" fontId="7" fillId="0" borderId="13" xfId="0" applyFont="1" applyBorder="1" applyAlignment="1">
      <alignment horizontal="right"/>
    </xf>
    <xf numFmtId="37" fontId="4" fillId="0" borderId="17" xfId="0" applyFont="1" applyBorder="1" applyAlignment="1">
      <alignment horizontal="centerContinuous"/>
    </xf>
    <xf numFmtId="37" fontId="7" fillId="0" borderId="18" xfId="0" applyFont="1" applyBorder="1" applyAlignment="1">
      <alignment horizontal="centerContinuous"/>
    </xf>
    <xf numFmtId="37" fontId="4" fillId="3" borderId="23" xfId="0" applyFont="1" applyFill="1" applyBorder="1" applyAlignment="1">
      <alignment horizontal="center"/>
    </xf>
    <xf numFmtId="37" fontId="4" fillId="3" borderId="20" xfId="0" applyFont="1" applyFill="1" applyBorder="1" applyAlignment="1">
      <alignment horizontal="centerContinuous"/>
    </xf>
    <xf numFmtId="37" fontId="7" fillId="0" borderId="2" xfId="0" applyFont="1" applyBorder="1"/>
    <xf numFmtId="171" fontId="7" fillId="3" borderId="7" xfId="0" applyNumberFormat="1" applyFont="1" applyFill="1" applyBorder="1" applyProtection="1"/>
    <xf numFmtId="167" fontId="7" fillId="3" borderId="7" xfId="0" applyNumberFormat="1" applyFont="1" applyFill="1" applyBorder="1" applyProtection="1"/>
    <xf numFmtId="37" fontId="7" fillId="3" borderId="24" xfId="0" applyFont="1" applyFill="1" applyBorder="1"/>
    <xf numFmtId="171" fontId="7" fillId="3" borderId="24" xfId="0" applyNumberFormat="1" applyFont="1" applyFill="1" applyBorder="1" applyProtection="1"/>
    <xf numFmtId="37" fontId="7" fillId="0" borderId="24" xfId="0" applyFont="1" applyBorder="1"/>
    <xf numFmtId="171" fontId="7" fillId="0" borderId="24" xfId="0" applyNumberFormat="1" applyFont="1" applyBorder="1" applyProtection="1"/>
    <xf numFmtId="171" fontId="7" fillId="0" borderId="24" xfId="0" applyNumberFormat="1" applyFont="1" applyBorder="1"/>
    <xf numFmtId="37" fontId="7" fillId="0" borderId="8" xfId="0" applyFont="1" applyBorder="1" applyAlignment="1">
      <alignment horizontal="left"/>
    </xf>
    <xf numFmtId="37" fontId="4" fillId="0" borderId="23" xfId="0" applyFont="1" applyFill="1" applyBorder="1"/>
    <xf numFmtId="37" fontId="7" fillId="0" borderId="24" xfId="0" quotePrefix="1" applyFont="1" applyBorder="1" applyAlignment="1">
      <alignment horizontal="left"/>
    </xf>
    <xf numFmtId="37" fontId="7" fillId="0" borderId="8" xfId="0" applyFont="1" applyBorder="1"/>
    <xf numFmtId="37" fontId="4" fillId="0" borderId="7" xfId="0" applyFont="1" applyFill="1" applyBorder="1"/>
    <xf numFmtId="167" fontId="7" fillId="0" borderId="0" xfId="0" applyNumberFormat="1" applyFont="1" applyProtection="1"/>
    <xf numFmtId="49" fontId="7" fillId="0" borderId="0" xfId="0" applyNumberFormat="1" applyFont="1"/>
    <xf numFmtId="167" fontId="7" fillId="0" borderId="0" xfId="8" applyNumberFormat="1" applyFont="1"/>
    <xf numFmtId="49" fontId="8" fillId="0" borderId="0" xfId="0" applyNumberFormat="1" applyFont="1"/>
    <xf numFmtId="37" fontId="7" fillId="0" borderId="0" xfId="0" quotePrefix="1" applyFont="1" applyAlignment="1">
      <alignment horizontal="left"/>
    </xf>
    <xf numFmtId="166" fontId="7" fillId="0" borderId="2" xfId="0" applyNumberFormat="1" applyFont="1" applyBorder="1" applyAlignment="1" applyProtection="1">
      <alignment vertical="center"/>
    </xf>
    <xf numFmtId="37" fontId="7" fillId="3" borderId="2" xfId="0" applyFont="1" applyFill="1" applyBorder="1" applyAlignment="1">
      <alignment horizontal="right" vertical="center"/>
    </xf>
    <xf numFmtId="166" fontId="7" fillId="0" borderId="3" xfId="0" applyNumberFormat="1" applyFont="1" applyBorder="1" applyAlignment="1" applyProtection="1">
      <alignment vertical="center"/>
    </xf>
    <xf numFmtId="37" fontId="4" fillId="3" borderId="6" xfId="0" applyFont="1" applyFill="1" applyBorder="1"/>
    <xf numFmtId="37" fontId="4" fillId="3" borderId="1" xfId="0" applyFont="1" applyFill="1" applyBorder="1" applyAlignment="1">
      <alignment horizontal="centerContinuous"/>
    </xf>
    <xf numFmtId="37" fontId="4" fillId="3" borderId="6" xfId="0" applyFont="1" applyFill="1" applyBorder="1" applyAlignment="1">
      <alignment horizontal="centerContinuous"/>
    </xf>
    <xf numFmtId="167" fontId="7" fillId="0" borderId="1" xfId="8" applyNumberFormat="1" applyFont="1" applyBorder="1"/>
    <xf numFmtId="166" fontId="7" fillId="0" borderId="2" xfId="0" applyNumberFormat="1" applyFont="1" applyBorder="1" applyAlignment="1" applyProtection="1">
      <alignment horizontal="centerContinuous" vertical="center"/>
    </xf>
    <xf numFmtId="37" fontId="7" fillId="0" borderId="12" xfId="0" applyFont="1" applyBorder="1" applyAlignment="1">
      <alignment horizontal="centerContinuous" vertical="center"/>
    </xf>
    <xf numFmtId="37" fontId="7" fillId="3" borderId="2" xfId="0" applyFont="1" applyFill="1" applyBorder="1" applyAlignment="1">
      <alignment horizontal="centerContinuous" vertical="center"/>
    </xf>
    <xf numFmtId="37" fontId="10" fillId="0" borderId="2" xfId="0" applyFont="1" applyBorder="1" applyProtection="1">
      <protection locked="0"/>
    </xf>
    <xf numFmtId="166" fontId="7" fillId="0" borderId="3" xfId="0" applyNumberFormat="1" applyFont="1" applyBorder="1" applyAlignment="1" applyProtection="1">
      <alignment horizontal="centerContinuous" vertical="center"/>
    </xf>
    <xf numFmtId="37" fontId="7" fillId="3" borderId="3" xfId="0" applyFont="1" applyFill="1" applyBorder="1" applyAlignment="1">
      <alignment horizontal="centerContinuous" vertical="center"/>
    </xf>
    <xf numFmtId="37" fontId="10" fillId="0" borderId="3" xfId="0" applyFont="1" applyBorder="1" applyProtection="1">
      <protection locked="0"/>
    </xf>
    <xf numFmtId="37" fontId="4" fillId="0" borderId="26" xfId="0" applyFont="1" applyFill="1" applyBorder="1" applyAlignment="1">
      <alignment horizontal="left"/>
    </xf>
    <xf numFmtId="37" fontId="7" fillId="0" borderId="25" xfId="0" applyFont="1" applyFill="1" applyBorder="1" applyAlignment="1"/>
    <xf numFmtId="37" fontId="7" fillId="0" borderId="27" xfId="0" applyFont="1" applyFill="1" applyBorder="1" applyAlignment="1"/>
    <xf numFmtId="171" fontId="7" fillId="0" borderId="1" xfId="0" applyNumberFormat="1" applyFont="1" applyBorder="1"/>
    <xf numFmtId="171" fontId="7" fillId="0" borderId="0" xfId="0" applyNumberFormat="1" applyFont="1"/>
    <xf numFmtId="37" fontId="7" fillId="0" borderId="12" xfId="0" applyFont="1" applyBorder="1" applyAlignment="1"/>
    <xf numFmtId="37" fontId="4" fillId="3" borderId="17" xfId="0" applyFont="1" applyFill="1" applyBorder="1" applyAlignment="1">
      <alignment horizontal="left"/>
    </xf>
    <xf numFmtId="37" fontId="4" fillId="3" borderId="13" xfId="0" applyFont="1" applyFill="1" applyBorder="1" applyAlignment="1"/>
    <xf numFmtId="37" fontId="7" fillId="3" borderId="13" xfId="0" applyFont="1" applyFill="1" applyBorder="1" applyAlignment="1"/>
    <xf numFmtId="37" fontId="7" fillId="3" borderId="18" xfId="0" applyFont="1" applyFill="1" applyBorder="1" applyAlignment="1"/>
    <xf numFmtId="37" fontId="7" fillId="0" borderId="12" xfId="0" applyFont="1" applyBorder="1" applyAlignment="1">
      <alignment horizontal="centerContinuous"/>
    </xf>
    <xf numFmtId="37" fontId="7" fillId="0" borderId="11" xfId="0" applyFont="1" applyBorder="1" applyAlignment="1">
      <alignment horizontal="centerContinuous"/>
    </xf>
    <xf numFmtId="0" fontId="7" fillId="3" borderId="2" xfId="0" applyNumberFormat="1" applyFont="1" applyFill="1" applyBorder="1" applyAlignment="1"/>
    <xf numFmtId="0" fontId="7" fillId="3" borderId="3" xfId="0" applyNumberFormat="1" applyFont="1" applyFill="1" applyBorder="1" applyAlignment="1"/>
    <xf numFmtId="37" fontId="7" fillId="3" borderId="6" xfId="0" applyFont="1" applyFill="1" applyBorder="1"/>
    <xf numFmtId="39" fontId="7" fillId="0" borderId="0" xfId="0" applyNumberFormat="1" applyFont="1" applyProtection="1"/>
    <xf numFmtId="37" fontId="4" fillId="3" borderId="17" xfId="0" applyFont="1" applyFill="1" applyBorder="1"/>
    <xf numFmtId="37" fontId="4" fillId="3" borderId="13" xfId="0" applyFont="1" applyFill="1" applyBorder="1"/>
    <xf numFmtId="37" fontId="7" fillId="3" borderId="13" xfId="0" applyFont="1" applyFill="1" applyBorder="1"/>
    <xf numFmtId="37" fontId="7" fillId="3" borderId="18" xfId="0" applyFont="1" applyFill="1" applyBorder="1"/>
    <xf numFmtId="37" fontId="4" fillId="0" borderId="18" xfId="0" applyFont="1" applyBorder="1" applyAlignment="1">
      <alignment horizontal="centerContinuous"/>
    </xf>
    <xf numFmtId="166" fontId="7" fillId="0" borderId="2" xfId="0" applyNumberFormat="1" applyFont="1" applyBorder="1" applyAlignment="1" applyProtection="1">
      <alignment horizontal="centerContinuous"/>
    </xf>
    <xf numFmtId="37" fontId="4" fillId="3" borderId="18" xfId="0" applyFont="1" applyFill="1" applyBorder="1" applyAlignment="1">
      <alignment horizontal="centerContinuous"/>
    </xf>
    <xf numFmtId="37" fontId="4" fillId="0" borderId="19" xfId="0" applyFont="1" applyBorder="1" applyAlignment="1">
      <alignment horizontal="centerContinuous"/>
    </xf>
    <xf numFmtId="37" fontId="4" fillId="3" borderId="13" xfId="0" applyFont="1" applyFill="1" applyBorder="1" applyAlignment="1">
      <alignment horizontal="centerContinuous"/>
    </xf>
    <xf numFmtId="37" fontId="7" fillId="3" borderId="13" xfId="0" applyFont="1" applyFill="1" applyBorder="1" applyAlignment="1">
      <alignment horizontal="centerContinuous"/>
    </xf>
    <xf numFmtId="37" fontId="7" fillId="3" borderId="18" xfId="0" applyFont="1" applyFill="1" applyBorder="1" applyAlignment="1">
      <alignment horizontal="centerContinuous"/>
    </xf>
    <xf numFmtId="37" fontId="4" fillId="3" borderId="13" xfId="0" applyFont="1" applyFill="1" applyBorder="1" applyProtection="1"/>
    <xf numFmtId="37" fontId="7" fillId="3" borderId="13" xfId="0" applyFont="1" applyFill="1" applyBorder="1" applyProtection="1"/>
    <xf numFmtId="37" fontId="7" fillId="3" borderId="18" xfId="0" applyFont="1" applyFill="1" applyBorder="1" applyProtection="1"/>
    <xf numFmtId="37" fontId="4" fillId="3" borderId="1" xfId="0" applyFont="1" applyFill="1" applyBorder="1" applyProtection="1"/>
    <xf numFmtId="37" fontId="4" fillId="3" borderId="1" xfId="0" applyFont="1" applyFill="1" applyBorder="1" applyAlignment="1" applyProtection="1">
      <alignment horizontal="centerContinuous"/>
    </xf>
    <xf numFmtId="37" fontId="4" fillId="0" borderId="9" xfId="0" applyFont="1" applyBorder="1" applyAlignment="1" applyProtection="1">
      <alignment horizontal="centerContinuous"/>
    </xf>
    <xf numFmtId="0" fontId="7" fillId="3" borderId="13" xfId="0" applyNumberFormat="1" applyFont="1" applyFill="1" applyBorder="1" applyAlignment="1">
      <alignment horizontal="centerContinuous"/>
    </xf>
    <xf numFmtId="0" fontId="7" fillId="3" borderId="18" xfId="0" applyNumberFormat="1" applyFont="1" applyFill="1" applyBorder="1" applyAlignment="1">
      <alignment horizontal="centerContinuous"/>
    </xf>
    <xf numFmtId="37" fontId="7" fillId="0" borderId="18" xfId="0" applyFont="1" applyBorder="1"/>
    <xf numFmtId="37" fontId="7" fillId="0" borderId="0" xfId="0" applyFont="1" applyBorder="1"/>
    <xf numFmtId="37" fontId="7" fillId="3" borderId="2" xfId="0" applyFont="1" applyFill="1" applyBorder="1" applyAlignment="1" applyProtection="1"/>
    <xf numFmtId="37" fontId="7" fillId="3" borderId="3" xfId="0" applyFont="1" applyFill="1" applyBorder="1" applyAlignment="1" applyProtection="1"/>
    <xf numFmtId="37" fontId="7" fillId="3" borderId="3" xfId="0" applyFont="1" applyFill="1" applyBorder="1" applyAlignment="1" applyProtection="1">
      <alignment horizontal="center"/>
    </xf>
    <xf numFmtId="37" fontId="4" fillId="3" borderId="17" xfId="0" applyFont="1" applyFill="1" applyBorder="1" applyProtection="1"/>
    <xf numFmtId="37" fontId="7" fillId="3" borderId="13" xfId="0" applyFont="1" applyFill="1" applyBorder="1" applyAlignment="1" applyProtection="1">
      <alignment horizontal="centerContinuous"/>
    </xf>
    <xf numFmtId="37" fontId="7" fillId="3" borderId="18" xfId="0" applyFont="1" applyFill="1" applyBorder="1" applyAlignment="1" applyProtection="1">
      <alignment horizontal="centerContinuous"/>
    </xf>
    <xf numFmtId="37" fontId="4" fillId="3" borderId="6" xfId="0" applyFont="1" applyFill="1" applyBorder="1" applyProtection="1"/>
    <xf numFmtId="37" fontId="7" fillId="0" borderId="6" xfId="0" applyFont="1" applyBorder="1" applyProtection="1"/>
    <xf numFmtId="37" fontId="7" fillId="0" borderId="4" xfId="0" applyFont="1" applyBorder="1" applyProtection="1"/>
    <xf numFmtId="37" fontId="4" fillId="0" borderId="9" xfId="0" applyFont="1" applyBorder="1" applyAlignment="1" applyProtection="1">
      <alignment horizontal="center"/>
    </xf>
    <xf numFmtId="171" fontId="7" fillId="0" borderId="16" xfId="0" applyNumberFormat="1" applyFont="1" applyBorder="1" applyAlignment="1">
      <alignment vertical="center"/>
    </xf>
    <xf numFmtId="176" fontId="7" fillId="0" borderId="28" xfId="0" applyNumberFormat="1" applyFont="1" applyBorder="1" applyAlignment="1">
      <alignment vertical="center"/>
    </xf>
    <xf numFmtId="176" fontId="7" fillId="0" borderId="0" xfId="0" applyNumberFormat="1" applyFont="1" applyAlignment="1">
      <alignment vertical="center"/>
    </xf>
    <xf numFmtId="0" fontId="4" fillId="3" borderId="13" xfId="0" applyNumberFormat="1" applyFont="1" applyFill="1" applyBorder="1" applyAlignment="1" applyProtection="1">
      <alignment horizontal="centerContinuous"/>
    </xf>
    <xf numFmtId="0" fontId="7" fillId="3" borderId="18" xfId="0" applyNumberFormat="1" applyFont="1" applyFill="1" applyBorder="1" applyAlignment="1" applyProtection="1">
      <alignment horizontal="centerContinuous"/>
    </xf>
    <xf numFmtId="37" fontId="4" fillId="3" borderId="6" xfId="0" applyFont="1" applyFill="1" applyBorder="1" applyAlignment="1" applyProtection="1">
      <alignment horizontal="centerContinuous"/>
    </xf>
    <xf numFmtId="10" fontId="7" fillId="3" borderId="2" xfId="0" applyNumberFormat="1" applyFont="1" applyFill="1" applyBorder="1" applyAlignment="1" applyProtection="1">
      <alignment horizontal="centerContinuous"/>
    </xf>
    <xf numFmtId="37" fontId="4" fillId="3" borderId="3" xfId="0" applyFont="1" applyFill="1" applyBorder="1" applyAlignment="1" applyProtection="1">
      <alignment horizontal="centerContinuous" vertical="center"/>
      <protection locked="0"/>
    </xf>
    <xf numFmtId="37" fontId="7" fillId="3" borderId="3" xfId="0" applyFont="1" applyFill="1" applyBorder="1" applyAlignment="1" applyProtection="1">
      <alignment horizontal="centerContinuous"/>
      <protection locked="0"/>
    </xf>
    <xf numFmtId="37" fontId="4" fillId="0" borderId="13" xfId="0" applyFont="1" applyBorder="1" applyAlignment="1">
      <alignment horizontal="centerContinuous" vertical="center"/>
    </xf>
    <xf numFmtId="166" fontId="7" fillId="0" borderId="0" xfId="0" applyNumberFormat="1" applyFont="1" applyBorder="1" applyProtection="1"/>
    <xf numFmtId="37" fontId="4" fillId="3" borderId="17" xfId="0" applyFont="1" applyFill="1" applyBorder="1" applyAlignment="1">
      <alignment horizontal="centerContinuous"/>
    </xf>
    <xf numFmtId="166" fontId="10" fillId="0" borderId="0" xfId="0" applyNumberFormat="1" applyFont="1" applyProtection="1">
      <protection locked="0"/>
    </xf>
    <xf numFmtId="37" fontId="4" fillId="0" borderId="2" xfId="0" applyFont="1" applyBorder="1" applyAlignment="1">
      <alignment horizontal="centerContinuous" vertical="center"/>
    </xf>
    <xf numFmtId="37" fontId="7" fillId="0" borderId="2" xfId="0" applyFont="1" applyBorder="1" applyAlignment="1">
      <alignment horizontal="centerContinuous"/>
    </xf>
    <xf numFmtId="37" fontId="7" fillId="0" borderId="2" xfId="0" applyFont="1" applyBorder="1" applyAlignment="1"/>
    <xf numFmtId="37" fontId="4" fillId="0" borderId="3" xfId="0" quotePrefix="1" applyFont="1" applyBorder="1" applyAlignment="1">
      <alignment horizontal="centerContinuous" vertical="center"/>
    </xf>
    <xf numFmtId="37" fontId="7" fillId="0" borderId="3" xfId="0" applyFont="1" applyBorder="1" applyAlignment="1">
      <alignment horizontal="centerContinuous"/>
    </xf>
    <xf numFmtId="166" fontId="7" fillId="0" borderId="13" xfId="0" applyNumberFormat="1" applyFont="1" applyBorder="1" applyAlignment="1" applyProtection="1">
      <alignment vertical="center"/>
    </xf>
    <xf numFmtId="37" fontId="7" fillId="0" borderId="13" xfId="0" applyFont="1" applyBorder="1" applyAlignment="1">
      <alignment vertical="center"/>
    </xf>
    <xf numFmtId="37" fontId="7" fillId="0" borderId="13" xfId="0" applyFont="1" applyBorder="1" applyAlignment="1">
      <alignment horizontal="right" vertical="center"/>
    </xf>
    <xf numFmtId="37" fontId="4" fillId="3" borderId="19" xfId="0" applyFont="1" applyFill="1" applyBorder="1" applyAlignment="1">
      <alignment horizontal="centerContinuous"/>
    </xf>
    <xf numFmtId="37" fontId="7" fillId="0" borderId="13" xfId="0" applyFont="1" applyBorder="1" applyAlignment="1">
      <alignment horizontal="left" vertical="center"/>
    </xf>
    <xf numFmtId="37" fontId="7" fillId="0" borderId="13" xfId="0" applyFont="1" applyBorder="1" applyAlignment="1">
      <alignment horizontal="left"/>
    </xf>
    <xf numFmtId="37" fontId="4" fillId="3" borderId="13" xfId="0" quotePrefix="1" applyFont="1" applyFill="1" applyBorder="1" applyAlignment="1" applyProtection="1">
      <alignment horizontal="centerContinuous" vertical="center"/>
    </xf>
    <xf numFmtId="37" fontId="4" fillId="0" borderId="4" xfId="0" applyFont="1" applyBorder="1" applyAlignment="1">
      <alignment horizontal="center"/>
    </xf>
    <xf numFmtId="37" fontId="7" fillId="0" borderId="0" xfId="0" applyFont="1" applyAlignment="1">
      <alignment wrapText="1"/>
    </xf>
    <xf numFmtId="166" fontId="7" fillId="0" borderId="0" xfId="0" applyNumberFormat="1" applyFont="1"/>
    <xf numFmtId="37" fontId="7" fillId="0" borderId="30" xfId="0" applyFont="1" applyBorder="1"/>
    <xf numFmtId="37" fontId="7" fillId="0" borderId="2" xfId="0" applyFont="1" applyBorder="1" applyAlignment="1">
      <alignment horizontal="centerContinuous" vertical="center"/>
    </xf>
    <xf numFmtId="37" fontId="7" fillId="0" borderId="3" xfId="0" applyFont="1" applyBorder="1" applyAlignment="1">
      <alignment horizontal="centerContinuous" vertical="center"/>
    </xf>
    <xf numFmtId="37" fontId="7" fillId="0" borderId="3" xfId="0" applyFont="1" applyBorder="1" applyAlignment="1">
      <alignment vertical="center"/>
    </xf>
    <xf numFmtId="37" fontId="7" fillId="0" borderId="0" xfId="0" quotePrefix="1" applyFont="1" applyBorder="1" applyAlignment="1">
      <alignment horizontal="centerContinuous"/>
    </xf>
    <xf numFmtId="166" fontId="7" fillId="0" borderId="12" xfId="0" applyNumberFormat="1" applyFont="1" applyBorder="1" applyAlignment="1" applyProtection="1">
      <alignment vertical="center"/>
    </xf>
    <xf numFmtId="37" fontId="4" fillId="0" borderId="12" xfId="0" applyFont="1" applyBorder="1" applyAlignment="1">
      <alignment horizontal="centerContinuous" vertical="center"/>
    </xf>
    <xf numFmtId="37" fontId="7" fillId="0" borderId="11" xfId="0" applyFont="1" applyBorder="1" applyAlignment="1"/>
    <xf numFmtId="37" fontId="7" fillId="0" borderId="2" xfId="0" quotePrefix="1" applyFont="1" applyBorder="1" applyAlignment="1">
      <alignment horizontal="right" vertical="center"/>
    </xf>
    <xf numFmtId="37" fontId="7" fillId="0" borderId="0" xfId="0" applyFont="1" applyBorder="1" applyAlignment="1">
      <alignment vertical="center"/>
    </xf>
    <xf numFmtId="37" fontId="4" fillId="0" borderId="3" xfId="0" applyFont="1" applyBorder="1" applyAlignment="1">
      <alignment horizontal="centerContinuous" vertical="center"/>
    </xf>
    <xf numFmtId="49" fontId="7" fillId="0" borderId="0" xfId="2" applyNumberFormat="1" applyFont="1"/>
    <xf numFmtId="37" fontId="14" fillId="0" borderId="3" xfId="0" applyFont="1" applyBorder="1" applyAlignment="1">
      <alignment horizontal="centerContinuous" vertical="center"/>
    </xf>
    <xf numFmtId="49" fontId="4" fillId="0" borderId="9" xfId="0" applyNumberFormat="1" applyFont="1" applyBorder="1"/>
    <xf numFmtId="49" fontId="7" fillId="0" borderId="1" xfId="0" applyNumberFormat="1" applyFont="1" applyBorder="1"/>
    <xf numFmtId="175" fontId="7" fillId="0" borderId="1" xfId="0" applyNumberFormat="1" applyFont="1" applyBorder="1"/>
    <xf numFmtId="174" fontId="7" fillId="0" borderId="0" xfId="0" applyNumberFormat="1" applyFont="1"/>
    <xf numFmtId="175" fontId="7" fillId="0" borderId="0" xfId="0" applyNumberFormat="1" applyFont="1"/>
    <xf numFmtId="171" fontId="7" fillId="0" borderId="0" xfId="0" applyNumberFormat="1" applyFont="1" applyProtection="1"/>
    <xf numFmtId="37" fontId="4" fillId="0" borderId="24" xfId="0" applyFont="1" applyBorder="1" applyAlignment="1">
      <alignment horizontal="center" vertical="center"/>
    </xf>
    <xf numFmtId="165" fontId="7" fillId="0" borderId="0" xfId="2" applyFont="1" applyAlignment="1">
      <alignment horizontal="left"/>
    </xf>
    <xf numFmtId="37" fontId="7" fillId="0" borderId="11" xfId="0" applyFont="1" applyBorder="1" applyAlignment="1">
      <alignment vertical="center"/>
    </xf>
    <xf numFmtId="37" fontId="4" fillId="3" borderId="12" xfId="0" applyFont="1" applyFill="1" applyBorder="1" applyAlignment="1">
      <alignment horizontal="centerContinuous" vertical="center"/>
    </xf>
    <xf numFmtId="37" fontId="7" fillId="3" borderId="12" xfId="0" applyFont="1" applyFill="1" applyBorder="1" applyAlignment="1">
      <alignment horizontal="centerContinuous" vertical="center"/>
    </xf>
    <xf numFmtId="37" fontId="7" fillId="3" borderId="11" xfId="0" quotePrefix="1" applyFont="1" applyFill="1" applyBorder="1" applyAlignment="1" applyProtection="1">
      <alignment horizontal="centerContinuous" vertical="center"/>
    </xf>
    <xf numFmtId="37" fontId="7" fillId="3" borderId="11" xfId="0" applyFont="1" applyFill="1" applyBorder="1" applyAlignment="1">
      <alignment horizontal="centerContinuous" vertical="center"/>
    </xf>
    <xf numFmtId="37" fontId="7" fillId="0" borderId="11" xfId="0" applyFont="1" applyBorder="1" applyAlignment="1">
      <alignment horizontal="centerContinuous" vertical="center"/>
    </xf>
    <xf numFmtId="37" fontId="7" fillId="0" borderId="0" xfId="0" applyFont="1" applyAlignment="1">
      <alignment horizontal="center"/>
    </xf>
    <xf numFmtId="37" fontId="4" fillId="3" borderId="13" xfId="0" applyFont="1" applyFill="1" applyBorder="1" applyAlignment="1">
      <alignment horizontal="centerContinuous" vertical="center"/>
    </xf>
    <xf numFmtId="37" fontId="4" fillId="3" borderId="0" xfId="0" applyFont="1" applyFill="1" applyBorder="1" applyAlignment="1">
      <alignment horizontal="centerContinuous" vertical="center"/>
    </xf>
    <xf numFmtId="37" fontId="7" fillId="3" borderId="0" xfId="0" applyFont="1" applyFill="1" applyBorder="1" applyAlignment="1">
      <alignment horizontal="centerContinuous"/>
    </xf>
    <xf numFmtId="37" fontId="7" fillId="3" borderId="0" xfId="0" quotePrefix="1" applyFont="1" applyFill="1" applyBorder="1" applyAlignment="1">
      <alignment horizontal="right"/>
    </xf>
    <xf numFmtId="37" fontId="4" fillId="0" borderId="31" xfId="0" applyFont="1" applyBorder="1" applyAlignment="1">
      <alignment horizontal="center"/>
    </xf>
    <xf numFmtId="37" fontId="7" fillId="0" borderId="7" xfId="0" applyFont="1" applyBorder="1"/>
    <xf numFmtId="37" fontId="4" fillId="0" borderId="24" xfId="0" applyFont="1" applyBorder="1" applyAlignment="1">
      <alignment horizontal="center"/>
    </xf>
    <xf numFmtId="37" fontId="7" fillId="3" borderId="0" xfId="0" applyFont="1" applyFill="1" applyBorder="1" applyAlignment="1">
      <alignment horizontal="right"/>
    </xf>
    <xf numFmtId="37" fontId="4" fillId="3" borderId="31" xfId="0" applyFont="1" applyFill="1" applyBorder="1" applyAlignment="1">
      <alignment horizontal="centerContinuous" vertical="center"/>
    </xf>
    <xf numFmtId="37" fontId="4" fillId="0" borderId="31" xfId="0" applyFont="1" applyBorder="1" applyAlignment="1">
      <alignment horizontal="center" vertical="center"/>
    </xf>
    <xf numFmtId="166" fontId="7" fillId="0" borderId="13" xfId="0" applyNumberFormat="1" applyFont="1" applyBorder="1" applyProtection="1"/>
    <xf numFmtId="37" fontId="7" fillId="0" borderId="13" xfId="0" applyFont="1" applyBorder="1" applyAlignment="1">
      <alignment horizontal="centerContinuous" vertical="center"/>
    </xf>
    <xf numFmtId="166" fontId="7" fillId="0" borderId="0" xfId="0" applyNumberFormat="1" applyFont="1" applyAlignment="1" applyProtection="1">
      <alignment horizontal="centerContinuous"/>
    </xf>
    <xf numFmtId="37" fontId="4" fillId="0" borderId="6" xfId="0" applyFont="1" applyBorder="1" applyAlignment="1">
      <alignment horizontal="center"/>
    </xf>
    <xf numFmtId="37" fontId="10" fillId="0" borderId="13" xfId="0" applyFont="1" applyBorder="1" applyAlignment="1" applyProtection="1">
      <alignment horizontal="centerContinuous" vertical="center"/>
      <protection locked="0"/>
    </xf>
    <xf numFmtId="37" fontId="7" fillId="0" borderId="0" xfId="0" quotePrefix="1" applyFont="1" applyAlignment="1"/>
    <xf numFmtId="37" fontId="4" fillId="0" borderId="25" xfId="0" applyFont="1" applyBorder="1" applyAlignment="1">
      <alignment horizontal="centerContinuous" vertical="center"/>
    </xf>
    <xf numFmtId="37" fontId="7" fillId="0" borderId="25" xfId="0" applyFont="1" applyBorder="1" applyAlignment="1">
      <alignment horizontal="centerContinuous" vertical="center"/>
    </xf>
    <xf numFmtId="37" fontId="10" fillId="0" borderId="13" xfId="0" applyFont="1" applyBorder="1" applyAlignment="1" applyProtection="1">
      <alignment vertical="center"/>
      <protection locked="0"/>
    </xf>
    <xf numFmtId="37" fontId="4" fillId="0" borderId="1" xfId="0" applyFont="1" applyBorder="1"/>
    <xf numFmtId="49" fontId="12" fillId="0" borderId="10" xfId="0" applyNumberFormat="1" applyFont="1" applyBorder="1" applyAlignment="1">
      <alignment horizontal="center"/>
    </xf>
    <xf numFmtId="49" fontId="12" fillId="0" borderId="8" xfId="0" applyNumberFormat="1" applyFont="1" applyBorder="1" applyAlignment="1">
      <alignment horizontal="center" vertical="top"/>
    </xf>
    <xf numFmtId="166" fontId="7" fillId="0" borderId="0" xfId="0" applyNumberFormat="1" applyFont="1" applyAlignment="1" applyProtection="1">
      <alignment horizontal="right"/>
    </xf>
    <xf numFmtId="37" fontId="7" fillId="0" borderId="32" xfId="0" applyFont="1" applyBorder="1"/>
    <xf numFmtId="37" fontId="7" fillId="0" borderId="25" xfId="0" applyFont="1" applyBorder="1"/>
    <xf numFmtId="37" fontId="7" fillId="0" borderId="27" xfId="0" applyFont="1" applyBorder="1"/>
    <xf numFmtId="0" fontId="7" fillId="0" borderId="0" xfId="0" applyNumberFormat="1" applyFont="1" applyAlignment="1">
      <alignment horizontal="center"/>
    </xf>
    <xf numFmtId="37" fontId="7" fillId="3" borderId="0" xfId="0" applyFont="1" applyFill="1" applyAlignment="1">
      <alignment horizontal="left"/>
    </xf>
    <xf numFmtId="37" fontId="7" fillId="0" borderId="0" xfId="0" quotePrefix="1" applyFont="1" applyAlignment="1">
      <alignment horizontal="center"/>
    </xf>
    <xf numFmtId="37" fontId="4" fillId="3" borderId="5" xfId="0" applyFont="1" applyFill="1" applyBorder="1" applyAlignment="1">
      <alignment vertical="center"/>
    </xf>
    <xf numFmtId="37" fontId="4" fillId="0" borderId="10" xfId="0" applyFont="1" applyBorder="1" applyAlignment="1">
      <alignment horizontal="right" vertical="center"/>
    </xf>
    <xf numFmtId="10" fontId="7" fillId="0" borderId="0" xfId="8" applyNumberFormat="1" applyFont="1"/>
    <xf numFmtId="37" fontId="9" fillId="3" borderId="0" xfId="0" applyFont="1" applyFill="1" applyAlignment="1">
      <alignment horizontal="centerContinuous"/>
    </xf>
    <xf numFmtId="37" fontId="9" fillId="0" borderId="0" xfId="0" applyFont="1" applyAlignment="1">
      <alignment horizontal="centerContinuous"/>
    </xf>
    <xf numFmtId="37" fontId="4" fillId="6" borderId="17" xfId="0" applyFont="1" applyFill="1" applyBorder="1" applyAlignment="1">
      <alignment horizontal="centerContinuous"/>
    </xf>
    <xf numFmtId="37" fontId="4" fillId="6" borderId="18" xfId="0" applyFont="1" applyFill="1" applyBorder="1" applyAlignment="1">
      <alignment horizontal="centerContinuous"/>
    </xf>
    <xf numFmtId="37" fontId="4" fillId="6" borderId="18" xfId="0" applyFont="1" applyFill="1" applyBorder="1" applyAlignment="1">
      <alignment horizontal="centerContinuous" vertical="center"/>
    </xf>
    <xf numFmtId="49" fontId="7" fillId="6" borderId="1" xfId="0" applyNumberFormat="1" applyFont="1" applyFill="1" applyBorder="1" applyAlignment="1">
      <alignment vertical="center"/>
    </xf>
    <xf numFmtId="171" fontId="7" fillId="6" borderId="1" xfId="0" applyNumberFormat="1" applyFont="1" applyFill="1" applyBorder="1" applyAlignment="1">
      <alignment vertical="center"/>
    </xf>
    <xf numFmtId="49" fontId="4" fillId="6" borderId="19" xfId="2" applyNumberFormat="1" applyFont="1" applyFill="1" applyBorder="1" applyAlignment="1">
      <alignment vertical="center"/>
    </xf>
    <xf numFmtId="171" fontId="4" fillId="6" borderId="19" xfId="0" applyNumberFormat="1" applyFont="1" applyFill="1" applyBorder="1" applyAlignment="1">
      <alignment vertical="center"/>
    </xf>
    <xf numFmtId="37" fontId="4" fillId="6" borderId="17" xfId="0" applyFont="1" applyFill="1" applyBorder="1" applyAlignment="1" applyProtection="1">
      <alignment horizontal="centerContinuous" vertical="center"/>
    </xf>
    <xf numFmtId="37" fontId="4" fillId="6" borderId="13" xfId="0" applyFont="1" applyFill="1" applyBorder="1" applyAlignment="1" applyProtection="1">
      <alignment horizontal="centerContinuous"/>
    </xf>
    <xf numFmtId="37" fontId="4" fillId="6" borderId="18" xfId="0" applyFont="1" applyFill="1" applyBorder="1" applyAlignment="1" applyProtection="1">
      <alignment horizontal="centerContinuous"/>
    </xf>
    <xf numFmtId="175" fontId="7" fillId="6" borderId="1" xfId="0" applyNumberFormat="1" applyFont="1" applyFill="1" applyBorder="1" applyAlignment="1">
      <alignment vertical="center"/>
    </xf>
    <xf numFmtId="175" fontId="7" fillId="6" borderId="22" xfId="0" applyNumberFormat="1" applyFont="1" applyFill="1" applyBorder="1" applyAlignment="1">
      <alignment vertical="center"/>
    </xf>
    <xf numFmtId="175" fontId="7" fillId="6" borderId="6" xfId="0" applyNumberFormat="1" applyFont="1" applyFill="1" applyBorder="1" applyAlignment="1">
      <alignment vertical="center"/>
    </xf>
    <xf numFmtId="175" fontId="4" fillId="6" borderId="19" xfId="0" applyNumberFormat="1" applyFont="1" applyFill="1" applyBorder="1" applyAlignment="1">
      <alignment vertical="center"/>
    </xf>
    <xf numFmtId="175" fontId="4" fillId="6" borderId="33" xfId="0" applyNumberFormat="1" applyFont="1" applyFill="1" applyBorder="1" applyAlignment="1">
      <alignment vertical="center"/>
    </xf>
    <xf numFmtId="175" fontId="4" fillId="6" borderId="18" xfId="0" applyNumberFormat="1" applyFont="1" applyFill="1" applyBorder="1" applyAlignment="1">
      <alignment vertical="center"/>
    </xf>
    <xf numFmtId="37" fontId="4" fillId="6" borderId="20" xfId="0" applyFont="1" applyFill="1" applyBorder="1" applyAlignment="1">
      <alignment horizontal="centerContinuous"/>
    </xf>
    <xf numFmtId="37" fontId="4" fillId="6" borderId="3" xfId="0" applyFont="1" applyFill="1" applyBorder="1" applyAlignment="1">
      <alignment horizontal="centerContinuous"/>
    </xf>
    <xf numFmtId="37" fontId="4" fillId="6" borderId="10" xfId="0" applyFont="1" applyFill="1" applyBorder="1" applyAlignment="1">
      <alignment horizontal="centerContinuous"/>
    </xf>
    <xf numFmtId="37" fontId="4" fillId="6" borderId="17" xfId="0" applyFont="1" applyFill="1" applyBorder="1" applyAlignment="1">
      <alignment horizontal="centerContinuous" vertical="center"/>
    </xf>
    <xf numFmtId="37" fontId="7" fillId="6" borderId="13" xfId="0" applyFont="1" applyFill="1" applyBorder="1" applyAlignment="1">
      <alignment horizontal="centerContinuous"/>
    </xf>
    <xf numFmtId="37" fontId="7" fillId="6" borderId="18" xfId="0" applyFont="1" applyFill="1" applyBorder="1" applyAlignment="1">
      <alignment horizontal="centerContinuous"/>
    </xf>
    <xf numFmtId="37" fontId="4" fillId="6" borderId="4" xfId="0" applyFont="1" applyFill="1" applyBorder="1" applyAlignment="1">
      <alignment horizontal="centerContinuous"/>
    </xf>
    <xf numFmtId="37" fontId="4" fillId="6" borderId="5" xfId="0" applyFont="1" applyFill="1" applyBorder="1" applyAlignment="1">
      <alignment horizontal="center"/>
    </xf>
    <xf numFmtId="37" fontId="4" fillId="6" borderId="2" xfId="0" applyFont="1" applyFill="1" applyBorder="1" applyAlignment="1">
      <alignment horizontal="center"/>
    </xf>
    <xf numFmtId="37" fontId="7" fillId="6" borderId="5" xfId="0" applyFont="1" applyFill="1" applyBorder="1" applyAlignment="1">
      <alignment horizontal="centerContinuous"/>
    </xf>
    <xf numFmtId="37" fontId="4" fillId="6" borderId="9" xfId="0" applyFont="1" applyFill="1" applyBorder="1" applyAlignment="1">
      <alignment horizontal="centerContinuous"/>
    </xf>
    <xf numFmtId="37" fontId="7" fillId="6" borderId="3" xfId="0" applyFont="1" applyFill="1" applyBorder="1" applyAlignment="1">
      <alignment horizontal="centerContinuous"/>
    </xf>
    <xf numFmtId="37" fontId="4" fillId="6" borderId="14" xfId="0" applyFont="1" applyFill="1" applyBorder="1" applyAlignment="1">
      <alignment horizontal="centerContinuous"/>
    </xf>
    <xf numFmtId="37" fontId="4" fillId="6" borderId="5" xfId="0" applyFont="1" applyFill="1" applyBorder="1" applyAlignment="1">
      <alignment horizontal="centerContinuous"/>
    </xf>
    <xf numFmtId="37" fontId="4" fillId="6" borderId="2" xfId="0" applyFont="1" applyFill="1" applyBorder="1"/>
    <xf numFmtId="37" fontId="4" fillId="6" borderId="2" xfId="0" applyFont="1" applyFill="1" applyBorder="1" applyAlignment="1">
      <alignment horizontal="centerContinuous"/>
    </xf>
    <xf numFmtId="37" fontId="4" fillId="7" borderId="23" xfId="0" applyFont="1" applyFill="1" applyBorder="1"/>
    <xf numFmtId="37" fontId="4" fillId="8" borderId="23" xfId="0" applyFont="1" applyFill="1" applyBorder="1"/>
    <xf numFmtId="37" fontId="4" fillId="7" borderId="34" xfId="0" applyFont="1" applyFill="1" applyBorder="1"/>
    <xf numFmtId="37" fontId="7" fillId="6" borderId="2" xfId="0" applyFont="1" applyFill="1" applyBorder="1" applyAlignment="1">
      <alignment horizontal="centerContinuous"/>
    </xf>
    <xf numFmtId="37" fontId="7" fillId="6" borderId="10" xfId="0" applyFont="1" applyFill="1" applyBorder="1" applyAlignment="1">
      <alignment horizontal="centerContinuous"/>
    </xf>
    <xf numFmtId="37" fontId="7" fillId="6" borderId="14" xfId="0" applyFont="1" applyFill="1" applyBorder="1"/>
    <xf numFmtId="37" fontId="4" fillId="6" borderId="35" xfId="0" applyFont="1" applyFill="1" applyBorder="1" applyAlignment="1">
      <alignment horizontal="centerContinuous"/>
    </xf>
    <xf numFmtId="37" fontId="4" fillId="6" borderId="36" xfId="0" applyFont="1" applyFill="1" applyBorder="1" applyAlignment="1">
      <alignment horizontal="centerContinuous"/>
    </xf>
    <xf numFmtId="37" fontId="4" fillId="6" borderId="35" xfId="0" applyFont="1" applyFill="1" applyBorder="1" applyAlignment="1">
      <alignment horizontal="left"/>
    </xf>
    <xf numFmtId="37" fontId="4" fillId="6" borderId="12" xfId="0" applyFont="1" applyFill="1" applyBorder="1" applyAlignment="1">
      <alignment horizontal="left"/>
    </xf>
    <xf numFmtId="37" fontId="4" fillId="6" borderId="36" xfId="0" applyFont="1" applyFill="1" applyBorder="1" applyAlignment="1">
      <alignment horizontal="left"/>
    </xf>
    <xf numFmtId="37" fontId="4" fillId="6" borderId="39" xfId="0" applyFont="1" applyFill="1" applyBorder="1" applyAlignment="1" applyProtection="1">
      <alignment horizontal="centerContinuous"/>
    </xf>
    <xf numFmtId="37" fontId="7" fillId="6" borderId="0" xfId="0" applyFont="1" applyFill="1" applyAlignment="1" applyProtection="1">
      <alignment horizontal="centerContinuous"/>
    </xf>
    <xf numFmtId="37" fontId="7" fillId="6" borderId="6" xfId="0" applyFont="1" applyFill="1" applyBorder="1" applyAlignment="1" applyProtection="1">
      <alignment horizontal="centerContinuous"/>
    </xf>
    <xf numFmtId="37" fontId="4" fillId="6" borderId="16" xfId="0" applyFont="1" applyFill="1" applyBorder="1" applyAlignment="1" applyProtection="1">
      <alignment horizontal="centerContinuous"/>
    </xf>
    <xf numFmtId="37" fontId="4" fillId="6" borderId="20" xfId="0" applyFont="1" applyFill="1" applyBorder="1" applyAlignment="1" applyProtection="1">
      <alignment horizontal="centerContinuous"/>
    </xf>
    <xf numFmtId="37" fontId="4" fillId="6" borderId="3" xfId="0" applyFont="1" applyFill="1" applyBorder="1" applyAlignment="1" applyProtection="1">
      <alignment horizontal="centerContinuous"/>
    </xf>
    <xf numFmtId="37" fontId="4" fillId="6" borderId="10" xfId="0" applyFont="1" applyFill="1" applyBorder="1" applyAlignment="1" applyProtection="1">
      <alignment horizontal="centerContinuous"/>
    </xf>
    <xf numFmtId="49" fontId="7" fillId="9" borderId="1" xfId="0" applyNumberFormat="1" applyFont="1" applyFill="1" applyBorder="1" applyAlignment="1">
      <alignment vertical="center"/>
    </xf>
    <xf numFmtId="171" fontId="7" fillId="9" borderId="16" xfId="0" applyNumberFormat="1" applyFont="1" applyFill="1" applyBorder="1" applyAlignment="1">
      <alignment vertical="center"/>
    </xf>
    <xf numFmtId="176" fontId="7" fillId="9" borderId="28" xfId="0" applyNumberFormat="1" applyFont="1" applyFill="1" applyBorder="1" applyAlignment="1">
      <alignment vertical="center"/>
    </xf>
    <xf numFmtId="171" fontId="4" fillId="6" borderId="17" xfId="0" applyNumberFormat="1" applyFont="1" applyFill="1" applyBorder="1" applyAlignment="1">
      <alignment vertical="center"/>
    </xf>
    <xf numFmtId="176" fontId="4" fillId="6" borderId="40" xfId="0" applyNumberFormat="1" applyFont="1" applyFill="1" applyBorder="1" applyAlignment="1">
      <alignment vertical="center"/>
    </xf>
    <xf numFmtId="37" fontId="4" fillId="6" borderId="14" xfId="0" applyFont="1" applyFill="1" applyBorder="1" applyAlignment="1"/>
    <xf numFmtId="37" fontId="4" fillId="6" borderId="5" xfId="0" applyFont="1" applyFill="1" applyBorder="1" applyAlignment="1"/>
    <xf numFmtId="37" fontId="4" fillId="6" borderId="16" xfId="0" applyFont="1" applyFill="1" applyBorder="1" applyAlignment="1">
      <alignment horizontal="centerContinuous"/>
    </xf>
    <xf numFmtId="169" fontId="7" fillId="3" borderId="24" xfId="0" applyNumberFormat="1" applyFont="1" applyFill="1" applyBorder="1" applyProtection="1"/>
    <xf numFmtId="169" fontId="7" fillId="0" borderId="24" xfId="0" applyNumberFormat="1" applyFont="1" applyBorder="1" applyProtection="1"/>
    <xf numFmtId="169" fontId="4" fillId="0" borderId="7" xfId="8" applyNumberFormat="1" applyFont="1" applyFill="1" applyBorder="1"/>
    <xf numFmtId="171" fontId="4" fillId="0" borderId="23" xfId="0" applyNumberFormat="1" applyFont="1" applyBorder="1" applyProtection="1"/>
    <xf numFmtId="169" fontId="4" fillId="0" borderId="23" xfId="0" applyNumberFormat="1" applyFont="1" applyBorder="1" applyProtection="1"/>
    <xf numFmtId="171" fontId="4" fillId="8" borderId="23" xfId="0" applyNumberFormat="1" applyFont="1" applyFill="1" applyBorder="1" applyProtection="1"/>
    <xf numFmtId="169" fontId="4" fillId="8" borderId="23" xfId="0" applyNumberFormat="1" applyFont="1" applyFill="1" applyBorder="1" applyProtection="1"/>
    <xf numFmtId="37" fontId="4" fillId="6" borderId="4" xfId="0" applyNumberFormat="1" applyFont="1" applyFill="1" applyBorder="1" applyAlignment="1" applyProtection="1">
      <alignment horizontal="center"/>
    </xf>
    <xf numFmtId="37" fontId="4" fillId="6" borderId="4" xfId="0" applyFont="1" applyFill="1" applyBorder="1"/>
    <xf numFmtId="37" fontId="4" fillId="6" borderId="1" xfId="0" applyNumberFormat="1" applyFont="1" applyFill="1" applyBorder="1" applyAlignment="1" applyProtection="1"/>
    <xf numFmtId="37" fontId="4" fillId="6" borderId="1" xfId="0" applyFont="1" applyFill="1" applyBorder="1" applyAlignment="1"/>
    <xf numFmtId="37" fontId="4" fillId="6" borderId="1" xfId="0" applyFont="1" applyFill="1" applyBorder="1" applyAlignment="1">
      <alignment horizontal="centerContinuous"/>
    </xf>
    <xf numFmtId="37" fontId="4" fillId="6" borderId="9" xfId="0" applyNumberFormat="1" applyFont="1" applyFill="1" applyBorder="1" applyAlignment="1" applyProtection="1">
      <alignment horizontal="centerContinuous"/>
    </xf>
    <xf numFmtId="171" fontId="7" fillId="6" borderId="1" xfId="0" applyNumberFormat="1" applyFont="1" applyFill="1" applyBorder="1"/>
    <xf numFmtId="175" fontId="7" fillId="6" borderId="1" xfId="0" applyNumberFormat="1" applyFont="1" applyFill="1" applyBorder="1"/>
    <xf numFmtId="49" fontId="7" fillId="6" borderId="1" xfId="0" applyNumberFormat="1" applyFont="1" applyFill="1" applyBorder="1"/>
    <xf numFmtId="49" fontId="4" fillId="6" borderId="19" xfId="0" applyNumberFormat="1" applyFont="1" applyFill="1" applyBorder="1"/>
    <xf numFmtId="171" fontId="4" fillId="6" borderId="19" xfId="0" applyNumberFormat="1" applyFont="1" applyFill="1" applyBorder="1"/>
    <xf numFmtId="175" fontId="4" fillId="6" borderId="19" xfId="0" applyNumberFormat="1" applyFont="1" applyFill="1" applyBorder="1" applyProtection="1"/>
    <xf numFmtId="37" fontId="4" fillId="6" borderId="4" xfId="0" applyFont="1" applyFill="1" applyBorder="1" applyAlignment="1">
      <alignment horizontal="center"/>
    </xf>
    <xf numFmtId="37" fontId="4" fillId="6" borderId="1" xfId="0" applyFont="1" applyFill="1" applyBorder="1" applyAlignment="1">
      <alignment horizontal="center"/>
    </xf>
    <xf numFmtId="37" fontId="4" fillId="6" borderId="14" xfId="0" applyFont="1" applyFill="1" applyBorder="1"/>
    <xf numFmtId="177" fontId="7" fillId="6" borderId="1" xfId="0" applyNumberFormat="1" applyFont="1" applyFill="1" applyBorder="1" applyAlignment="1">
      <alignment vertical="center"/>
    </xf>
    <xf numFmtId="177" fontId="7" fillId="0" borderId="1" xfId="0" applyNumberFormat="1" applyFont="1" applyBorder="1" applyAlignment="1">
      <alignment vertical="center"/>
    </xf>
    <xf numFmtId="177" fontId="7" fillId="6" borderId="1" xfId="0" applyNumberFormat="1" applyFont="1" applyFill="1" applyBorder="1" applyAlignment="1">
      <alignment horizontal="right" vertical="center"/>
    </xf>
    <xf numFmtId="177" fontId="0" fillId="0" borderId="0" xfId="0" applyNumberFormat="1"/>
    <xf numFmtId="177" fontId="4" fillId="6" borderId="19" xfId="0" applyNumberFormat="1" applyFont="1" applyFill="1" applyBorder="1" applyAlignment="1">
      <alignment vertical="center"/>
    </xf>
    <xf numFmtId="171" fontId="7" fillId="6" borderId="1" xfId="0" applyNumberFormat="1" applyFont="1" applyFill="1" applyBorder="1" applyAlignment="1">
      <alignment horizontal="right" vertical="center"/>
    </xf>
    <xf numFmtId="171" fontId="0" fillId="0" borderId="0" xfId="0" applyNumberFormat="1"/>
    <xf numFmtId="37" fontId="7" fillId="9" borderId="14" xfId="0" applyFont="1" applyFill="1" applyBorder="1"/>
    <xf numFmtId="37" fontId="7" fillId="9" borderId="2" xfId="0" applyFont="1" applyFill="1" applyBorder="1"/>
    <xf numFmtId="37" fontId="7" fillId="9" borderId="2" xfId="0" applyFont="1" applyFill="1" applyBorder="1" applyAlignment="1">
      <alignment horizontal="centerContinuous"/>
    </xf>
    <xf numFmtId="37" fontId="7" fillId="9" borderId="5" xfId="0" applyFont="1" applyFill="1" applyBorder="1" applyAlignment="1">
      <alignment horizontal="centerContinuous"/>
    </xf>
    <xf numFmtId="37" fontId="7" fillId="6" borderId="0" xfId="0" applyFont="1" applyFill="1" applyAlignment="1">
      <alignment horizontal="centerContinuous"/>
    </xf>
    <xf numFmtId="37" fontId="4" fillId="6" borderId="0" xfId="0" applyFont="1" applyFill="1"/>
    <xf numFmtId="37" fontId="4" fillId="6" borderId="1" xfId="0" applyFont="1" applyFill="1" applyBorder="1"/>
    <xf numFmtId="37" fontId="4" fillId="6" borderId="0" xfId="0" applyFont="1" applyFill="1" applyBorder="1" applyAlignment="1">
      <alignment horizontal="centerContinuous"/>
    </xf>
    <xf numFmtId="175" fontId="7" fillId="0" borderId="1" xfId="0" applyNumberFormat="1" applyFont="1" applyBorder="1" applyAlignment="1">
      <alignment horizontal="right" vertical="center"/>
    </xf>
    <xf numFmtId="37" fontId="4" fillId="7" borderId="5" xfId="0" applyFont="1" applyFill="1" applyBorder="1" applyAlignment="1"/>
    <xf numFmtId="175" fontId="0" fillId="0" borderId="0" xfId="0" applyNumberFormat="1"/>
    <xf numFmtId="175" fontId="4" fillId="6" borderId="19" xfId="0" applyNumberFormat="1" applyFont="1" applyFill="1" applyBorder="1"/>
    <xf numFmtId="37" fontId="4" fillId="7" borderId="14" xfId="0" applyFont="1" applyFill="1" applyBorder="1" applyAlignment="1">
      <alignment horizontal="left"/>
    </xf>
    <xf numFmtId="37" fontId="4" fillId="7" borderId="5" xfId="0" applyFont="1" applyFill="1" applyBorder="1" applyAlignment="1">
      <alignment horizontal="left"/>
    </xf>
    <xf numFmtId="37" fontId="4" fillId="0" borderId="7" xfId="0" applyFont="1" applyFill="1" applyBorder="1" applyAlignment="1">
      <alignment horizontal="centerContinuous" vertical="center"/>
    </xf>
    <xf numFmtId="37" fontId="4" fillId="0" borderId="7" xfId="0" applyFont="1" applyFill="1" applyBorder="1" applyAlignment="1">
      <alignment vertical="center"/>
    </xf>
    <xf numFmtId="37" fontId="4" fillId="0" borderId="24" xfId="0" applyFont="1" applyFill="1" applyBorder="1" applyAlignment="1"/>
    <xf numFmtId="37" fontId="4" fillId="0" borderId="8" xfId="0" applyFont="1" applyFill="1" applyBorder="1" applyAlignment="1">
      <alignment horizontal="centerContinuous"/>
    </xf>
    <xf numFmtId="37" fontId="7" fillId="3" borderId="13" xfId="0" quotePrefix="1" applyFont="1" applyFill="1" applyBorder="1" applyAlignment="1">
      <alignment horizontal="right" vertical="center"/>
    </xf>
    <xf numFmtId="0" fontId="4" fillId="6" borderId="14" xfId="0" applyNumberFormat="1" applyFont="1" applyFill="1" applyBorder="1" applyAlignment="1"/>
    <xf numFmtId="0" fontId="4" fillId="6" borderId="2" xfId="0" applyNumberFormat="1" applyFont="1" applyFill="1" applyBorder="1" applyAlignment="1"/>
    <xf numFmtId="0" fontId="4" fillId="6" borderId="5" xfId="0" applyNumberFormat="1" applyFont="1" applyFill="1" applyBorder="1" applyAlignment="1"/>
    <xf numFmtId="0" fontId="4" fillId="0" borderId="3" xfId="0" applyNumberFormat="1" applyFont="1" applyBorder="1" applyAlignment="1">
      <alignment horizontal="centerContinuous" vertical="center"/>
    </xf>
    <xf numFmtId="0" fontId="4" fillId="0" borderId="3" xfId="0" applyNumberFormat="1" applyFont="1" applyBorder="1" applyAlignment="1" applyProtection="1">
      <alignment horizontal="centerContinuous" vertical="center"/>
    </xf>
    <xf numFmtId="37" fontId="7" fillId="0" borderId="24" xfId="0" quotePrefix="1" applyNumberFormat="1" applyFont="1" applyBorder="1" applyAlignment="1" applyProtection="1">
      <alignment horizontal="left"/>
    </xf>
    <xf numFmtId="37" fontId="4" fillId="3" borderId="17" xfId="0" quotePrefix="1" applyFont="1" applyFill="1" applyBorder="1" applyAlignment="1">
      <alignment horizontal="left"/>
    </xf>
    <xf numFmtId="49" fontId="4" fillId="0" borderId="23" xfId="0" quotePrefix="1" applyNumberFormat="1" applyFont="1" applyBorder="1" applyAlignment="1">
      <alignment horizontal="center" vertical="center"/>
    </xf>
    <xf numFmtId="37" fontId="7" fillId="3" borderId="2" xfId="0" quotePrefix="1" applyFont="1" applyFill="1" applyBorder="1" applyAlignment="1">
      <alignment horizontal="right" vertical="center"/>
    </xf>
    <xf numFmtId="49" fontId="4" fillId="10" borderId="19" xfId="2" applyNumberFormat="1" applyFont="1" applyFill="1" applyBorder="1" applyAlignment="1">
      <alignment vertical="center"/>
    </xf>
    <xf numFmtId="171" fontId="4" fillId="10" borderId="19" xfId="0" applyNumberFormat="1" applyFont="1" applyFill="1" applyBorder="1" applyAlignment="1">
      <alignment vertical="center"/>
    </xf>
    <xf numFmtId="0" fontId="4" fillId="0" borderId="3" xfId="0" applyNumberFormat="1" applyFont="1" applyBorder="1" applyAlignment="1">
      <alignment vertical="center"/>
    </xf>
    <xf numFmtId="166" fontId="7" fillId="0" borderId="2" xfId="0" applyNumberFormat="1" applyFont="1" applyBorder="1" applyAlignment="1" applyProtection="1">
      <alignment horizontal="left"/>
    </xf>
    <xf numFmtId="167" fontId="7" fillId="6" borderId="1" xfId="8" applyNumberFormat="1" applyFont="1" applyFill="1" applyBorder="1"/>
    <xf numFmtId="167" fontId="4" fillId="6" borderId="19" xfId="8" applyNumberFormat="1" applyFont="1" applyFill="1" applyBorder="1"/>
    <xf numFmtId="37" fontId="4" fillId="0" borderId="10" xfId="0" quotePrefix="1" applyFont="1" applyBorder="1" applyAlignment="1">
      <alignment horizontal="right" vertical="center"/>
    </xf>
    <xf numFmtId="37" fontId="4" fillId="0" borderId="35" xfId="0" applyFont="1" applyBorder="1"/>
    <xf numFmtId="37" fontId="4" fillId="0" borderId="37" xfId="0" applyFont="1" applyBorder="1"/>
    <xf numFmtId="37" fontId="4" fillId="3" borderId="14" xfId="0" applyFont="1" applyFill="1" applyBorder="1" applyAlignment="1">
      <alignment horizontal="left"/>
    </xf>
    <xf numFmtId="37" fontId="4" fillId="6" borderId="7" xfId="0" applyFont="1" applyFill="1" applyBorder="1" applyAlignment="1">
      <alignment horizontal="center"/>
    </xf>
    <xf numFmtId="37" fontId="4" fillId="6" borderId="24" xfId="0" applyFont="1" applyFill="1" applyBorder="1" applyAlignment="1">
      <alignment horizontal="center"/>
    </xf>
    <xf numFmtId="37" fontId="4" fillId="9" borderId="1" xfId="0" applyFont="1" applyFill="1" applyBorder="1" applyAlignment="1">
      <alignment horizontal="center"/>
    </xf>
    <xf numFmtId="37" fontId="4" fillId="3" borderId="32" xfId="0" applyFont="1" applyFill="1" applyBorder="1" applyAlignment="1">
      <alignment horizontal="left"/>
    </xf>
    <xf numFmtId="37" fontId="4" fillId="6" borderId="5" xfId="0" applyFont="1" applyFill="1" applyBorder="1"/>
    <xf numFmtId="37" fontId="4" fillId="6" borderId="6" xfId="0" applyFont="1" applyFill="1" applyBorder="1"/>
    <xf numFmtId="37" fontId="4" fillId="6" borderId="4" xfId="0" applyFont="1" applyFill="1" applyBorder="1" applyAlignment="1" applyProtection="1">
      <alignment horizontal="center"/>
    </xf>
    <xf numFmtId="37" fontId="4" fillId="6" borderId="9" xfId="0" applyFont="1" applyFill="1" applyBorder="1" applyAlignment="1" applyProtection="1">
      <alignment horizontal="center"/>
    </xf>
    <xf numFmtId="49" fontId="7" fillId="0" borderId="0" xfId="0" quotePrefix="1" applyNumberFormat="1" applyFont="1" applyAlignment="1">
      <alignment horizontal="left"/>
    </xf>
    <xf numFmtId="37" fontId="7" fillId="0" borderId="0" xfId="0" quotePrefix="1" applyFont="1" applyAlignment="1">
      <alignment horizontal="right"/>
    </xf>
    <xf numFmtId="37" fontId="7" fillId="0" borderId="0" xfId="0" applyNumberFormat="1" applyFont="1" applyAlignment="1" applyProtection="1">
      <alignment horizontal="right"/>
    </xf>
    <xf numFmtId="171" fontId="7" fillId="6" borderId="6" xfId="0" applyNumberFormat="1" applyFont="1" applyFill="1" applyBorder="1" applyAlignment="1">
      <alignment vertical="center"/>
    </xf>
    <xf numFmtId="171" fontId="7" fillId="0" borderId="6" xfId="0" applyNumberFormat="1" applyFont="1" applyBorder="1" applyAlignment="1">
      <alignment vertical="center"/>
    </xf>
    <xf numFmtId="171" fontId="7" fillId="6" borderId="22" xfId="0" applyNumberFormat="1" applyFont="1" applyFill="1" applyBorder="1" applyAlignment="1">
      <alignment vertical="center"/>
    </xf>
    <xf numFmtId="171" fontId="7" fillId="0" borderId="22" xfId="0" applyNumberFormat="1" applyFont="1" applyBorder="1" applyAlignment="1">
      <alignment vertical="center"/>
    </xf>
    <xf numFmtId="171" fontId="4" fillId="6" borderId="18" xfId="0" applyNumberFormat="1" applyFont="1" applyFill="1" applyBorder="1" applyAlignment="1">
      <alignment vertical="center"/>
    </xf>
    <xf numFmtId="171" fontId="4" fillId="6" borderId="33" xfId="0" applyNumberFormat="1" applyFont="1" applyFill="1" applyBorder="1" applyAlignment="1">
      <alignment vertical="center"/>
    </xf>
    <xf numFmtId="37" fontId="4" fillId="6" borderId="7" xfId="0" applyFont="1" applyFill="1" applyBorder="1" applyAlignment="1">
      <alignment vertical="center"/>
    </xf>
    <xf numFmtId="37" fontId="4" fillId="6" borderId="24" xfId="0" applyFont="1" applyFill="1" applyBorder="1" applyAlignment="1">
      <alignment vertical="center"/>
    </xf>
    <xf numFmtId="37" fontId="4" fillId="6" borderId="8" xfId="0" applyFont="1" applyFill="1" applyBorder="1" applyAlignment="1">
      <alignment horizontal="centerContinuous"/>
    </xf>
    <xf numFmtId="169" fontId="4" fillId="0" borderId="24" xfId="8" applyNumberFormat="1" applyFont="1" applyFill="1" applyBorder="1"/>
    <xf numFmtId="37" fontId="3" fillId="0" borderId="0" xfId="0" applyFont="1"/>
    <xf numFmtId="49" fontId="13" fillId="0" borderId="0" xfId="0" applyNumberFormat="1" applyFont="1"/>
    <xf numFmtId="49" fontId="8" fillId="0" borderId="0" xfId="0" quotePrefix="1" applyNumberFormat="1" applyFont="1" applyAlignment="1">
      <alignment horizontal="right"/>
    </xf>
    <xf numFmtId="37" fontId="4" fillId="0" borderId="26" xfId="0" applyNumberFormat="1" applyFont="1" applyBorder="1" applyProtection="1"/>
    <xf numFmtId="0" fontId="4" fillId="6" borderId="8" xfId="5" quotePrefix="1" applyFont="1" applyFill="1" applyBorder="1" applyAlignment="1">
      <alignment horizontal="center"/>
    </xf>
    <xf numFmtId="37" fontId="4" fillId="7" borderId="4" xfId="0" applyFont="1" applyFill="1" applyBorder="1" applyAlignment="1">
      <alignment horizontal="center"/>
    </xf>
    <xf numFmtId="37" fontId="0" fillId="0" borderId="11" xfId="0" applyBorder="1"/>
    <xf numFmtId="49" fontId="7" fillId="0" borderId="0" xfId="5" quotePrefix="1" applyNumberFormat="1" applyFont="1" applyAlignment="1">
      <alignment horizontal="left"/>
    </xf>
    <xf numFmtId="37" fontId="7" fillId="3" borderId="25" xfId="0" applyFont="1" applyFill="1" applyBorder="1" applyAlignment="1">
      <alignment horizontal="centerContinuous"/>
    </xf>
    <xf numFmtId="37" fontId="7" fillId="3" borderId="27" xfId="0" applyFont="1" applyFill="1" applyBorder="1" applyAlignment="1">
      <alignment horizontal="centerContinuous"/>
    </xf>
    <xf numFmtId="37" fontId="4" fillId="6" borderId="24" xfId="0" applyFont="1" applyFill="1" applyBorder="1" applyAlignment="1">
      <alignment horizontal="center" vertical="center"/>
    </xf>
    <xf numFmtId="37" fontId="4" fillId="3" borderId="23" xfId="0" applyFont="1" applyFill="1" applyBorder="1" applyAlignment="1">
      <alignment horizontal="centerContinuous"/>
    </xf>
    <xf numFmtId="37" fontId="0" fillId="0" borderId="0" xfId="0" applyBorder="1"/>
    <xf numFmtId="37" fontId="4" fillId="3" borderId="11" xfId="0" applyFont="1" applyFill="1" applyBorder="1" applyAlignment="1">
      <alignment horizontal="left"/>
    </xf>
    <xf numFmtId="37" fontId="7" fillId="3" borderId="11" xfId="0" applyFont="1" applyFill="1" applyBorder="1"/>
    <xf numFmtId="49" fontId="21" fillId="0" borderId="0" xfId="4" applyNumberFormat="1" applyFont="1" applyAlignment="1" applyProtection="1">
      <alignment horizontal="left" indent="2"/>
    </xf>
    <xf numFmtId="165" fontId="0" fillId="0" borderId="0" xfId="2" applyFont="1"/>
    <xf numFmtId="37" fontId="7" fillId="0" borderId="13" xfId="0" applyFont="1" applyFill="1" applyBorder="1" applyAlignment="1">
      <alignment horizontal="center"/>
    </xf>
    <xf numFmtId="37" fontId="4" fillId="6" borderId="43" xfId="0" applyFont="1" applyFill="1" applyBorder="1" applyAlignment="1">
      <alignment horizontal="centerContinuous"/>
    </xf>
    <xf numFmtId="37" fontId="4" fillId="0" borderId="12" xfId="0" quotePrefix="1" applyFont="1" applyBorder="1" applyAlignment="1">
      <alignment horizontal="center" vertical="center"/>
    </xf>
    <xf numFmtId="37" fontId="4" fillId="0" borderId="2" xfId="0" applyFont="1" applyBorder="1" applyAlignment="1">
      <alignment horizontal="left" vertical="center"/>
    </xf>
    <xf numFmtId="37" fontId="4" fillId="0" borderId="3" xfId="0" quotePrefix="1" applyFont="1" applyBorder="1" applyAlignment="1">
      <alignment horizontal="right" vertical="center"/>
    </xf>
    <xf numFmtId="37" fontId="23" fillId="0" borderId="7" xfId="0" applyFont="1" applyFill="1" applyBorder="1" applyAlignment="1">
      <alignment horizontal="centerContinuous" vertical="center"/>
    </xf>
    <xf numFmtId="37" fontId="12" fillId="0" borderId="12" xfId="0" quotePrefix="1" applyFont="1" applyBorder="1" applyAlignment="1">
      <alignment horizontal="left" vertical="center"/>
    </xf>
    <xf numFmtId="37" fontId="4" fillId="6" borderId="35" xfId="0" applyFont="1" applyFill="1" applyBorder="1" applyAlignment="1">
      <alignment horizontal="center"/>
    </xf>
    <xf numFmtId="49" fontId="4" fillId="0" borderId="23" xfId="0" quotePrefix="1" applyNumberFormat="1" applyFont="1" applyFill="1" applyBorder="1" applyAlignment="1">
      <alignment horizontal="center" vertical="center"/>
    </xf>
    <xf numFmtId="166" fontId="7" fillId="0" borderId="0" xfId="6" applyNumberFormat="1" applyFont="1" applyProtection="1"/>
    <xf numFmtId="0" fontId="7" fillId="3" borderId="0" xfId="6" applyFont="1" applyFill="1"/>
    <xf numFmtId="0" fontId="7" fillId="0" borderId="0" xfId="6" applyFont="1"/>
    <xf numFmtId="0" fontId="4" fillId="0" borderId="2" xfId="6" applyFont="1" applyFill="1" applyBorder="1" applyAlignment="1">
      <alignment horizontal="centerContinuous"/>
    </xf>
    <xf numFmtId="0" fontId="7" fillId="3" borderId="2" xfId="6" applyFont="1" applyFill="1" applyBorder="1" applyAlignment="1">
      <alignment horizontal="centerContinuous"/>
    </xf>
    <xf numFmtId="0" fontId="7" fillId="3" borderId="3" xfId="6" applyFont="1" applyFill="1" applyBorder="1" applyAlignment="1">
      <alignment horizontal="centerContinuous"/>
    </xf>
    <xf numFmtId="0" fontId="4" fillId="0" borderId="8" xfId="6" applyFont="1" applyBorder="1"/>
    <xf numFmtId="0" fontId="4" fillId="0" borderId="0" xfId="6" applyFont="1"/>
    <xf numFmtId="166" fontId="10" fillId="0" borderId="0" xfId="6" applyNumberFormat="1" applyFont="1" applyProtection="1">
      <protection locked="0"/>
    </xf>
    <xf numFmtId="171" fontId="7" fillId="0" borderId="0" xfId="6" applyNumberFormat="1" applyFont="1"/>
    <xf numFmtId="49" fontId="7" fillId="0" borderId="1" xfId="6" applyNumberFormat="1" applyFont="1" applyBorder="1" applyAlignment="1">
      <alignment vertical="center"/>
    </xf>
    <xf numFmtId="171" fontId="7" fillId="0" borderId="1" xfId="6" applyNumberFormat="1" applyFont="1" applyBorder="1" applyAlignment="1">
      <alignment vertical="center"/>
    </xf>
    <xf numFmtId="175" fontId="7" fillId="0" borderId="1" xfId="6" applyNumberFormat="1" applyFont="1" applyBorder="1" applyAlignment="1">
      <alignment vertical="center"/>
    </xf>
    <xf numFmtId="0" fontId="7" fillId="0" borderId="11" xfId="6" applyFont="1" applyBorder="1"/>
    <xf numFmtId="171" fontId="7" fillId="0" borderId="11" xfId="6" applyNumberFormat="1" applyFont="1" applyBorder="1"/>
    <xf numFmtId="0" fontId="7" fillId="0" borderId="0" xfId="6" applyFont="1" applyAlignment="1"/>
    <xf numFmtId="0" fontId="8" fillId="0" borderId="0" xfId="6" applyFont="1" applyAlignment="1"/>
    <xf numFmtId="49" fontId="7" fillId="10" borderId="1" xfId="6" applyNumberFormat="1" applyFont="1" applyFill="1" applyBorder="1" applyAlignment="1">
      <alignment vertical="center"/>
    </xf>
    <xf numFmtId="171" fontId="7" fillId="10" borderId="1" xfId="6" applyNumberFormat="1" applyFont="1" applyFill="1" applyBorder="1" applyAlignment="1">
      <alignment vertical="center"/>
    </xf>
    <xf numFmtId="175" fontId="7" fillId="10" borderId="1" xfId="6" applyNumberFormat="1" applyFont="1" applyFill="1" applyBorder="1" applyAlignment="1">
      <alignment vertical="center"/>
    </xf>
    <xf numFmtId="49" fontId="4" fillId="10" borderId="19" xfId="3" applyNumberFormat="1" applyFont="1" applyFill="1" applyBorder="1" applyAlignment="1">
      <alignment vertical="center"/>
    </xf>
    <xf numFmtId="171" fontId="4" fillId="10" borderId="23" xfId="6" applyNumberFormat="1" applyFont="1" applyFill="1" applyBorder="1"/>
    <xf numFmtId="175" fontId="4" fillId="10" borderId="23" xfId="6" applyNumberFormat="1" applyFont="1" applyFill="1" applyBorder="1"/>
    <xf numFmtId="0" fontId="4" fillId="5" borderId="19" xfId="6" applyNumberFormat="1" applyFont="1" applyFill="1" applyBorder="1" applyAlignment="1">
      <alignment horizontal="center"/>
    </xf>
    <xf numFmtId="39" fontId="3" fillId="0" borderId="0" xfId="7" applyFont="1"/>
    <xf numFmtId="39" fontId="3" fillId="0" borderId="0" xfId="7" applyFont="1" applyAlignment="1">
      <alignment horizontal="left"/>
    </xf>
    <xf numFmtId="39" fontId="3" fillId="0" borderId="3" xfId="7" applyFont="1" applyBorder="1"/>
    <xf numFmtId="176" fontId="3" fillId="0" borderId="3" xfId="7" applyNumberFormat="1" applyFont="1" applyBorder="1" applyProtection="1"/>
    <xf numFmtId="37" fontId="3" fillId="0" borderId="0" xfId="7" applyNumberFormat="1" applyFont="1"/>
    <xf numFmtId="37" fontId="4" fillId="3" borderId="13" xfId="0" applyFont="1" applyFill="1" applyBorder="1" applyAlignment="1">
      <alignment horizontal="left" vertical="center"/>
    </xf>
    <xf numFmtId="37" fontId="7" fillId="0" borderId="0" xfId="0" applyFont="1" applyFill="1"/>
    <xf numFmtId="49" fontId="7" fillId="0" borderId="11" xfId="0" applyNumberFormat="1" applyFont="1" applyBorder="1"/>
    <xf numFmtId="37" fontId="4" fillId="11" borderId="4" xfId="0" applyFont="1" applyFill="1" applyBorder="1" applyAlignment="1">
      <alignment horizontal="centerContinuous"/>
    </xf>
    <xf numFmtId="37" fontId="4" fillId="10" borderId="4" xfId="0" quotePrefix="1" applyFont="1" applyFill="1" applyBorder="1" applyAlignment="1">
      <alignment horizontal="center"/>
    </xf>
    <xf numFmtId="37" fontId="4" fillId="10" borderId="4" xfId="0" applyFont="1" applyFill="1" applyBorder="1" applyAlignment="1">
      <alignment horizontal="center"/>
    </xf>
    <xf numFmtId="37" fontId="4" fillId="3" borderId="32" xfId="0" quotePrefix="1" applyFont="1" applyFill="1" applyBorder="1" applyAlignment="1">
      <alignment horizontal="left"/>
    </xf>
    <xf numFmtId="0" fontId="7" fillId="12" borderId="0" xfId="0" applyNumberFormat="1" applyFont="1" applyFill="1" applyAlignment="1">
      <alignment horizontal="center"/>
    </xf>
    <xf numFmtId="0" fontId="4" fillId="5" borderId="19" xfId="0" applyNumberFormat="1" applyFont="1" applyFill="1" applyBorder="1" applyAlignment="1">
      <alignment horizontal="center"/>
    </xf>
    <xf numFmtId="0" fontId="4" fillId="5" borderId="19" xfId="0" quotePrefix="1" applyNumberFormat="1" applyFont="1" applyFill="1" applyBorder="1" applyAlignment="1">
      <alignment horizontal="center"/>
    </xf>
    <xf numFmtId="37" fontId="4" fillId="6" borderId="35" xfId="0" applyFont="1" applyFill="1" applyBorder="1" applyAlignment="1" applyProtection="1">
      <alignment horizontal="centerContinuous"/>
    </xf>
    <xf numFmtId="37" fontId="4" fillId="6" borderId="36" xfId="0" applyFont="1" applyFill="1" applyBorder="1" applyAlignment="1" applyProtection="1">
      <alignment horizontal="centerContinuous"/>
    </xf>
    <xf numFmtId="37" fontId="4" fillId="6" borderId="37" xfId="0" applyFont="1" applyFill="1" applyBorder="1" applyAlignment="1" applyProtection="1">
      <alignment horizontal="centerContinuous"/>
    </xf>
    <xf numFmtId="37" fontId="4" fillId="6" borderId="38" xfId="0" applyFont="1" applyFill="1" applyBorder="1" applyAlignment="1" applyProtection="1">
      <alignment horizontal="centerContinuous"/>
    </xf>
    <xf numFmtId="37" fontId="26" fillId="0" borderId="0" xfId="0" applyFont="1"/>
    <xf numFmtId="37" fontId="26" fillId="0" borderId="0" xfId="0" applyFont="1" applyAlignment="1">
      <alignment horizontal="right"/>
    </xf>
    <xf numFmtId="37" fontId="26" fillId="0" borderId="0" xfId="0" quotePrefix="1" applyFont="1" applyAlignment="1">
      <alignment horizontal="left"/>
    </xf>
    <xf numFmtId="0" fontId="26" fillId="0" borderId="0" xfId="6" applyFont="1"/>
    <xf numFmtId="171" fontId="26" fillId="0" borderId="0" xfId="6" applyNumberFormat="1" applyFont="1"/>
    <xf numFmtId="177" fontId="26" fillId="0" borderId="0" xfId="6" applyNumberFormat="1" applyFont="1"/>
    <xf numFmtId="173" fontId="7" fillId="0" borderId="0" xfId="0" applyNumberFormat="1" applyFont="1"/>
    <xf numFmtId="0" fontId="7" fillId="0" borderId="0" xfId="5" quotePrefix="1" applyFont="1" applyBorder="1" applyAlignment="1">
      <alignment horizontal="left"/>
    </xf>
    <xf numFmtId="37" fontId="7" fillId="0" borderId="0" xfId="0" quotePrefix="1" applyFont="1"/>
    <xf numFmtId="37" fontId="24" fillId="0" borderId="11" xfId="0" applyFont="1" applyBorder="1"/>
    <xf numFmtId="37" fontId="4" fillId="6" borderId="44" xfId="0" applyFont="1" applyFill="1" applyBorder="1" applyAlignment="1">
      <alignment horizontal="centerContinuous"/>
    </xf>
    <xf numFmtId="37" fontId="4" fillId="8" borderId="9" xfId="0" applyFont="1" applyFill="1" applyBorder="1" applyAlignment="1">
      <alignment horizontal="center" wrapText="1"/>
    </xf>
    <xf numFmtId="37" fontId="4" fillId="8" borderId="9" xfId="0" applyFont="1" applyFill="1" applyBorder="1" applyAlignment="1">
      <alignment wrapText="1"/>
    </xf>
    <xf numFmtId="37" fontId="4" fillId="9" borderId="45" xfId="0" applyFont="1" applyFill="1" applyBorder="1" applyAlignment="1">
      <alignment horizontal="center"/>
    </xf>
    <xf numFmtId="166" fontId="7" fillId="0" borderId="11" xfId="0" applyNumberFormat="1" applyFont="1" applyBorder="1" applyProtection="1"/>
    <xf numFmtId="37" fontId="27" fillId="0" borderId="0" xfId="0" applyFont="1"/>
    <xf numFmtId="182" fontId="7" fillId="0" borderId="0" xfId="7" applyNumberFormat="1" applyFont="1" applyBorder="1" applyProtection="1"/>
    <xf numFmtId="37" fontId="4" fillId="0" borderId="0" xfId="7" applyNumberFormat="1" applyFont="1" applyBorder="1" applyAlignment="1" applyProtection="1">
      <alignment horizontal="centerContinuous"/>
    </xf>
    <xf numFmtId="39" fontId="7" fillId="0" borderId="0" xfId="7" applyFont="1"/>
    <xf numFmtId="166" fontId="7" fillId="0" borderId="2" xfId="7" applyNumberFormat="1" applyFont="1" applyBorder="1" applyAlignment="1" applyProtection="1">
      <alignment horizontal="left"/>
    </xf>
    <xf numFmtId="166" fontId="7" fillId="0" borderId="3" xfId="7" applyNumberFormat="1" applyFont="1" applyBorder="1" applyAlignment="1" applyProtection="1">
      <alignment horizontal="left"/>
    </xf>
    <xf numFmtId="37" fontId="7" fillId="0" borderId="0" xfId="7" applyNumberFormat="1" applyFont="1" applyProtection="1"/>
    <xf numFmtId="39" fontId="4" fillId="0" borderId="14" xfId="7" applyFont="1" applyBorder="1" applyProtection="1"/>
    <xf numFmtId="39" fontId="4" fillId="3" borderId="20" xfId="7" applyFont="1" applyFill="1" applyBorder="1" applyProtection="1"/>
    <xf numFmtId="39" fontId="7" fillId="3" borderId="0" xfId="7" applyFont="1" applyFill="1" applyProtection="1"/>
    <xf numFmtId="168" fontId="7" fillId="10" borderId="1" xfId="7" applyNumberFormat="1" applyFont="1" applyFill="1" applyBorder="1"/>
    <xf numFmtId="168" fontId="7" fillId="3" borderId="1" xfId="7" applyNumberFormat="1" applyFont="1" applyFill="1" applyBorder="1"/>
    <xf numFmtId="168" fontId="4" fillId="10" borderId="19" xfId="7" applyNumberFormat="1" applyFont="1" applyFill="1" applyBorder="1"/>
    <xf numFmtId="168" fontId="7" fillId="0" borderId="0" xfId="7" applyNumberFormat="1" applyFont="1"/>
    <xf numFmtId="39" fontId="7" fillId="0" borderId="1" xfId="7" applyFont="1" applyBorder="1" applyProtection="1"/>
    <xf numFmtId="39" fontId="7" fillId="10" borderId="1" xfId="7" applyFont="1" applyFill="1" applyBorder="1" applyProtection="1"/>
    <xf numFmtId="37" fontId="25" fillId="0" borderId="0" xfId="0" applyFont="1" applyAlignment="1">
      <alignment horizontal="left" indent="5"/>
    </xf>
    <xf numFmtId="37" fontId="7" fillId="0" borderId="31" xfId="0" applyFont="1" applyBorder="1"/>
    <xf numFmtId="0" fontId="7" fillId="0" borderId="0" xfId="0" applyNumberFormat="1" applyFont="1" applyAlignment="1"/>
    <xf numFmtId="37" fontId="4" fillId="6" borderId="52" xfId="0" applyFont="1" applyFill="1" applyBorder="1" applyAlignment="1">
      <alignment horizontal="centerContinuous"/>
    </xf>
    <xf numFmtId="37" fontId="4" fillId="6" borderId="53" xfId="0" applyFont="1" applyFill="1" applyBorder="1" applyAlignment="1">
      <alignment horizontal="centerContinuous"/>
    </xf>
    <xf numFmtId="37" fontId="4" fillId="6" borderId="54" xfId="0" applyFont="1" applyFill="1" applyBorder="1" applyAlignment="1">
      <alignment horizontal="centerContinuous"/>
    </xf>
    <xf numFmtId="37" fontId="4" fillId="6" borderId="55" xfId="0" applyFont="1" applyFill="1" applyBorder="1" applyAlignment="1">
      <alignment horizontal="center"/>
    </xf>
    <xf numFmtId="37" fontId="4" fillId="6" borderId="56" xfId="0" applyFont="1" applyFill="1" applyBorder="1" applyAlignment="1">
      <alignment horizontal="center"/>
    </xf>
    <xf numFmtId="37" fontId="4" fillId="0" borderId="1" xfId="0" quotePrefix="1" applyFont="1" applyBorder="1" applyAlignment="1">
      <alignment horizontal="center"/>
    </xf>
    <xf numFmtId="37" fontId="4" fillId="0" borderId="9" xfId="0" quotePrefix="1" applyFont="1" applyBorder="1" applyAlignment="1">
      <alignment horizontal="center"/>
    </xf>
    <xf numFmtId="37" fontId="15" fillId="3" borderId="2" xfId="0" quotePrefix="1" applyFont="1" applyFill="1" applyBorder="1" applyAlignment="1">
      <alignment horizontal="left" vertical="center"/>
    </xf>
    <xf numFmtId="37" fontId="15" fillId="3" borderId="0" xfId="0" quotePrefix="1" applyFont="1" applyFill="1" applyBorder="1" applyAlignment="1">
      <alignment horizontal="left" vertical="center"/>
    </xf>
    <xf numFmtId="166" fontId="15" fillId="0" borderId="0" xfId="0" quotePrefix="1" applyNumberFormat="1" applyFont="1" applyBorder="1" applyAlignment="1" applyProtection="1">
      <alignment horizontal="left"/>
    </xf>
    <xf numFmtId="37" fontId="15" fillId="0" borderId="0" xfId="0" quotePrefix="1" applyFont="1" applyAlignment="1">
      <alignment horizontal="left"/>
    </xf>
    <xf numFmtId="37" fontId="15" fillId="0" borderId="11" xfId="0" quotePrefix="1" applyFont="1" applyBorder="1" applyAlignment="1">
      <alignment horizontal="left"/>
    </xf>
    <xf numFmtId="166" fontId="15" fillId="0" borderId="11" xfId="0" quotePrefix="1" applyNumberFormat="1" applyFont="1" applyBorder="1" applyAlignment="1" applyProtection="1">
      <alignment horizontal="left" vertical="center"/>
    </xf>
    <xf numFmtId="166" fontId="15" fillId="0" borderId="3" xfId="0" quotePrefix="1" applyNumberFormat="1" applyFont="1" applyBorder="1" applyAlignment="1" applyProtection="1">
      <alignment horizontal="left" vertical="center"/>
    </xf>
    <xf numFmtId="166" fontId="15" fillId="0" borderId="3" xfId="0" quotePrefix="1" applyNumberFormat="1" applyFont="1" applyBorder="1" applyAlignment="1" applyProtection="1">
      <alignment horizontal="left"/>
    </xf>
    <xf numFmtId="37" fontId="4" fillId="3" borderId="3" xfId="6" quotePrefix="1" applyNumberFormat="1" applyFont="1" applyFill="1" applyBorder="1" applyAlignment="1" applyProtection="1">
      <alignment horizontal="centerContinuous" vertical="center"/>
    </xf>
    <xf numFmtId="37" fontId="4" fillId="3" borderId="11" xfId="0" applyFont="1" applyFill="1" applyBorder="1" applyAlignment="1" applyProtection="1">
      <alignment horizontal="centerContinuous" vertical="top"/>
    </xf>
    <xf numFmtId="37" fontId="7" fillId="0" borderId="0" xfId="0" applyFont="1" applyFill="1" applyAlignment="1">
      <alignment horizontal="right"/>
    </xf>
    <xf numFmtId="37" fontId="4" fillId="0" borderId="0" xfId="0" quotePrefix="1" applyFont="1" applyAlignment="1">
      <alignment horizontal="left"/>
    </xf>
    <xf numFmtId="37" fontId="7" fillId="3" borderId="2" xfId="0" applyFont="1" applyFill="1" applyBorder="1"/>
    <xf numFmtId="165" fontId="26" fillId="0" borderId="0" xfId="2" applyFont="1"/>
    <xf numFmtId="37" fontId="28" fillId="0" borderId="0" xfId="0" applyFont="1" applyAlignment="1">
      <alignment horizontal="right"/>
    </xf>
    <xf numFmtId="171" fontId="7" fillId="6" borderId="62" xfId="0" applyNumberFormat="1" applyFont="1" applyFill="1" applyBorder="1" applyAlignment="1">
      <alignment vertical="center"/>
    </xf>
    <xf numFmtId="171" fontId="7" fillId="0" borderId="62" xfId="0" applyNumberFormat="1" applyFont="1" applyBorder="1" applyAlignment="1">
      <alignment vertical="center"/>
    </xf>
    <xf numFmtId="37" fontId="0" fillId="0" borderId="0" xfId="0"/>
    <xf numFmtId="37" fontId="7" fillId="0" borderId="23" xfId="0" applyFont="1" applyBorder="1"/>
    <xf numFmtId="37" fontId="7" fillId="13" borderId="32" xfId="0" applyFont="1" applyFill="1" applyBorder="1" applyAlignment="1">
      <alignment horizontal="right"/>
    </xf>
    <xf numFmtId="37" fontId="7" fillId="13" borderId="23" xfId="0" applyFont="1" applyFill="1" applyBorder="1"/>
    <xf numFmtId="37" fontId="4" fillId="6" borderId="5" xfId="0" applyFont="1" applyFill="1" applyBorder="1" applyAlignment="1">
      <alignment horizontal="center"/>
    </xf>
    <xf numFmtId="37" fontId="4" fillId="3" borderId="14" xfId="0" applyFont="1" applyFill="1" applyBorder="1"/>
    <xf numFmtId="37" fontId="4" fillId="3" borderId="2" xfId="0" applyFont="1" applyFill="1" applyBorder="1"/>
    <xf numFmtId="37" fontId="4" fillId="3" borderId="14" xfId="0" quotePrefix="1" applyFont="1" applyFill="1" applyBorder="1" applyAlignment="1">
      <alignment horizontal="left"/>
    </xf>
    <xf numFmtId="37" fontId="4" fillId="0" borderId="12" xfId="0" applyFont="1" applyFill="1" applyBorder="1" applyAlignment="1">
      <alignment horizontal="centerContinuous"/>
    </xf>
    <xf numFmtId="37" fontId="4" fillId="0" borderId="48" xfId="0" applyFont="1" applyFill="1" applyBorder="1" applyAlignment="1">
      <alignment horizontal="centerContinuous"/>
    </xf>
    <xf numFmtId="37" fontId="4" fillId="0" borderId="35" xfId="0" applyFont="1" applyFill="1" applyBorder="1" applyAlignment="1">
      <alignment horizontal="centerContinuous" vertical="center"/>
    </xf>
    <xf numFmtId="37" fontId="4" fillId="3" borderId="3" xfId="0" applyFont="1" applyFill="1" applyBorder="1" applyAlignment="1">
      <alignment horizontal="centerContinuous"/>
    </xf>
    <xf numFmtId="37" fontId="4" fillId="10" borderId="5" xfId="0" applyNumberFormat="1" applyFont="1" applyFill="1" applyBorder="1" applyAlignment="1" applyProtection="1">
      <alignment horizontal="center"/>
    </xf>
    <xf numFmtId="37" fontId="4" fillId="6" borderId="6" xfId="0" applyFont="1" applyFill="1" applyBorder="1" applyAlignment="1">
      <alignment horizontal="center"/>
    </xf>
    <xf numFmtId="49" fontId="4" fillId="0" borderId="35" xfId="0" applyNumberFormat="1" applyFont="1" applyBorder="1"/>
    <xf numFmtId="49" fontId="4" fillId="0" borderId="37" xfId="0" applyNumberFormat="1" applyFont="1" applyBorder="1"/>
    <xf numFmtId="0" fontId="4" fillId="0" borderId="35" xfId="6" applyFont="1" applyBorder="1"/>
    <xf numFmtId="49" fontId="4" fillId="5" borderId="9" xfId="6" applyNumberFormat="1" applyFont="1" applyFill="1" applyBorder="1" applyAlignment="1">
      <alignment horizontal="center"/>
    </xf>
    <xf numFmtId="0" fontId="4" fillId="5" borderId="9" xfId="6" applyNumberFormat="1" applyFont="1" applyFill="1" applyBorder="1" applyAlignment="1">
      <alignment horizontal="center" vertical="center" wrapText="1"/>
    </xf>
    <xf numFmtId="37" fontId="4" fillId="7" borderId="2" xfId="0" applyFont="1" applyFill="1" applyBorder="1" applyAlignment="1"/>
    <xf numFmtId="0" fontId="4" fillId="5" borderId="9" xfId="0" applyNumberFormat="1" applyFont="1" applyFill="1" applyBorder="1" applyAlignment="1">
      <alignment horizontal="center"/>
    </xf>
    <xf numFmtId="0" fontId="4" fillId="5" borderId="9" xfId="0" quotePrefix="1" applyNumberFormat="1" applyFont="1" applyFill="1" applyBorder="1" applyAlignment="1">
      <alignment horizontal="center"/>
    </xf>
    <xf numFmtId="37" fontId="27" fillId="0" borderId="0" xfId="0" applyFont="1" applyAlignment="1">
      <alignment horizontal="right"/>
    </xf>
    <xf numFmtId="37" fontId="7" fillId="0" borderId="0" xfId="0" applyFont="1" applyBorder="1" applyAlignment="1"/>
    <xf numFmtId="37" fontId="7" fillId="0" borderId="0" xfId="0" quotePrefix="1" applyFont="1" applyAlignment="1">
      <alignment horizontal="left" vertical="top" wrapText="1"/>
    </xf>
    <xf numFmtId="37" fontId="4" fillId="3" borderId="57" xfId="0" quotePrefix="1" applyFont="1" applyFill="1" applyBorder="1" applyAlignment="1">
      <alignment horizontal="center" wrapText="1"/>
    </xf>
    <xf numFmtId="37" fontId="4" fillId="3" borderId="63" xfId="0" applyFont="1" applyFill="1" applyBorder="1" applyAlignment="1">
      <alignment horizontal="center" wrapText="1"/>
    </xf>
    <xf numFmtId="37" fontId="4" fillId="3" borderId="4" xfId="0" quotePrefix="1" applyFont="1" applyFill="1" applyBorder="1" applyAlignment="1">
      <alignment horizontal="center" wrapText="1"/>
    </xf>
    <xf numFmtId="37" fontId="4" fillId="3" borderId="1" xfId="0" applyFont="1" applyFill="1" applyBorder="1" applyAlignment="1">
      <alignment horizontal="center" wrapText="1"/>
    </xf>
    <xf numFmtId="37" fontId="4" fillId="3" borderId="9" xfId="0" applyFont="1" applyFill="1" applyBorder="1" applyAlignment="1">
      <alignment horizontal="center" wrapText="1"/>
    </xf>
    <xf numFmtId="0" fontId="4" fillId="3" borderId="4" xfId="0" quotePrefix="1" applyNumberFormat="1" applyFont="1" applyFill="1" applyBorder="1" applyAlignment="1">
      <alignment horizontal="center" wrapText="1"/>
    </xf>
    <xf numFmtId="0" fontId="4" fillId="3" borderId="1" xfId="0" applyNumberFormat="1" applyFont="1" applyFill="1" applyBorder="1" applyAlignment="1">
      <alignment horizontal="center" wrapText="1"/>
    </xf>
    <xf numFmtId="0" fontId="4" fillId="3" borderId="9" xfId="0" applyNumberFormat="1" applyFont="1" applyFill="1" applyBorder="1" applyAlignment="1">
      <alignment horizontal="center" wrapText="1"/>
    </xf>
    <xf numFmtId="37" fontId="4" fillId="3" borderId="1" xfId="0" quotePrefix="1" applyFont="1" applyFill="1" applyBorder="1" applyAlignment="1">
      <alignment horizontal="center" wrapText="1"/>
    </xf>
    <xf numFmtId="37" fontId="4" fillId="3" borderId="9" xfId="0" quotePrefix="1" applyFont="1" applyFill="1" applyBorder="1" applyAlignment="1">
      <alignment horizontal="center" wrapText="1"/>
    </xf>
    <xf numFmtId="37" fontId="4" fillId="3" borderId="12" xfId="0" quotePrefix="1" applyFont="1" applyFill="1" applyBorder="1" applyAlignment="1">
      <alignment horizontal="center" vertical="center"/>
    </xf>
    <xf numFmtId="37" fontId="4" fillId="3" borderId="12" xfId="0" applyFont="1" applyFill="1" applyBorder="1" applyAlignment="1">
      <alignment horizontal="center" vertical="center"/>
    </xf>
    <xf numFmtId="37" fontId="4" fillId="3" borderId="11" xfId="0" applyFont="1" applyFill="1" applyBorder="1" applyAlignment="1">
      <alignment horizontal="center" vertical="center"/>
    </xf>
    <xf numFmtId="0" fontId="7" fillId="0" borderId="12" xfId="0" quotePrefix="1" applyNumberFormat="1" applyFont="1" applyBorder="1" applyAlignment="1">
      <alignment horizontal="left" wrapText="1"/>
    </xf>
    <xf numFmtId="0" fontId="7" fillId="0" borderId="0" xfId="0" quotePrefix="1" applyNumberFormat="1" applyFont="1" applyAlignment="1">
      <alignment horizontal="left" wrapText="1"/>
    </xf>
    <xf numFmtId="37" fontId="4" fillId="0" borderId="57" xfId="0" quotePrefix="1" applyFont="1" applyBorder="1" applyAlignment="1" applyProtection="1">
      <alignment horizontal="center" vertical="center" wrapText="1"/>
    </xf>
    <xf numFmtId="37" fontId="4" fillId="0" borderId="63" xfId="0" quotePrefix="1" applyFont="1" applyBorder="1" applyAlignment="1" applyProtection="1">
      <alignment horizontal="center" vertical="center" wrapText="1"/>
    </xf>
    <xf numFmtId="37" fontId="4" fillId="0" borderId="64" xfId="0" quotePrefix="1" applyFont="1" applyBorder="1" applyAlignment="1" applyProtection="1">
      <alignment horizontal="center" vertical="center" wrapText="1"/>
    </xf>
    <xf numFmtId="37" fontId="4" fillId="0" borderId="42" xfId="0" quotePrefix="1" applyFont="1" applyBorder="1" applyAlignment="1" applyProtection="1">
      <alignment horizontal="center" vertical="center" wrapText="1"/>
    </xf>
    <xf numFmtId="37" fontId="4" fillId="0" borderId="65" xfId="0" quotePrefix="1" applyFont="1" applyBorder="1" applyAlignment="1" applyProtection="1">
      <alignment horizontal="center" vertical="center" wrapText="1"/>
    </xf>
    <xf numFmtId="37" fontId="4" fillId="0" borderId="29" xfId="0" quotePrefix="1" applyFont="1" applyBorder="1" applyAlignment="1" applyProtection="1">
      <alignment horizontal="center" vertical="center" wrapText="1"/>
    </xf>
    <xf numFmtId="37" fontId="4" fillId="0" borderId="4" xfId="0" quotePrefix="1" applyFont="1" applyBorder="1" applyAlignment="1" applyProtection="1">
      <alignment horizontal="center" vertical="center" wrapText="1"/>
    </xf>
    <xf numFmtId="37" fontId="4" fillId="0" borderId="9" xfId="0" quotePrefix="1" applyFont="1" applyBorder="1" applyAlignment="1" applyProtection="1">
      <alignment horizontal="center" vertical="center" wrapText="1"/>
    </xf>
    <xf numFmtId="37" fontId="4" fillId="3" borderId="4" xfId="0" applyFont="1" applyFill="1" applyBorder="1" applyAlignment="1">
      <alignment horizontal="center" wrapText="1"/>
    </xf>
    <xf numFmtId="37" fontId="4" fillId="3" borderId="66" xfId="0" quotePrefix="1" applyFont="1" applyFill="1" applyBorder="1" applyAlignment="1">
      <alignment horizontal="center" wrapText="1"/>
    </xf>
    <xf numFmtId="37" fontId="7" fillId="0" borderId="12" xfId="0" quotePrefix="1" applyFont="1" applyBorder="1" applyAlignment="1">
      <alignment horizontal="left" wrapText="1"/>
    </xf>
    <xf numFmtId="37" fontId="7" fillId="0" borderId="0" xfId="0" quotePrefix="1" applyFont="1" applyAlignment="1">
      <alignment horizontal="left" wrapText="1"/>
    </xf>
    <xf numFmtId="37" fontId="4" fillId="3" borderId="60" xfId="0" quotePrefix="1" applyFont="1" applyFill="1" applyBorder="1" applyAlignment="1">
      <alignment horizontal="center" wrapText="1"/>
    </xf>
    <xf numFmtId="37" fontId="4" fillId="3" borderId="67" xfId="0" quotePrefix="1" applyFont="1" applyFill="1" applyBorder="1" applyAlignment="1">
      <alignment horizontal="center" wrapText="1"/>
    </xf>
    <xf numFmtId="37" fontId="4" fillId="3" borderId="61" xfId="0" quotePrefix="1" applyFont="1" applyFill="1" applyBorder="1" applyAlignment="1">
      <alignment horizontal="center" wrapText="1"/>
    </xf>
    <xf numFmtId="49" fontId="4" fillId="0" borderId="39" xfId="0" quotePrefix="1" applyNumberFormat="1" applyFont="1" applyBorder="1" applyAlignment="1">
      <alignment horizontal="center" vertical="center"/>
    </xf>
    <xf numFmtId="49" fontId="4" fillId="0" borderId="13" xfId="0" quotePrefix="1" applyNumberFormat="1" applyFont="1" applyBorder="1" applyAlignment="1">
      <alignment horizontal="center" vertical="center"/>
    </xf>
    <xf numFmtId="49" fontId="4" fillId="0" borderId="51" xfId="0" quotePrefix="1" applyNumberFormat="1" applyFont="1" applyBorder="1" applyAlignment="1">
      <alignment horizontal="center" vertical="center"/>
    </xf>
    <xf numFmtId="37" fontId="4" fillId="3" borderId="59" xfId="0" quotePrefix="1" applyFont="1" applyFill="1" applyBorder="1" applyAlignment="1">
      <alignment horizontal="center" wrapText="1"/>
    </xf>
    <xf numFmtId="37" fontId="4" fillId="3" borderId="60" xfId="0" applyFont="1" applyFill="1" applyBorder="1" applyAlignment="1">
      <alignment horizontal="center" wrapText="1"/>
    </xf>
    <xf numFmtId="37" fontId="4" fillId="3" borderId="57" xfId="0" quotePrefix="1" applyFont="1" applyFill="1" applyBorder="1" applyAlignment="1">
      <alignment horizontal="right" wrapText="1"/>
    </xf>
    <xf numFmtId="37" fontId="4" fillId="3" borderId="63" xfId="0" quotePrefix="1" applyFont="1" applyFill="1" applyBorder="1" applyAlignment="1">
      <alignment horizontal="right" wrapText="1"/>
    </xf>
    <xf numFmtId="37" fontId="4" fillId="0" borderId="20" xfId="0" applyFont="1" applyBorder="1" applyAlignment="1">
      <alignment horizontal="center"/>
    </xf>
    <xf numFmtId="37" fontId="4" fillId="0" borderId="10" xfId="0" applyFont="1" applyBorder="1" applyAlignment="1">
      <alignment horizontal="center"/>
    </xf>
    <xf numFmtId="49" fontId="15" fillId="0" borderId="16" xfId="0" applyNumberFormat="1" applyFont="1" applyBorder="1" applyAlignment="1">
      <alignment horizontal="center" vertical="top" textRotation="180"/>
    </xf>
    <xf numFmtId="37" fontId="4" fillId="6" borderId="4" xfId="0" quotePrefix="1" applyFont="1" applyFill="1" applyBorder="1" applyAlignment="1">
      <alignment horizontal="center" wrapText="1"/>
    </xf>
    <xf numFmtId="37" fontId="4" fillId="6" borderId="9" xfId="0" applyFont="1" applyFill="1" applyBorder="1" applyAlignment="1">
      <alignment horizontal="center" wrapText="1"/>
    </xf>
    <xf numFmtId="37" fontId="4" fillId="6" borderId="4" xfId="0" applyFont="1" applyFill="1" applyBorder="1" applyAlignment="1">
      <alignment horizontal="center" wrapText="1"/>
    </xf>
    <xf numFmtId="37" fontId="4" fillId="6" borderId="58" xfId="0" applyFont="1" applyFill="1" applyBorder="1" applyAlignment="1">
      <alignment horizontal="center" wrapText="1"/>
    </xf>
    <xf numFmtId="37" fontId="4" fillId="6" borderId="68" xfId="0" applyFont="1" applyFill="1" applyBorder="1" applyAlignment="1">
      <alignment horizontal="center" wrapText="1"/>
    </xf>
    <xf numFmtId="37" fontId="4" fillId="6" borderId="7" xfId="0" applyFont="1" applyFill="1" applyBorder="1" applyAlignment="1">
      <alignment horizontal="center" wrapText="1"/>
    </xf>
    <xf numFmtId="37" fontId="4" fillId="6" borderId="8" xfId="0" applyFont="1" applyFill="1" applyBorder="1" applyAlignment="1">
      <alignment horizontal="center" wrapText="1"/>
    </xf>
    <xf numFmtId="49" fontId="15" fillId="0" borderId="15" xfId="0" applyNumberFormat="1" applyFont="1" applyBorder="1" applyAlignment="1">
      <alignment horizontal="right" vertical="center" textRotation="180"/>
    </xf>
    <xf numFmtId="37" fontId="15" fillId="0" borderId="15" xfId="0" applyFont="1" applyBorder="1" applyAlignment="1">
      <alignment horizontal="right" vertical="center" textRotation="180"/>
    </xf>
    <xf numFmtId="37" fontId="4" fillId="6" borderId="14" xfId="0" quotePrefix="1" applyFont="1" applyFill="1" applyBorder="1" applyAlignment="1">
      <alignment horizontal="center" wrapText="1"/>
    </xf>
    <xf numFmtId="37" fontId="4" fillId="6" borderId="5" xfId="0" applyFont="1" applyFill="1" applyBorder="1" applyAlignment="1">
      <alignment horizontal="center" wrapText="1"/>
    </xf>
    <xf numFmtId="37" fontId="4" fillId="6" borderId="20" xfId="0" applyFont="1" applyFill="1" applyBorder="1" applyAlignment="1">
      <alignment horizontal="center" wrapText="1"/>
    </xf>
    <xf numFmtId="37" fontId="4" fillId="6" borderId="10" xfId="0" applyFont="1" applyFill="1" applyBorder="1" applyAlignment="1">
      <alignment horizontal="center" wrapText="1"/>
    </xf>
    <xf numFmtId="37" fontId="4" fillId="6" borderId="14" xfId="0" applyFont="1" applyFill="1" applyBorder="1" applyAlignment="1">
      <alignment horizontal="center" wrapText="1"/>
    </xf>
    <xf numFmtId="37" fontId="4" fillId="6" borderId="20" xfId="0" applyFont="1" applyFill="1" applyBorder="1" applyAlignment="1">
      <alignment horizontal="center"/>
    </xf>
    <xf numFmtId="37" fontId="4" fillId="6" borderId="10" xfId="0" applyFont="1" applyFill="1" applyBorder="1" applyAlignment="1">
      <alignment horizontal="center"/>
    </xf>
    <xf numFmtId="37" fontId="4" fillId="6" borderId="3" xfId="0" applyFont="1" applyFill="1" applyBorder="1" applyAlignment="1">
      <alignment horizontal="center"/>
    </xf>
    <xf numFmtId="37" fontId="4" fillId="6" borderId="2" xfId="0" applyFont="1" applyFill="1" applyBorder="1" applyAlignment="1">
      <alignment horizontal="center" wrapText="1"/>
    </xf>
    <xf numFmtId="37" fontId="4" fillId="6" borderId="3" xfId="0" applyFont="1" applyFill="1" applyBorder="1" applyAlignment="1">
      <alignment horizontal="center" wrapText="1"/>
    </xf>
    <xf numFmtId="37" fontId="4" fillId="6" borderId="17" xfId="0" applyFont="1" applyFill="1" applyBorder="1" applyAlignment="1" applyProtection="1">
      <alignment horizontal="center"/>
    </xf>
    <xf numFmtId="37" fontId="4" fillId="6" borderId="13" xfId="0" applyFont="1" applyFill="1" applyBorder="1" applyAlignment="1" applyProtection="1">
      <alignment horizontal="center"/>
    </xf>
    <xf numFmtId="37" fontId="4" fillId="6" borderId="18" xfId="0" applyFont="1" applyFill="1" applyBorder="1" applyAlignment="1" applyProtection="1">
      <alignment horizontal="center"/>
    </xf>
    <xf numFmtId="37" fontId="4" fillId="3" borderId="22" xfId="0" quotePrefix="1" applyFont="1" applyFill="1" applyBorder="1" applyAlignment="1" applyProtection="1">
      <alignment horizontal="center" wrapText="1"/>
    </xf>
    <xf numFmtId="37" fontId="4" fillId="3" borderId="42" xfId="0" quotePrefix="1" applyFont="1" applyFill="1" applyBorder="1" applyAlignment="1" applyProtection="1">
      <alignment horizontal="center" wrapText="1"/>
    </xf>
    <xf numFmtId="37" fontId="4" fillId="3" borderId="65" xfId="0" quotePrefix="1" applyFont="1" applyFill="1" applyBorder="1" applyAlignment="1" applyProtection="1">
      <alignment horizontal="center" wrapText="1"/>
    </xf>
    <xf numFmtId="37" fontId="4" fillId="3" borderId="28" xfId="0" quotePrefix="1" applyFont="1" applyFill="1" applyBorder="1" applyAlignment="1" applyProtection="1">
      <alignment horizontal="center" wrapText="1"/>
    </xf>
    <xf numFmtId="37" fontId="4" fillId="3" borderId="29" xfId="0" quotePrefix="1" applyFont="1" applyFill="1" applyBorder="1" applyAlignment="1" applyProtection="1">
      <alignment horizontal="center" wrapText="1"/>
    </xf>
    <xf numFmtId="37" fontId="4" fillId="3" borderId="17" xfId="0" applyFont="1" applyFill="1" applyBorder="1" applyAlignment="1" applyProtection="1">
      <alignment horizontal="center"/>
    </xf>
    <xf numFmtId="37" fontId="4" fillId="3" borderId="13" xfId="0" applyFont="1" applyFill="1" applyBorder="1" applyAlignment="1" applyProtection="1">
      <alignment horizontal="center"/>
    </xf>
    <xf numFmtId="37" fontId="4" fillId="3" borderId="18" xfId="0" applyFont="1" applyFill="1" applyBorder="1" applyAlignment="1" applyProtection="1">
      <alignment horizontal="center"/>
    </xf>
    <xf numFmtId="37" fontId="4" fillId="0" borderId="4" xfId="0" quotePrefix="1" applyFont="1" applyBorder="1" applyAlignment="1" applyProtection="1">
      <alignment horizontal="center" wrapText="1"/>
    </xf>
    <xf numFmtId="37" fontId="4" fillId="0" borderId="9" xfId="0" quotePrefix="1" applyFont="1" applyBorder="1" applyAlignment="1" applyProtection="1">
      <alignment horizontal="center" wrapText="1"/>
    </xf>
    <xf numFmtId="0" fontId="7" fillId="15" borderId="12" xfId="0" quotePrefix="1" applyNumberFormat="1" applyFont="1" applyFill="1" applyBorder="1" applyAlignment="1">
      <alignment horizontal="left" vertical="top" wrapText="1"/>
    </xf>
    <xf numFmtId="0" fontId="7" fillId="15" borderId="0" xfId="0" quotePrefix="1" applyNumberFormat="1" applyFont="1" applyFill="1" applyBorder="1" applyAlignment="1">
      <alignment horizontal="left" vertical="top" wrapText="1"/>
    </xf>
    <xf numFmtId="37" fontId="4" fillId="6" borderId="69" xfId="0" applyFont="1" applyFill="1" applyBorder="1" applyAlignment="1">
      <alignment horizontal="center" wrapText="1"/>
    </xf>
    <xf numFmtId="37" fontId="4" fillId="6" borderId="70" xfId="0" applyFont="1" applyFill="1" applyBorder="1" applyAlignment="1">
      <alignment horizontal="center" wrapText="1"/>
    </xf>
    <xf numFmtId="37" fontId="4" fillId="6" borderId="35" xfId="0" quotePrefix="1" applyFont="1" applyFill="1" applyBorder="1" applyAlignment="1">
      <alignment horizontal="center" wrapText="1"/>
    </xf>
    <xf numFmtId="37" fontId="4" fillId="6" borderId="36" xfId="0" applyFont="1" applyFill="1" applyBorder="1" applyAlignment="1">
      <alignment horizontal="center" wrapText="1"/>
    </xf>
    <xf numFmtId="37" fontId="4" fillId="6" borderId="37" xfId="0" applyFont="1" applyFill="1" applyBorder="1" applyAlignment="1">
      <alignment horizontal="center" wrapText="1"/>
    </xf>
    <xf numFmtId="37" fontId="4" fillId="6" borderId="38" xfId="0" applyFont="1" applyFill="1" applyBorder="1" applyAlignment="1">
      <alignment horizontal="center" wrapText="1"/>
    </xf>
    <xf numFmtId="37" fontId="4" fillId="6" borderId="12" xfId="0" applyFont="1" applyFill="1" applyBorder="1" applyAlignment="1">
      <alignment horizontal="center" wrapText="1"/>
    </xf>
    <xf numFmtId="37" fontId="4" fillId="6" borderId="11" xfId="0" applyFont="1" applyFill="1" applyBorder="1" applyAlignment="1">
      <alignment horizontal="center" wrapText="1"/>
    </xf>
    <xf numFmtId="37" fontId="4" fillId="6" borderId="48" xfId="0" applyFont="1" applyFill="1" applyBorder="1" applyAlignment="1">
      <alignment horizontal="center" wrapText="1"/>
    </xf>
    <xf numFmtId="37" fontId="4" fillId="6" borderId="44" xfId="0" applyFont="1" applyFill="1" applyBorder="1" applyAlignment="1">
      <alignment horizontal="center" wrapText="1"/>
    </xf>
    <xf numFmtId="37" fontId="4" fillId="10" borderId="71" xfId="0" quotePrefix="1" applyFont="1" applyFill="1" applyBorder="1" applyAlignment="1">
      <alignment horizontal="center" wrapText="1"/>
    </xf>
    <xf numFmtId="37" fontId="4" fillId="10" borderId="12" xfId="0" applyFont="1" applyFill="1" applyBorder="1" applyAlignment="1">
      <alignment horizontal="center" wrapText="1"/>
    </xf>
    <xf numFmtId="37" fontId="4" fillId="10" borderId="48" xfId="0" applyFont="1" applyFill="1" applyBorder="1" applyAlignment="1">
      <alignment horizontal="center" wrapText="1"/>
    </xf>
    <xf numFmtId="37" fontId="4" fillId="10" borderId="20" xfId="0" applyFont="1" applyFill="1" applyBorder="1" applyAlignment="1">
      <alignment horizontal="center" wrapText="1"/>
    </xf>
    <xf numFmtId="37" fontId="4" fillId="10" borderId="3" xfId="0" applyFont="1" applyFill="1" applyBorder="1" applyAlignment="1">
      <alignment horizontal="center" wrapText="1"/>
    </xf>
    <xf numFmtId="37" fontId="4" fillId="10" borderId="10" xfId="0" applyFont="1" applyFill="1" applyBorder="1" applyAlignment="1">
      <alignment horizontal="center" wrapText="1"/>
    </xf>
    <xf numFmtId="37" fontId="4" fillId="6" borderId="15" xfId="0" applyFont="1" applyFill="1" applyBorder="1" applyAlignment="1">
      <alignment horizontal="center" wrapText="1"/>
    </xf>
    <xf numFmtId="37" fontId="4" fillId="6" borderId="31" xfId="0" applyFont="1" applyFill="1" applyBorder="1" applyAlignment="1">
      <alignment horizontal="center" wrapText="1"/>
    </xf>
    <xf numFmtId="37" fontId="4" fillId="6" borderId="0" xfId="0" applyFont="1" applyFill="1" applyBorder="1" applyAlignment="1">
      <alignment horizontal="center" wrapText="1"/>
    </xf>
    <xf numFmtId="37" fontId="4" fillId="6" borderId="6" xfId="0" applyFont="1" applyFill="1" applyBorder="1" applyAlignment="1">
      <alignment horizontal="center" wrapText="1"/>
    </xf>
    <xf numFmtId="37" fontId="4" fillId="6" borderId="16" xfId="0" applyFont="1" applyFill="1" applyBorder="1" applyAlignment="1">
      <alignment horizontal="center" wrapText="1"/>
    </xf>
    <xf numFmtId="37" fontId="4" fillId="6" borderId="44" xfId="0" applyFont="1" applyFill="1" applyBorder="1" applyAlignment="1">
      <alignment horizontal="center"/>
    </xf>
    <xf numFmtId="37" fontId="4" fillId="6" borderId="72" xfId="0" quotePrefix="1" applyFont="1" applyFill="1" applyBorder="1" applyAlignment="1">
      <alignment horizontal="center" wrapText="1"/>
    </xf>
    <xf numFmtId="37" fontId="4" fillId="6" borderId="14" xfId="0" applyFont="1" applyFill="1" applyBorder="1" applyAlignment="1">
      <alignment horizontal="center"/>
    </xf>
    <xf numFmtId="37" fontId="4" fillId="6" borderId="2" xfId="0" applyFont="1" applyFill="1" applyBorder="1" applyAlignment="1">
      <alignment horizontal="center"/>
    </xf>
    <xf numFmtId="37" fontId="4" fillId="6" borderId="5" xfId="0" applyFont="1" applyFill="1" applyBorder="1" applyAlignment="1">
      <alignment horizontal="center"/>
    </xf>
    <xf numFmtId="37" fontId="4" fillId="6" borderId="36" xfId="0" quotePrefix="1" applyFont="1" applyFill="1" applyBorder="1" applyAlignment="1">
      <alignment horizontal="center" wrapText="1"/>
    </xf>
    <xf numFmtId="37" fontId="4" fillId="6" borderId="37" xfId="0" quotePrefix="1" applyFont="1" applyFill="1" applyBorder="1" applyAlignment="1">
      <alignment horizontal="center" wrapText="1"/>
    </xf>
    <xf numFmtId="37" fontId="4" fillId="6" borderId="38" xfId="0" quotePrefix="1" applyFont="1" applyFill="1" applyBorder="1" applyAlignment="1">
      <alignment horizontal="center" wrapText="1"/>
    </xf>
    <xf numFmtId="37" fontId="4" fillId="0" borderId="4" xfId="0" quotePrefix="1" applyFont="1" applyBorder="1" applyAlignment="1">
      <alignment horizontal="center" wrapText="1"/>
    </xf>
    <xf numFmtId="37" fontId="4" fillId="0" borderId="9" xfId="0" applyFont="1" applyBorder="1" applyAlignment="1">
      <alignment horizontal="center" wrapText="1"/>
    </xf>
    <xf numFmtId="37" fontId="4" fillId="0" borderId="4" xfId="0" applyFont="1" applyBorder="1" applyAlignment="1">
      <alignment horizontal="center" wrapText="1"/>
    </xf>
    <xf numFmtId="37" fontId="4" fillId="9" borderId="20" xfId="0" applyFont="1" applyFill="1" applyBorder="1" applyAlignment="1">
      <alignment horizontal="center"/>
    </xf>
    <xf numFmtId="37" fontId="4" fillId="9" borderId="3" xfId="0" applyFont="1" applyFill="1" applyBorder="1" applyAlignment="1">
      <alignment horizontal="center"/>
    </xf>
    <xf numFmtId="37" fontId="4" fillId="9" borderId="10" xfId="0" applyFont="1" applyFill="1" applyBorder="1" applyAlignment="1">
      <alignment horizontal="center"/>
    </xf>
    <xf numFmtId="37" fontId="4" fillId="9" borderId="14" xfId="0" quotePrefix="1" applyFont="1" applyFill="1" applyBorder="1" applyAlignment="1">
      <alignment horizontal="center" wrapText="1"/>
    </xf>
    <xf numFmtId="37" fontId="4" fillId="9" borderId="5" xfId="0" applyFont="1" applyFill="1" applyBorder="1" applyAlignment="1">
      <alignment horizontal="center" wrapText="1"/>
    </xf>
    <xf numFmtId="37" fontId="4" fillId="9" borderId="20" xfId="0" applyFont="1" applyFill="1" applyBorder="1" applyAlignment="1">
      <alignment horizontal="center" wrapText="1"/>
    </xf>
    <xf numFmtId="37" fontId="4" fillId="9" borderId="10" xfId="0" applyFont="1" applyFill="1" applyBorder="1" applyAlignment="1">
      <alignment horizontal="center" wrapText="1"/>
    </xf>
    <xf numFmtId="37" fontId="4" fillId="6" borderId="17" xfId="0" applyFont="1" applyFill="1" applyBorder="1" applyAlignment="1">
      <alignment horizontal="center"/>
    </xf>
    <xf numFmtId="37" fontId="4" fillId="6" borderId="13" xfId="0" applyFont="1" applyFill="1" applyBorder="1" applyAlignment="1">
      <alignment horizontal="center"/>
    </xf>
    <xf numFmtId="37" fontId="4" fillId="6" borderId="18" xfId="0" applyFont="1" applyFill="1" applyBorder="1" applyAlignment="1">
      <alignment horizontal="center"/>
    </xf>
    <xf numFmtId="37" fontId="4" fillId="6" borderId="37" xfId="0" applyFont="1" applyFill="1" applyBorder="1" applyAlignment="1">
      <alignment horizontal="center"/>
    </xf>
    <xf numFmtId="37" fontId="4" fillId="6" borderId="11" xfId="0" applyFont="1" applyFill="1" applyBorder="1" applyAlignment="1">
      <alignment horizontal="center"/>
    </xf>
    <xf numFmtId="37" fontId="4" fillId="6" borderId="38" xfId="0" applyFont="1" applyFill="1" applyBorder="1" applyAlignment="1">
      <alignment horizontal="center"/>
    </xf>
    <xf numFmtId="37" fontId="4" fillId="6" borderId="1" xfId="0" applyFont="1" applyFill="1" applyBorder="1" applyAlignment="1">
      <alignment horizontal="center" wrapText="1"/>
    </xf>
    <xf numFmtId="37" fontId="4" fillId="0" borderId="24" xfId="0" quotePrefix="1" applyFont="1" applyFill="1" applyBorder="1" applyAlignment="1">
      <alignment horizontal="center" wrapText="1"/>
    </xf>
    <xf numFmtId="37" fontId="4" fillId="0" borderId="24" xfId="0" applyFont="1" applyFill="1" applyBorder="1" applyAlignment="1">
      <alignment horizontal="center" wrapText="1"/>
    </xf>
    <xf numFmtId="37" fontId="4" fillId="0" borderId="8" xfId="0" applyFont="1" applyFill="1" applyBorder="1" applyAlignment="1">
      <alignment horizontal="center" wrapText="1"/>
    </xf>
    <xf numFmtId="49" fontId="7" fillId="0" borderId="0" xfId="0" quotePrefix="1" applyNumberFormat="1" applyFont="1" applyFill="1" applyAlignment="1">
      <alignment horizontal="left" wrapText="1"/>
    </xf>
    <xf numFmtId="37" fontId="4" fillId="6" borderId="73" xfId="0" applyFont="1" applyFill="1" applyBorder="1" applyAlignment="1">
      <alignment horizontal="center" vertical="center"/>
    </xf>
    <xf numFmtId="37" fontId="4" fillId="6" borderId="30" xfId="0" applyFont="1" applyFill="1" applyBorder="1" applyAlignment="1">
      <alignment horizontal="center" vertical="center"/>
    </xf>
    <xf numFmtId="37" fontId="4" fillId="6" borderId="74" xfId="0" applyFont="1" applyFill="1" applyBorder="1" applyAlignment="1">
      <alignment horizontal="center" vertical="center"/>
    </xf>
    <xf numFmtId="37" fontId="4" fillId="6" borderId="17" xfId="0" applyFont="1" applyFill="1" applyBorder="1" applyAlignment="1">
      <alignment horizontal="center" vertical="center"/>
    </xf>
    <xf numFmtId="37" fontId="4" fillId="6" borderId="13" xfId="0" applyFont="1" applyFill="1" applyBorder="1" applyAlignment="1">
      <alignment horizontal="center" vertical="center"/>
    </xf>
    <xf numFmtId="37" fontId="4" fillId="6" borderId="18" xfId="0" applyFont="1" applyFill="1" applyBorder="1" applyAlignment="1">
      <alignment horizontal="center" vertical="center"/>
    </xf>
    <xf numFmtId="37" fontId="4" fillId="0" borderId="15" xfId="0" applyFont="1" applyFill="1" applyBorder="1" applyAlignment="1">
      <alignment horizontal="center" wrapText="1"/>
    </xf>
    <xf numFmtId="37" fontId="4" fillId="0" borderId="37" xfId="0" applyFont="1" applyFill="1" applyBorder="1" applyAlignment="1">
      <alignment horizontal="center" wrapText="1"/>
    </xf>
    <xf numFmtId="37" fontId="4" fillId="0" borderId="7" xfId="0" quotePrefix="1" applyFont="1" applyBorder="1" applyAlignment="1">
      <alignment horizontal="center" wrapText="1"/>
    </xf>
    <xf numFmtId="37" fontId="4" fillId="0" borderId="24" xfId="0" applyFont="1" applyBorder="1" applyAlignment="1">
      <alignment horizontal="center" wrapText="1"/>
    </xf>
    <xf numFmtId="37" fontId="4" fillId="0" borderId="8" xfId="0" applyFont="1" applyBorder="1" applyAlignment="1">
      <alignment horizontal="center" wrapText="1"/>
    </xf>
    <xf numFmtId="37" fontId="4" fillId="0" borderId="8" xfId="0" quotePrefix="1" applyFont="1" applyFill="1" applyBorder="1" applyAlignment="1">
      <alignment horizontal="center" wrapText="1"/>
    </xf>
    <xf numFmtId="37" fontId="7" fillId="0" borderId="12" xfId="0" applyFont="1" applyBorder="1" applyAlignment="1">
      <alignment horizontal="left" wrapText="1"/>
    </xf>
    <xf numFmtId="37" fontId="7" fillId="0" borderId="0" xfId="0" applyFont="1" applyAlignment="1">
      <alignment horizontal="left" wrapText="1"/>
    </xf>
    <xf numFmtId="37" fontId="4" fillId="6" borderId="1" xfId="0" quotePrefix="1" applyFont="1" applyFill="1" applyBorder="1" applyAlignment="1">
      <alignment horizontal="center" wrapText="1"/>
    </xf>
    <xf numFmtId="37" fontId="4" fillId="6" borderId="9" xfId="0" quotePrefix="1" applyFont="1" applyFill="1" applyBorder="1" applyAlignment="1">
      <alignment horizontal="center" wrapText="1"/>
    </xf>
    <xf numFmtId="37" fontId="4" fillId="6" borderId="69" xfId="0" applyFont="1" applyFill="1" applyBorder="1" applyAlignment="1">
      <alignment horizontal="center"/>
    </xf>
    <xf numFmtId="37" fontId="4" fillId="6" borderId="24" xfId="0" applyFont="1" applyFill="1" applyBorder="1" applyAlignment="1">
      <alignment horizontal="center" wrapText="1"/>
    </xf>
    <xf numFmtId="37" fontId="4" fillId="0" borderId="12" xfId="0" applyFont="1" applyBorder="1" applyAlignment="1">
      <alignment horizontal="center" vertical="center"/>
    </xf>
    <xf numFmtId="37" fontId="4" fillId="0" borderId="11" xfId="0" applyFont="1" applyBorder="1" applyAlignment="1">
      <alignment horizontal="center" vertical="center"/>
    </xf>
    <xf numFmtId="37" fontId="4" fillId="6" borderId="24" xfId="0" quotePrefix="1" applyFont="1" applyFill="1" applyBorder="1" applyAlignment="1">
      <alignment horizontal="center" wrapText="1"/>
    </xf>
    <xf numFmtId="37" fontId="4" fillId="6" borderId="8" xfId="0" quotePrefix="1" applyFont="1" applyFill="1" applyBorder="1" applyAlignment="1">
      <alignment horizontal="center" wrapText="1"/>
    </xf>
    <xf numFmtId="37" fontId="4" fillId="6" borderId="75" xfId="0" quotePrefix="1" applyFont="1" applyFill="1" applyBorder="1" applyAlignment="1">
      <alignment horizontal="center" wrapText="1"/>
    </xf>
    <xf numFmtId="37" fontId="4" fillId="6" borderId="66" xfId="0" quotePrefix="1" applyFont="1" applyFill="1" applyBorder="1" applyAlignment="1">
      <alignment horizontal="center" wrapText="1"/>
    </xf>
    <xf numFmtId="37" fontId="4" fillId="0" borderId="12" xfId="0" quotePrefix="1" applyFont="1" applyBorder="1" applyAlignment="1">
      <alignment horizontal="center" vertical="center"/>
    </xf>
    <xf numFmtId="37" fontId="4" fillId="0" borderId="11" xfId="0" quotePrefix="1" applyFont="1" applyBorder="1" applyAlignment="1">
      <alignment horizontal="center" vertical="center"/>
    </xf>
    <xf numFmtId="37" fontId="4" fillId="6" borderId="62" xfId="0" quotePrefix="1" applyFont="1" applyFill="1" applyBorder="1" applyAlignment="1">
      <alignment horizontal="center" wrapText="1"/>
    </xf>
    <xf numFmtId="37" fontId="4" fillId="6" borderId="63" xfId="0" applyFont="1" applyFill="1" applyBorder="1" applyAlignment="1">
      <alignment horizontal="center" wrapText="1"/>
    </xf>
    <xf numFmtId="37" fontId="4" fillId="7" borderId="12" xfId="0" applyFont="1" applyFill="1" applyBorder="1" applyAlignment="1">
      <alignment horizontal="center"/>
    </xf>
    <xf numFmtId="37" fontId="4" fillId="7" borderId="48" xfId="0" applyFont="1" applyFill="1" applyBorder="1" applyAlignment="1">
      <alignment horizontal="center"/>
    </xf>
    <xf numFmtId="0" fontId="7" fillId="0" borderId="12" xfId="5" quotePrefix="1" applyFont="1" applyBorder="1" applyAlignment="1">
      <alignment horizontal="left" wrapText="1"/>
    </xf>
    <xf numFmtId="0" fontId="7" fillId="0" borderId="0" xfId="5" quotePrefix="1" applyFont="1" applyAlignment="1">
      <alignment horizontal="left" wrapText="1"/>
    </xf>
    <xf numFmtId="37" fontId="4" fillId="7" borderId="41" xfId="0" quotePrefix="1" applyFont="1" applyFill="1" applyBorder="1" applyAlignment="1">
      <alignment horizontal="center" wrapText="1"/>
    </xf>
    <xf numFmtId="37" fontId="4" fillId="7" borderId="22" xfId="0" quotePrefix="1" applyFont="1" applyFill="1" applyBorder="1" applyAlignment="1">
      <alignment horizontal="center" wrapText="1"/>
    </xf>
    <xf numFmtId="37" fontId="4" fillId="7" borderId="42" xfId="0" quotePrefix="1" applyFont="1" applyFill="1" applyBorder="1" applyAlignment="1">
      <alignment horizontal="center" wrapText="1"/>
    </xf>
    <xf numFmtId="37" fontId="4" fillId="9" borderId="1" xfId="0" quotePrefix="1" applyFont="1" applyFill="1" applyBorder="1" applyAlignment="1">
      <alignment horizontal="center" wrapText="1"/>
    </xf>
    <xf numFmtId="37" fontId="4" fillId="9" borderId="9" xfId="0" quotePrefix="1" applyFont="1" applyFill="1" applyBorder="1" applyAlignment="1">
      <alignment horizontal="center" wrapText="1"/>
    </xf>
    <xf numFmtId="37" fontId="4" fillId="9" borderId="28" xfId="0" quotePrefix="1" applyFont="1" applyFill="1" applyBorder="1" applyAlignment="1">
      <alignment horizontal="center" wrapText="1"/>
    </xf>
    <xf numFmtId="37" fontId="4" fillId="9" borderId="29" xfId="0" quotePrefix="1" applyFont="1" applyFill="1" applyBorder="1" applyAlignment="1">
      <alignment horizontal="center" wrapText="1"/>
    </xf>
    <xf numFmtId="49" fontId="7" fillId="0" borderId="0" xfId="5" quotePrefix="1" applyNumberFormat="1" applyFont="1" applyAlignment="1">
      <alignment horizontal="left" wrapText="1"/>
    </xf>
    <xf numFmtId="37" fontId="4" fillId="6" borderId="24" xfId="0" quotePrefix="1" applyFont="1" applyFill="1" applyBorder="1" applyAlignment="1">
      <alignment horizontal="center"/>
    </xf>
    <xf numFmtId="37" fontId="4" fillId="6" borderId="8" xfId="0" applyFont="1" applyFill="1" applyBorder="1" applyAlignment="1">
      <alignment horizontal="center"/>
    </xf>
    <xf numFmtId="37" fontId="4" fillId="3" borderId="14" xfId="0" quotePrefix="1" applyFont="1" applyFill="1" applyBorder="1" applyAlignment="1">
      <alignment horizontal="center"/>
    </xf>
    <xf numFmtId="37" fontId="4" fillId="3" borderId="2" xfId="0" quotePrefix="1" applyFont="1" applyFill="1" applyBorder="1" applyAlignment="1">
      <alignment horizontal="center"/>
    </xf>
    <xf numFmtId="37" fontId="4" fillId="3" borderId="5" xfId="0" quotePrefix="1" applyFont="1" applyFill="1" applyBorder="1" applyAlignment="1">
      <alignment horizontal="center"/>
    </xf>
    <xf numFmtId="37" fontId="4" fillId="6" borderId="7" xfId="0" quotePrefix="1" applyFont="1" applyFill="1" applyBorder="1" applyAlignment="1">
      <alignment horizontal="center" wrapText="1"/>
    </xf>
    <xf numFmtId="37" fontId="4" fillId="0" borderId="12" xfId="0" quotePrefix="1" applyFont="1" applyBorder="1" applyAlignment="1">
      <alignment horizontal="right" vertical="center"/>
    </xf>
    <xf numFmtId="0" fontId="4" fillId="9" borderId="1" xfId="5" quotePrefix="1" applyFont="1" applyFill="1" applyBorder="1" applyAlignment="1">
      <alignment horizontal="center" wrapText="1"/>
    </xf>
    <xf numFmtId="0" fontId="4" fillId="9" borderId="9" xfId="5" quotePrefix="1" applyFont="1" applyFill="1" applyBorder="1" applyAlignment="1">
      <alignment horizontal="center" wrapText="1"/>
    </xf>
    <xf numFmtId="37" fontId="4" fillId="9" borderId="46" xfId="0" quotePrefix="1" applyFont="1" applyFill="1" applyBorder="1" applyAlignment="1">
      <alignment horizontal="center" wrapText="1"/>
    </xf>
    <xf numFmtId="37" fontId="4" fillId="9" borderId="47" xfId="0" quotePrefix="1" applyFont="1" applyFill="1" applyBorder="1" applyAlignment="1">
      <alignment horizontal="center" wrapText="1"/>
    </xf>
    <xf numFmtId="37" fontId="4" fillId="9" borderId="76" xfId="0" quotePrefix="1" applyFont="1" applyFill="1" applyBorder="1" applyAlignment="1">
      <alignment horizontal="center" wrapText="1"/>
    </xf>
    <xf numFmtId="37" fontId="4" fillId="9" borderId="77" xfId="0" quotePrefix="1" applyFont="1" applyFill="1" applyBorder="1" applyAlignment="1">
      <alignment horizontal="center" wrapText="1"/>
    </xf>
    <xf numFmtId="37" fontId="4" fillId="9" borderId="24" xfId="0" quotePrefix="1" applyFont="1" applyFill="1" applyBorder="1" applyAlignment="1">
      <alignment horizontal="center" wrapText="1"/>
    </xf>
    <xf numFmtId="37" fontId="4" fillId="9" borderId="8" xfId="0" quotePrefix="1" applyFont="1" applyFill="1" applyBorder="1" applyAlignment="1">
      <alignment horizontal="center" wrapText="1"/>
    </xf>
    <xf numFmtId="37" fontId="4" fillId="10" borderId="6" xfId="0" quotePrefix="1" applyNumberFormat="1" applyFont="1" applyFill="1" applyBorder="1" applyAlignment="1" applyProtection="1">
      <alignment horizontal="center" wrapText="1"/>
    </xf>
    <xf numFmtId="37" fontId="4" fillId="10" borderId="10" xfId="0" quotePrefix="1" applyNumberFormat="1" applyFont="1" applyFill="1" applyBorder="1" applyAlignment="1" applyProtection="1">
      <alignment horizontal="center" wrapText="1"/>
    </xf>
    <xf numFmtId="37" fontId="4" fillId="10" borderId="7" xfId="0" quotePrefix="1" applyNumberFormat="1" applyFont="1" applyFill="1" applyBorder="1" applyAlignment="1" applyProtection="1">
      <alignment horizontal="center" wrapText="1"/>
    </xf>
    <xf numFmtId="37" fontId="4" fillId="10" borderId="24" xfId="0" quotePrefix="1" applyNumberFormat="1" applyFont="1" applyFill="1" applyBorder="1" applyAlignment="1" applyProtection="1">
      <alignment horizontal="center" wrapText="1"/>
    </xf>
    <xf numFmtId="37" fontId="4" fillId="10" borderId="8" xfId="0" quotePrefix="1" applyNumberFormat="1" applyFont="1" applyFill="1" applyBorder="1" applyAlignment="1" applyProtection="1">
      <alignment horizontal="center" wrapText="1"/>
    </xf>
    <xf numFmtId="37" fontId="4" fillId="6" borderId="4" xfId="0" quotePrefix="1" applyNumberFormat="1" applyFont="1" applyFill="1" applyBorder="1" applyAlignment="1" applyProtection="1">
      <alignment horizontal="center" wrapText="1"/>
    </xf>
    <xf numFmtId="37" fontId="4" fillId="6" borderId="1" xfId="0" applyNumberFormat="1" applyFont="1" applyFill="1" applyBorder="1" applyAlignment="1" applyProtection="1">
      <alignment horizontal="center" wrapText="1"/>
    </xf>
    <xf numFmtId="37" fontId="4" fillId="6" borderId="9" xfId="0" applyNumberFormat="1" applyFont="1" applyFill="1" applyBorder="1" applyAlignment="1" applyProtection="1">
      <alignment horizontal="center" wrapText="1"/>
    </xf>
    <xf numFmtId="37" fontId="4" fillId="10" borderId="1" xfId="0" quotePrefix="1" applyFont="1" applyFill="1" applyBorder="1" applyAlignment="1">
      <alignment horizontal="center" wrapText="1"/>
    </xf>
    <xf numFmtId="37" fontId="4" fillId="10" borderId="9" xfId="0" applyFont="1" applyFill="1" applyBorder="1" applyAlignment="1">
      <alignment horizontal="center" wrapText="1"/>
    </xf>
    <xf numFmtId="37" fontId="4" fillId="11" borderId="62" xfId="0" quotePrefix="1" applyFont="1" applyFill="1" applyBorder="1" applyAlignment="1">
      <alignment horizontal="center" wrapText="1"/>
    </xf>
    <xf numFmtId="37" fontId="4" fillId="11" borderId="63" xfId="0" applyFont="1" applyFill="1" applyBorder="1" applyAlignment="1">
      <alignment horizontal="center" wrapText="1"/>
    </xf>
    <xf numFmtId="0" fontId="7" fillId="0" borderId="12" xfId="0" quotePrefix="1" applyNumberFormat="1" applyFont="1" applyBorder="1" applyAlignment="1">
      <alignment horizontal="left" vertical="top" wrapText="1"/>
    </xf>
    <xf numFmtId="0" fontId="7" fillId="0" borderId="0" xfId="0" quotePrefix="1" applyNumberFormat="1" applyFont="1" applyAlignment="1">
      <alignment horizontal="left" vertical="top" wrapText="1"/>
    </xf>
    <xf numFmtId="37" fontId="4" fillId="0" borderId="17" xfId="0" applyFont="1" applyBorder="1" applyAlignment="1">
      <alignment horizontal="center"/>
    </xf>
    <xf numFmtId="37" fontId="4" fillId="0" borderId="13" xfId="0" applyFont="1" applyBorder="1" applyAlignment="1">
      <alignment horizontal="center"/>
    </xf>
    <xf numFmtId="37" fontId="4" fillId="0" borderId="18" xfId="0" applyFont="1" applyBorder="1" applyAlignment="1">
      <alignment horizontal="center"/>
    </xf>
    <xf numFmtId="37" fontId="4" fillId="6" borderId="14" xfId="0" quotePrefix="1" applyFont="1" applyFill="1" applyBorder="1" applyAlignment="1">
      <alignment horizontal="center" vertical="center" wrapText="1"/>
    </xf>
    <xf numFmtId="37" fontId="4" fillId="6" borderId="2" xfId="0" applyFont="1" applyFill="1" applyBorder="1" applyAlignment="1">
      <alignment horizontal="center" vertical="center" wrapText="1"/>
    </xf>
    <xf numFmtId="37" fontId="4" fillId="6" borderId="5" xfId="0" applyFont="1" applyFill="1" applyBorder="1" applyAlignment="1">
      <alignment horizontal="center" vertical="center" wrapText="1"/>
    </xf>
    <xf numFmtId="37" fontId="4" fillId="6" borderId="20" xfId="0" applyFont="1" applyFill="1" applyBorder="1" applyAlignment="1">
      <alignment horizontal="center" vertical="center" wrapText="1"/>
    </xf>
    <xf numFmtId="37" fontId="4" fillId="6" borderId="3" xfId="0" applyFont="1" applyFill="1" applyBorder="1" applyAlignment="1">
      <alignment horizontal="center" vertical="center" wrapText="1"/>
    </xf>
    <xf numFmtId="37" fontId="4" fillId="6" borderId="10" xfId="0" applyFont="1" applyFill="1" applyBorder="1" applyAlignment="1">
      <alignment horizontal="center" vertical="center" wrapText="1"/>
    </xf>
    <xf numFmtId="37" fontId="4" fillId="0" borderId="4" xfId="0" applyFont="1" applyBorder="1" applyAlignment="1">
      <alignment horizontal="center" vertical="center" wrapText="1"/>
    </xf>
    <xf numFmtId="37" fontId="4" fillId="0" borderId="1" xfId="0" applyFont="1" applyBorder="1" applyAlignment="1">
      <alignment horizontal="center" vertical="center" wrapText="1"/>
    </xf>
    <xf numFmtId="37" fontId="4" fillId="0" borderId="9" xfId="0" applyFont="1" applyBorder="1" applyAlignment="1">
      <alignment horizontal="center" vertical="center" wrapText="1"/>
    </xf>
    <xf numFmtId="37" fontId="4" fillId="0" borderId="62" xfId="0" quotePrefix="1" applyFont="1" applyBorder="1" applyAlignment="1">
      <alignment horizontal="center" wrapText="1"/>
    </xf>
    <xf numFmtId="37" fontId="4" fillId="0" borderId="63" xfId="0" quotePrefix="1" applyFont="1" applyBorder="1" applyAlignment="1">
      <alignment horizontal="center" wrapText="1"/>
    </xf>
    <xf numFmtId="37" fontId="4" fillId="0" borderId="1" xfId="0" quotePrefix="1" applyFont="1" applyBorder="1" applyAlignment="1">
      <alignment horizontal="center" wrapText="1"/>
    </xf>
    <xf numFmtId="37" fontId="4" fillId="0" borderId="9" xfId="0" quotePrefix="1" applyFont="1" applyBorder="1" applyAlignment="1">
      <alignment horizontal="center" wrapText="1"/>
    </xf>
    <xf numFmtId="37" fontId="4" fillId="6" borderId="14" xfId="0" applyFont="1" applyFill="1" applyBorder="1" applyAlignment="1">
      <alignment horizontal="center" vertical="center" wrapText="1"/>
    </xf>
    <xf numFmtId="37" fontId="4" fillId="0" borderId="17" xfId="0" applyFont="1" applyBorder="1" applyAlignment="1">
      <alignment horizontal="center" vertical="center"/>
    </xf>
    <xf numFmtId="37" fontId="4" fillId="0" borderId="13" xfId="0" applyFont="1" applyBorder="1" applyAlignment="1">
      <alignment horizontal="center" vertical="center"/>
    </xf>
    <xf numFmtId="37" fontId="4" fillId="0" borderId="18" xfId="0" applyFont="1" applyBorder="1" applyAlignment="1">
      <alignment horizontal="center" vertical="center"/>
    </xf>
    <xf numFmtId="0" fontId="7" fillId="0" borderId="0" xfId="2" quotePrefix="1" applyNumberFormat="1" applyFont="1" applyAlignment="1">
      <alignment horizontal="left" wrapText="1"/>
    </xf>
    <xf numFmtId="37" fontId="4" fillId="0" borderId="24" xfId="0" quotePrefix="1" applyFont="1" applyBorder="1" applyAlignment="1">
      <alignment horizontal="center" wrapText="1"/>
    </xf>
    <xf numFmtId="37" fontId="4" fillId="0" borderId="8" xfId="0" quotePrefix="1" applyFont="1" applyBorder="1" applyAlignment="1">
      <alignment horizontal="center" wrapText="1"/>
    </xf>
    <xf numFmtId="37" fontId="4" fillId="0" borderId="57" xfId="0" quotePrefix="1" applyFont="1" applyBorder="1" applyAlignment="1">
      <alignment horizontal="center" wrapText="1"/>
    </xf>
    <xf numFmtId="37" fontId="4" fillId="0" borderId="14" xfId="0" applyFont="1" applyBorder="1" applyAlignment="1">
      <alignment horizontal="center" vertical="center"/>
    </xf>
    <xf numFmtId="37" fontId="4" fillId="0" borderId="2" xfId="0" applyFont="1" applyBorder="1" applyAlignment="1">
      <alignment horizontal="center" vertical="center"/>
    </xf>
    <xf numFmtId="37" fontId="4" fillId="0" borderId="5" xfId="0" applyFont="1" applyBorder="1" applyAlignment="1">
      <alignment horizontal="center" vertical="center"/>
    </xf>
    <xf numFmtId="49" fontId="7" fillId="0" borderId="0" xfId="0" quotePrefix="1" applyNumberFormat="1" applyFont="1" applyAlignment="1">
      <alignment horizontal="left" wrapText="1"/>
    </xf>
    <xf numFmtId="49" fontId="7" fillId="0" borderId="12" xfId="0" quotePrefix="1" applyNumberFormat="1" applyFont="1" applyBorder="1" applyAlignment="1">
      <alignment horizontal="left" wrapText="1"/>
    </xf>
    <xf numFmtId="37" fontId="4" fillId="0" borderId="1" xfId="0" applyFont="1" applyBorder="1" applyAlignment="1">
      <alignment horizontal="center" wrapText="1"/>
    </xf>
    <xf numFmtId="0" fontId="7" fillId="0" borderId="0" xfId="0" quotePrefix="1" applyNumberFormat="1" applyFont="1" applyBorder="1" applyAlignment="1">
      <alignment horizontal="left" wrapText="1"/>
    </xf>
    <xf numFmtId="37" fontId="4" fillId="3" borderId="13" xfId="0" applyFont="1" applyFill="1" applyBorder="1" applyAlignment="1">
      <alignment horizontal="right" vertical="center"/>
    </xf>
    <xf numFmtId="37" fontId="4" fillId="6" borderId="32" xfId="8" applyNumberFormat="1" applyFont="1" applyFill="1" applyBorder="1" applyAlignment="1">
      <alignment horizontal="center" vertical="center"/>
    </xf>
    <xf numFmtId="37" fontId="4" fillId="6" borderId="25" xfId="8" applyNumberFormat="1" applyFont="1" applyFill="1" applyBorder="1" applyAlignment="1">
      <alignment horizontal="center" vertical="center"/>
    </xf>
    <xf numFmtId="37" fontId="4" fillId="6" borderId="27" xfId="8" applyNumberFormat="1" applyFont="1" applyFill="1" applyBorder="1" applyAlignment="1">
      <alignment horizontal="center" vertical="center"/>
    </xf>
    <xf numFmtId="37" fontId="4" fillId="7" borderId="32" xfId="0" applyFont="1" applyFill="1" applyBorder="1" applyAlignment="1">
      <alignment horizontal="center" vertical="center"/>
    </xf>
    <xf numFmtId="37" fontId="4" fillId="7" borderId="25" xfId="0" applyFont="1" applyFill="1" applyBorder="1" applyAlignment="1">
      <alignment horizontal="center" vertical="center"/>
    </xf>
    <xf numFmtId="37" fontId="4" fillId="7" borderId="27" xfId="0" applyFont="1" applyFill="1" applyBorder="1" applyAlignment="1">
      <alignment horizontal="center" vertical="center"/>
    </xf>
    <xf numFmtId="39" fontId="4" fillId="0" borderId="2" xfId="7" applyFont="1" applyBorder="1" applyAlignment="1">
      <alignment horizontal="center" vertical="center"/>
    </xf>
    <xf numFmtId="39" fontId="4" fillId="0" borderId="3" xfId="7" applyFont="1" applyBorder="1" applyAlignment="1">
      <alignment horizontal="center" vertical="center"/>
    </xf>
    <xf numFmtId="37" fontId="4" fillId="8" borderId="14" xfId="0" applyFont="1" applyFill="1" applyBorder="1" applyAlignment="1">
      <alignment horizontal="center" wrapText="1"/>
    </xf>
    <xf numFmtId="37" fontId="4" fillId="8" borderId="9" xfId="0" applyFont="1" applyFill="1" applyBorder="1" applyAlignment="1">
      <alignment horizontal="center" wrapText="1"/>
    </xf>
    <xf numFmtId="37" fontId="4" fillId="8" borderId="5" xfId="0" applyFont="1" applyFill="1" applyBorder="1" applyAlignment="1">
      <alignment horizontal="center" wrapText="1"/>
    </xf>
    <xf numFmtId="37" fontId="4" fillId="8" borderId="4" xfId="0" applyFont="1" applyFill="1" applyBorder="1" applyAlignment="1">
      <alignment horizontal="center" wrapText="1"/>
    </xf>
    <xf numFmtId="37" fontId="7" fillId="0" borderId="2" xfId="9" quotePrefix="1" applyFont="1" applyBorder="1" applyAlignment="1">
      <alignment horizontal="left" vertical="center" wrapText="1"/>
    </xf>
    <xf numFmtId="37" fontId="7" fillId="0" borderId="0" xfId="9" quotePrefix="1" applyFont="1" applyAlignment="1">
      <alignment horizontal="left" vertical="center" wrapText="1"/>
    </xf>
    <xf numFmtId="37" fontId="4" fillId="8" borderId="49" xfId="0" applyFont="1" applyFill="1" applyBorder="1" applyAlignment="1">
      <alignment horizontal="center" wrapText="1"/>
    </xf>
    <xf numFmtId="37" fontId="4" fillId="8" borderId="50" xfId="0" applyFont="1" applyFill="1" applyBorder="1" applyAlignment="1">
      <alignment horizontal="center" wrapText="1"/>
    </xf>
    <xf numFmtId="49" fontId="4" fillId="0" borderId="0" xfId="7" applyNumberFormat="1" applyFont="1" applyFill="1" applyBorder="1" applyAlignment="1" applyProtection="1">
      <alignment horizontal="center"/>
    </xf>
    <xf numFmtId="0" fontId="4" fillId="8" borderId="2" xfId="6" quotePrefix="1" applyFont="1" applyFill="1" applyBorder="1" applyAlignment="1">
      <alignment horizontal="center" wrapText="1"/>
    </xf>
    <xf numFmtId="0" fontId="4" fillId="8" borderId="5" xfId="6" applyFont="1" applyFill="1" applyBorder="1" applyAlignment="1">
      <alignment horizontal="center" wrapText="1"/>
    </xf>
    <xf numFmtId="0" fontId="4" fillId="8" borderId="0" xfId="6" applyFont="1" applyFill="1" applyBorder="1" applyAlignment="1">
      <alignment horizontal="center" wrapText="1"/>
    </xf>
    <xf numFmtId="0" fontId="4" fillId="8" borderId="6" xfId="6" applyFont="1" applyFill="1" applyBorder="1" applyAlignment="1">
      <alignment horizontal="center" wrapText="1"/>
    </xf>
    <xf numFmtId="0" fontId="4" fillId="8" borderId="3" xfId="6" applyFont="1" applyFill="1" applyBorder="1" applyAlignment="1">
      <alignment horizontal="center" wrapText="1"/>
    </xf>
    <xf numFmtId="0" fontId="4" fillId="8" borderId="10" xfId="6" applyFont="1" applyFill="1" applyBorder="1" applyAlignment="1">
      <alignment horizontal="center" wrapText="1"/>
    </xf>
    <xf numFmtId="0" fontId="4" fillId="8" borderId="35" xfId="6" quotePrefix="1" applyFont="1" applyFill="1" applyBorder="1" applyAlignment="1">
      <alignment horizontal="center" wrapText="1"/>
    </xf>
    <xf numFmtId="0" fontId="4" fillId="8" borderId="12" xfId="6" applyFont="1" applyFill="1" applyBorder="1" applyAlignment="1">
      <alignment horizontal="center" wrapText="1"/>
    </xf>
    <xf numFmtId="0" fontId="4" fillId="8" borderId="36" xfId="6" applyFont="1" applyFill="1" applyBorder="1" applyAlignment="1">
      <alignment horizontal="center" wrapText="1"/>
    </xf>
    <xf numFmtId="0" fontId="4" fillId="8" borderId="15" xfId="6" applyFont="1" applyFill="1" applyBorder="1" applyAlignment="1">
      <alignment horizontal="center" wrapText="1"/>
    </xf>
    <xf numFmtId="0" fontId="4" fillId="8" borderId="31" xfId="6" applyFont="1" applyFill="1" applyBorder="1" applyAlignment="1">
      <alignment horizontal="center" wrapText="1"/>
    </xf>
    <xf numFmtId="0" fontId="4" fillId="8" borderId="37" xfId="6" applyFont="1" applyFill="1" applyBorder="1" applyAlignment="1">
      <alignment horizontal="center" wrapText="1"/>
    </xf>
    <xf numFmtId="0" fontId="4" fillId="8" borderId="11" xfId="6" applyFont="1" applyFill="1" applyBorder="1" applyAlignment="1">
      <alignment horizontal="center" wrapText="1"/>
    </xf>
    <xf numFmtId="0" fontId="4" fillId="8" borderId="38" xfId="6" applyFont="1" applyFill="1" applyBorder="1" applyAlignment="1">
      <alignment horizontal="center" wrapText="1"/>
    </xf>
    <xf numFmtId="0" fontId="7" fillId="0" borderId="12" xfId="6" quotePrefix="1" applyFont="1" applyBorder="1" applyAlignment="1">
      <alignment horizontal="left" wrapText="1"/>
    </xf>
    <xf numFmtId="37" fontId="0" fillId="0" borderId="12" xfId="0" applyBorder="1" applyAlignment="1">
      <alignment horizontal="left"/>
    </xf>
    <xf numFmtId="37" fontId="0" fillId="0" borderId="0" xfId="0" applyAlignment="1">
      <alignment horizontal="left"/>
    </xf>
    <xf numFmtId="37" fontId="4" fillId="7" borderId="16" xfId="0" quotePrefix="1" applyFont="1" applyFill="1" applyBorder="1" applyAlignment="1">
      <alignment horizontal="center" wrapText="1"/>
    </xf>
    <xf numFmtId="37" fontId="4" fillId="7" borderId="6" xfId="0" applyFont="1" applyFill="1" applyBorder="1" applyAlignment="1">
      <alignment horizontal="center" wrapText="1"/>
    </xf>
    <xf numFmtId="37" fontId="4" fillId="7" borderId="20" xfId="0" applyFont="1" applyFill="1" applyBorder="1" applyAlignment="1">
      <alignment horizontal="center" wrapText="1"/>
    </xf>
    <xf numFmtId="37" fontId="4" fillId="7" borderId="10" xfId="0" applyFont="1" applyFill="1" applyBorder="1" applyAlignment="1">
      <alignment horizontal="center" wrapText="1"/>
    </xf>
    <xf numFmtId="37" fontId="4" fillId="7" borderId="14" xfId="0" quotePrefix="1" applyFont="1" applyFill="1" applyBorder="1" applyAlignment="1">
      <alignment horizontal="center" wrapText="1"/>
    </xf>
    <xf numFmtId="37" fontId="4" fillId="7" borderId="5" xfId="0" applyFont="1" applyFill="1" applyBorder="1" applyAlignment="1">
      <alignment horizontal="center" wrapText="1"/>
    </xf>
    <xf numFmtId="37" fontId="4" fillId="7" borderId="16" xfId="0" applyFont="1" applyFill="1" applyBorder="1" applyAlignment="1">
      <alignment horizontal="center" wrapText="1"/>
    </xf>
    <xf numFmtId="37" fontId="4" fillId="7" borderId="0" xfId="0" quotePrefix="1" applyFont="1" applyFill="1" applyBorder="1" applyAlignment="1">
      <alignment horizontal="center" wrapText="1"/>
    </xf>
    <xf numFmtId="37" fontId="4" fillId="7" borderId="3" xfId="0" applyFont="1" applyFill="1" applyBorder="1" applyAlignment="1">
      <alignment horizontal="center" wrapText="1"/>
    </xf>
    <xf numFmtId="37" fontId="4" fillId="7" borderId="35" xfId="0" quotePrefix="1" applyFont="1" applyFill="1" applyBorder="1" applyAlignment="1">
      <alignment horizontal="center" wrapText="1"/>
    </xf>
    <xf numFmtId="37" fontId="4" fillId="7" borderId="36" xfId="0" applyFont="1" applyFill="1" applyBorder="1" applyAlignment="1">
      <alignment horizontal="center" wrapText="1"/>
    </xf>
    <xf numFmtId="37" fontId="4" fillId="7" borderId="15" xfId="0" applyFont="1" applyFill="1" applyBorder="1" applyAlignment="1">
      <alignment horizontal="center" wrapText="1"/>
    </xf>
    <xf numFmtId="37" fontId="4" fillId="7" borderId="31" xfId="0" applyFont="1" applyFill="1" applyBorder="1" applyAlignment="1">
      <alignment horizontal="center" wrapText="1"/>
    </xf>
    <xf numFmtId="37" fontId="4" fillId="7" borderId="37" xfId="0" applyFont="1" applyFill="1" applyBorder="1" applyAlignment="1">
      <alignment horizontal="center" wrapText="1"/>
    </xf>
    <xf numFmtId="37" fontId="4" fillId="7" borderId="38" xfId="0" applyFont="1" applyFill="1" applyBorder="1" applyAlignment="1">
      <alignment horizontal="center" wrapText="1"/>
    </xf>
    <xf numFmtId="37" fontId="26" fillId="14" borderId="37" xfId="0" quotePrefix="1" applyFont="1" applyFill="1" applyBorder="1" applyAlignment="1">
      <alignment horizontal="center"/>
    </xf>
    <xf numFmtId="37" fontId="26" fillId="14" borderId="11" xfId="0" applyFont="1" applyFill="1" applyBorder="1" applyAlignment="1">
      <alignment horizontal="center"/>
    </xf>
    <xf numFmtId="37" fontId="26" fillId="14" borderId="38" xfId="0" applyFont="1" applyFill="1" applyBorder="1" applyAlignment="1">
      <alignment horizontal="center"/>
    </xf>
    <xf numFmtId="37" fontId="15" fillId="7" borderId="0" xfId="9" applyFont="1" applyFill="1"/>
    <xf numFmtId="37" fontId="24" fillId="0" borderId="0" xfId="9"/>
    <xf numFmtId="37" fontId="20" fillId="7" borderId="0" xfId="9" quotePrefix="1" applyFont="1" applyFill="1" applyAlignment="1">
      <alignment horizontal="center"/>
    </xf>
    <xf numFmtId="37" fontId="15" fillId="7" borderId="0" xfId="9" applyFont="1" applyFill="1" applyAlignment="1"/>
    <xf numFmtId="37" fontId="15" fillId="7" borderId="0" xfId="9" applyFont="1" applyFill="1" applyAlignment="1">
      <alignment horizontal="left" vertical="top" wrapText="1"/>
    </xf>
    <xf numFmtId="37" fontId="15" fillId="7" borderId="0" xfId="9" applyFont="1" applyFill="1" applyAlignment="1">
      <alignment wrapText="1"/>
    </xf>
  </cellXfs>
  <cellStyles count="10">
    <cellStyle name="BODY" xfId="1"/>
    <cellStyle name="Comma" xfId="2" builtinId="3"/>
    <cellStyle name="Comma_Direct Support" xfId="3"/>
    <cellStyle name="Hyperlink" xfId="4" builtinId="8"/>
    <cellStyle name="Normal" xfId="0" builtinId="0"/>
    <cellStyle name="Normal 2" xfId="9"/>
    <cellStyle name="Normal_06 07 new frame pages" xfId="5"/>
    <cellStyle name="Normal_Direct Support" xfId="6"/>
    <cellStyle name="Normal_Draft Personnel_ 10B" xfId="7"/>
    <cellStyle name="Percent" xfId="8" builtinId="5"/>
  </cellStyles>
  <dxfs count="1">
    <dxf>
      <font>
        <color theme="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externalLink" Target="externalLinks/externalLink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externalLink" Target="externalLinks/externalLink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dusfb/Age%20and%20Area/Age%20and%20Area%202006-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dusfb/Internet%20Projects/Forms/_Web%20Site/FB115A_Feb.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dusfb/Frame/REPORTS/2008-09%20FRAME%20Budge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13-14%20FRAME%20Actua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09-10%20FRAME%20Actual.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apital-D"/>
      <sheetName val="Data"/>
      <sheetName val="Form"/>
      <sheetName val="WI"/>
      <sheetName val="List"/>
      <sheetName val="Decades"/>
      <sheetName val="TU's"/>
      <sheetName val="Summary"/>
      <sheetName val="Summary (2)"/>
      <sheetName val="Colony Form"/>
      <sheetName val="Rented Space"/>
    </sheetNames>
    <sheetDataSet>
      <sheetData sheetId="0"/>
      <sheetData sheetId="1">
        <row r="9">
          <cell r="A9" t="str">
            <v>BE</v>
          </cell>
        </row>
        <row r="10">
          <cell r="A10" t="str">
            <v>BE</v>
          </cell>
        </row>
        <row r="11">
          <cell r="A11" t="str">
            <v>BE</v>
          </cell>
        </row>
        <row r="12">
          <cell r="A12" t="str">
            <v>BE</v>
          </cell>
        </row>
        <row r="13">
          <cell r="A13" t="str">
            <v>BE</v>
          </cell>
        </row>
        <row r="14">
          <cell r="A14" t="str">
            <v>BE</v>
          </cell>
        </row>
        <row r="15">
          <cell r="A15" t="str">
            <v>BE</v>
          </cell>
        </row>
        <row r="16">
          <cell r="A16" t="str">
            <v>BE</v>
          </cell>
        </row>
        <row r="17">
          <cell r="A17" t="str">
            <v>BE</v>
          </cell>
        </row>
        <row r="18">
          <cell r="A18" t="str">
            <v>BE</v>
          </cell>
        </row>
        <row r="19">
          <cell r="A19" t="str">
            <v>BE</v>
          </cell>
        </row>
        <row r="20">
          <cell r="A20" t="str">
            <v>BE</v>
          </cell>
        </row>
        <row r="21">
          <cell r="A21" t="str">
            <v>BE</v>
          </cell>
        </row>
        <row r="22">
          <cell r="A22" t="str">
            <v>BE</v>
          </cell>
        </row>
        <row r="23">
          <cell r="A23" t="str">
            <v>BO</v>
          </cell>
        </row>
        <row r="24">
          <cell r="A24" t="str">
            <v>BO</v>
          </cell>
        </row>
        <row r="25">
          <cell r="A25" t="str">
            <v>BO</v>
          </cell>
        </row>
        <row r="26">
          <cell r="A26" t="str">
            <v>BO</v>
          </cell>
        </row>
        <row r="27">
          <cell r="A27" t="str">
            <v>BO</v>
          </cell>
        </row>
        <row r="28">
          <cell r="A28" t="str">
            <v>BO</v>
          </cell>
        </row>
        <row r="29">
          <cell r="A29" t="str">
            <v>BO</v>
          </cell>
        </row>
        <row r="30">
          <cell r="A30" t="str">
            <v>BO</v>
          </cell>
        </row>
        <row r="31">
          <cell r="A31" t="str">
            <v>BO</v>
          </cell>
        </row>
        <row r="32">
          <cell r="A32" t="str">
            <v>BO</v>
          </cell>
        </row>
        <row r="33">
          <cell r="A33" t="str">
            <v>BO</v>
          </cell>
        </row>
        <row r="34">
          <cell r="A34" t="str">
            <v>BO</v>
          </cell>
        </row>
        <row r="35">
          <cell r="A35" t="str">
            <v>BO</v>
          </cell>
        </row>
        <row r="36">
          <cell r="A36" t="str">
            <v>BO</v>
          </cell>
        </row>
        <row r="37">
          <cell r="A37" t="str">
            <v>BO</v>
          </cell>
        </row>
        <row r="38">
          <cell r="A38" t="str">
            <v>BR</v>
          </cell>
        </row>
        <row r="39">
          <cell r="A39" t="str">
            <v>BR</v>
          </cell>
        </row>
        <row r="40">
          <cell r="A40" t="str">
            <v>BR</v>
          </cell>
        </row>
        <row r="41">
          <cell r="A41" t="str">
            <v>BR</v>
          </cell>
        </row>
        <row r="42">
          <cell r="A42" t="str">
            <v>BR</v>
          </cell>
        </row>
        <row r="43">
          <cell r="A43" t="str">
            <v>BR</v>
          </cell>
        </row>
        <row r="44">
          <cell r="A44" t="str">
            <v>BR</v>
          </cell>
        </row>
        <row r="45">
          <cell r="A45" t="str">
            <v>BR</v>
          </cell>
        </row>
        <row r="46">
          <cell r="A46" t="str">
            <v>BR</v>
          </cell>
        </row>
        <row r="47">
          <cell r="A47" t="str">
            <v>BR</v>
          </cell>
        </row>
        <row r="48">
          <cell r="A48" t="str">
            <v>BR</v>
          </cell>
        </row>
        <row r="49">
          <cell r="A49" t="str">
            <v>BR</v>
          </cell>
        </row>
        <row r="50">
          <cell r="A50" t="str">
            <v>BR</v>
          </cell>
        </row>
        <row r="51">
          <cell r="A51" t="str">
            <v>BR</v>
          </cell>
        </row>
        <row r="52">
          <cell r="A52" t="str">
            <v>BR</v>
          </cell>
        </row>
        <row r="53">
          <cell r="A53" t="str">
            <v>BR</v>
          </cell>
        </row>
        <row r="54">
          <cell r="A54" t="str">
            <v>BR</v>
          </cell>
        </row>
        <row r="55">
          <cell r="A55" t="str">
            <v>BR</v>
          </cell>
        </row>
        <row r="57">
          <cell r="A57" t="str">
            <v>BR</v>
          </cell>
        </row>
        <row r="58">
          <cell r="A58" t="str">
            <v>BR</v>
          </cell>
        </row>
        <row r="59">
          <cell r="A59" t="str">
            <v>BR</v>
          </cell>
        </row>
        <row r="60">
          <cell r="A60" t="str">
            <v>DI</v>
          </cell>
        </row>
        <row r="61">
          <cell r="A61" t="str">
            <v>DI</v>
          </cell>
        </row>
        <row r="62">
          <cell r="A62" t="str">
            <v>DI</v>
          </cell>
        </row>
        <row r="64">
          <cell r="A64" t="str">
            <v>DI</v>
          </cell>
        </row>
        <row r="65">
          <cell r="A65" t="str">
            <v>DI</v>
          </cell>
        </row>
        <row r="66">
          <cell r="A66" t="str">
            <v>DI</v>
          </cell>
        </row>
        <row r="67">
          <cell r="A67" t="str">
            <v>DI</v>
          </cell>
        </row>
        <row r="68">
          <cell r="A68" t="str">
            <v>DI</v>
          </cell>
        </row>
        <row r="70">
          <cell r="A70" t="str">
            <v>DI</v>
          </cell>
        </row>
        <row r="71">
          <cell r="A71" t="str">
            <v>DI</v>
          </cell>
        </row>
        <row r="72">
          <cell r="A72" t="str">
            <v>DI</v>
          </cell>
        </row>
        <row r="73">
          <cell r="A73" t="str">
            <v>DI</v>
          </cell>
        </row>
        <row r="74">
          <cell r="A74" t="str">
            <v>DI</v>
          </cell>
        </row>
        <row r="75">
          <cell r="A75" t="str">
            <v>DI</v>
          </cell>
        </row>
        <row r="76">
          <cell r="A76" t="str">
            <v>DI</v>
          </cell>
        </row>
        <row r="77">
          <cell r="A77" t="str">
            <v>DI</v>
          </cell>
        </row>
        <row r="78">
          <cell r="A78" t="str">
            <v>DI</v>
          </cell>
        </row>
        <row r="79">
          <cell r="A79" t="str">
            <v>DI</v>
          </cell>
        </row>
        <row r="80">
          <cell r="A80" t="str">
            <v>DI</v>
          </cell>
        </row>
        <row r="81">
          <cell r="A81" t="str">
            <v>DI</v>
          </cell>
        </row>
        <row r="82">
          <cell r="A82" t="str">
            <v>EV</v>
          </cell>
        </row>
        <row r="83">
          <cell r="A83" t="str">
            <v>EV</v>
          </cell>
        </row>
        <row r="84">
          <cell r="A84" t="str">
            <v>EV</v>
          </cell>
        </row>
        <row r="85">
          <cell r="A85" t="str">
            <v>EV</v>
          </cell>
        </row>
        <row r="86">
          <cell r="A86" t="str">
            <v>EV</v>
          </cell>
        </row>
        <row r="88">
          <cell r="A88" t="str">
            <v>EV</v>
          </cell>
        </row>
        <row r="89">
          <cell r="A89" t="str">
            <v>EV</v>
          </cell>
        </row>
        <row r="90">
          <cell r="A90" t="str">
            <v>FL</v>
          </cell>
        </row>
        <row r="91">
          <cell r="A91" t="str">
            <v>FL</v>
          </cell>
        </row>
        <row r="92">
          <cell r="A92" t="str">
            <v>FL</v>
          </cell>
        </row>
        <row r="93">
          <cell r="A93" t="str">
            <v>FL</v>
          </cell>
        </row>
        <row r="94">
          <cell r="A94" t="str">
            <v>FO</v>
          </cell>
        </row>
        <row r="95">
          <cell r="A95" t="str">
            <v>FO</v>
          </cell>
        </row>
        <row r="96">
          <cell r="A96" t="str">
            <v>FO</v>
          </cell>
        </row>
        <row r="97">
          <cell r="A97" t="str">
            <v>FO</v>
          </cell>
        </row>
        <row r="98">
          <cell r="A98" t="str">
            <v>FO</v>
          </cell>
        </row>
        <row r="99">
          <cell r="A99" t="str">
            <v>FO</v>
          </cell>
        </row>
        <row r="100">
          <cell r="A100" t="str">
            <v>FO</v>
          </cell>
        </row>
        <row r="101">
          <cell r="A101" t="str">
            <v>FO</v>
          </cell>
        </row>
        <row r="102">
          <cell r="A102" t="str">
            <v>FO</v>
          </cell>
        </row>
        <row r="103">
          <cell r="A103" t="str">
            <v>FO</v>
          </cell>
        </row>
        <row r="104">
          <cell r="A104" t="str">
            <v>FO</v>
          </cell>
        </row>
        <row r="105">
          <cell r="A105" t="str">
            <v>FR</v>
          </cell>
        </row>
        <row r="106">
          <cell r="A106" t="str">
            <v>FR</v>
          </cell>
        </row>
        <row r="107">
          <cell r="A107" t="str">
            <v>FR</v>
          </cell>
        </row>
        <row r="108">
          <cell r="A108" t="str">
            <v>FR</v>
          </cell>
        </row>
        <row r="109">
          <cell r="A109" t="str">
            <v>FR</v>
          </cell>
        </row>
        <row r="110">
          <cell r="A110" t="str">
            <v>FR</v>
          </cell>
        </row>
        <row r="111">
          <cell r="A111" t="str">
            <v>FR</v>
          </cell>
        </row>
        <row r="112">
          <cell r="A112" t="str">
            <v>FR</v>
          </cell>
        </row>
        <row r="113">
          <cell r="A113" t="str">
            <v>FR</v>
          </cell>
        </row>
        <row r="114">
          <cell r="A114" t="str">
            <v>FR</v>
          </cell>
        </row>
        <row r="115">
          <cell r="A115" t="str">
            <v>FR</v>
          </cell>
        </row>
        <row r="116">
          <cell r="A116" t="str">
            <v>FR</v>
          </cell>
        </row>
        <row r="117">
          <cell r="A117" t="str">
            <v>FR</v>
          </cell>
        </row>
        <row r="118">
          <cell r="A118" t="str">
            <v>FR</v>
          </cell>
        </row>
        <row r="119">
          <cell r="A119" t="str">
            <v>FR</v>
          </cell>
        </row>
        <row r="120">
          <cell r="A120" t="str">
            <v>FR</v>
          </cell>
        </row>
        <row r="121">
          <cell r="A121" t="str">
            <v>FR</v>
          </cell>
        </row>
        <row r="122">
          <cell r="A122" t="str">
            <v>FR</v>
          </cell>
        </row>
        <row r="123">
          <cell r="A123" t="str">
            <v>FR</v>
          </cell>
        </row>
        <row r="124">
          <cell r="A124" t="str">
            <v>FR</v>
          </cell>
        </row>
        <row r="125">
          <cell r="A125" t="str">
            <v>FR</v>
          </cell>
        </row>
        <row r="126">
          <cell r="A126" t="str">
            <v>FR</v>
          </cell>
        </row>
        <row r="127">
          <cell r="A127" t="str">
            <v>FR</v>
          </cell>
        </row>
        <row r="128">
          <cell r="A128" t="str">
            <v>FR</v>
          </cell>
        </row>
        <row r="129">
          <cell r="A129" t="str">
            <v>FR</v>
          </cell>
        </row>
        <row r="130">
          <cell r="A130" t="str">
            <v>FR</v>
          </cell>
        </row>
        <row r="131">
          <cell r="A131" t="str">
            <v>FR</v>
          </cell>
        </row>
        <row r="132">
          <cell r="A132" t="str">
            <v>FR</v>
          </cell>
        </row>
        <row r="133">
          <cell r="A133" t="str">
            <v>FR</v>
          </cell>
        </row>
        <row r="134">
          <cell r="A134" t="str">
            <v>FR</v>
          </cell>
        </row>
        <row r="135">
          <cell r="A135" t="str">
            <v>FR</v>
          </cell>
        </row>
        <row r="136">
          <cell r="A136" t="str">
            <v>FR</v>
          </cell>
        </row>
        <row r="137">
          <cell r="A137" t="str">
            <v>FR</v>
          </cell>
        </row>
        <row r="138">
          <cell r="A138" t="str">
            <v>FR</v>
          </cell>
        </row>
        <row r="139">
          <cell r="A139" t="str">
            <v>FR</v>
          </cell>
        </row>
        <row r="140">
          <cell r="A140" t="str">
            <v>FR</v>
          </cell>
        </row>
        <row r="141">
          <cell r="A141" t="str">
            <v>FR</v>
          </cell>
        </row>
        <row r="142">
          <cell r="A142" t="str">
            <v>FR</v>
          </cell>
        </row>
        <row r="143">
          <cell r="A143" t="str">
            <v>FR</v>
          </cell>
        </row>
        <row r="144">
          <cell r="A144" t="str">
            <v>GA</v>
          </cell>
        </row>
        <row r="145">
          <cell r="A145" t="str">
            <v>GA</v>
          </cell>
        </row>
        <row r="146">
          <cell r="A146" t="str">
            <v>GA</v>
          </cell>
        </row>
        <row r="147">
          <cell r="A147" t="str">
            <v>GA</v>
          </cell>
        </row>
        <row r="148">
          <cell r="A148" t="str">
            <v>GA</v>
          </cell>
        </row>
        <row r="149">
          <cell r="A149" t="str">
            <v>GA</v>
          </cell>
        </row>
        <row r="150">
          <cell r="A150" t="str">
            <v>GA</v>
          </cell>
        </row>
        <row r="151">
          <cell r="A151" t="str">
            <v>GA</v>
          </cell>
        </row>
        <row r="152">
          <cell r="A152" t="str">
            <v>GA</v>
          </cell>
        </row>
        <row r="153">
          <cell r="A153" t="str">
            <v>GA</v>
          </cell>
        </row>
        <row r="154">
          <cell r="A154" t="str">
            <v>HA</v>
          </cell>
        </row>
        <row r="155">
          <cell r="A155" t="str">
            <v>HA</v>
          </cell>
        </row>
        <row r="156">
          <cell r="A156" t="str">
            <v>HA</v>
          </cell>
        </row>
        <row r="157">
          <cell r="A157" t="str">
            <v>HA</v>
          </cell>
        </row>
        <row r="158">
          <cell r="A158" t="str">
            <v>HA</v>
          </cell>
        </row>
        <row r="159">
          <cell r="A159" t="str">
            <v>HA</v>
          </cell>
        </row>
        <row r="160">
          <cell r="A160" t="str">
            <v>HA</v>
          </cell>
        </row>
        <row r="161">
          <cell r="A161" t="str">
            <v>HA</v>
          </cell>
        </row>
        <row r="162">
          <cell r="A162" t="str">
            <v>HA</v>
          </cell>
        </row>
        <row r="163">
          <cell r="A163" t="str">
            <v>HA</v>
          </cell>
        </row>
        <row r="164">
          <cell r="A164" t="str">
            <v>HA</v>
          </cell>
        </row>
        <row r="165">
          <cell r="A165" t="str">
            <v>HA</v>
          </cell>
        </row>
        <row r="166">
          <cell r="A166" t="str">
            <v>HA</v>
          </cell>
        </row>
        <row r="167">
          <cell r="A167" t="str">
            <v>HA</v>
          </cell>
        </row>
        <row r="168">
          <cell r="A168" t="str">
            <v>HA</v>
          </cell>
        </row>
        <row r="169">
          <cell r="A169" t="str">
            <v>HA</v>
          </cell>
        </row>
        <row r="170">
          <cell r="A170" t="str">
            <v>HA</v>
          </cell>
        </row>
        <row r="171">
          <cell r="A171" t="str">
            <v>IN</v>
          </cell>
        </row>
        <row r="172">
          <cell r="A172" t="str">
            <v>IN</v>
          </cell>
        </row>
        <row r="173">
          <cell r="A173" t="str">
            <v>IN</v>
          </cell>
        </row>
        <row r="174">
          <cell r="A174" t="str">
            <v>IN</v>
          </cell>
        </row>
        <row r="175">
          <cell r="A175" t="str">
            <v>IN</v>
          </cell>
        </row>
        <row r="176">
          <cell r="A176" t="str">
            <v>IN</v>
          </cell>
        </row>
        <row r="177">
          <cell r="A177" t="str">
            <v>IN</v>
          </cell>
        </row>
        <row r="178">
          <cell r="A178" t="str">
            <v>IN</v>
          </cell>
        </row>
        <row r="179">
          <cell r="A179" t="str">
            <v>IN</v>
          </cell>
        </row>
        <row r="180">
          <cell r="A180" t="str">
            <v>IN</v>
          </cell>
        </row>
        <row r="181">
          <cell r="A181" t="str">
            <v>IN</v>
          </cell>
        </row>
        <row r="182">
          <cell r="A182" t="str">
            <v>IN</v>
          </cell>
        </row>
        <row r="183">
          <cell r="A183" t="str">
            <v>IN</v>
          </cell>
        </row>
        <row r="184">
          <cell r="A184" t="str">
            <v>IN</v>
          </cell>
        </row>
        <row r="185">
          <cell r="A185" t="str">
            <v>IN</v>
          </cell>
        </row>
        <row r="186">
          <cell r="A186" t="str">
            <v>IN</v>
          </cell>
        </row>
        <row r="187">
          <cell r="A187" t="str">
            <v>IN</v>
          </cell>
        </row>
        <row r="188">
          <cell r="A188" t="str">
            <v>IN</v>
          </cell>
        </row>
        <row r="189">
          <cell r="A189" t="str">
            <v>IN</v>
          </cell>
        </row>
        <row r="190">
          <cell r="A190" t="str">
            <v>IN</v>
          </cell>
        </row>
        <row r="191">
          <cell r="A191" t="str">
            <v>IN</v>
          </cell>
        </row>
        <row r="192">
          <cell r="A192" t="str">
            <v>KE</v>
          </cell>
        </row>
        <row r="193">
          <cell r="A193" t="str">
            <v>KE</v>
          </cell>
        </row>
        <row r="194">
          <cell r="A194" t="str">
            <v>KE</v>
          </cell>
        </row>
        <row r="195">
          <cell r="A195" t="str">
            <v>KE</v>
          </cell>
        </row>
        <row r="196">
          <cell r="A196" t="str">
            <v>KE</v>
          </cell>
        </row>
        <row r="197">
          <cell r="A197" t="str">
            <v>LA</v>
          </cell>
        </row>
        <row r="198">
          <cell r="A198" t="str">
            <v>LA</v>
          </cell>
        </row>
        <row r="200">
          <cell r="A200" t="str">
            <v>LA</v>
          </cell>
        </row>
        <row r="201">
          <cell r="A201" t="str">
            <v>LA</v>
          </cell>
        </row>
        <row r="202">
          <cell r="A202" t="str">
            <v>LA</v>
          </cell>
        </row>
        <row r="203">
          <cell r="A203" t="str">
            <v>LA</v>
          </cell>
        </row>
        <row r="204">
          <cell r="A204" t="str">
            <v>LA</v>
          </cell>
        </row>
        <row r="205">
          <cell r="A205" t="str">
            <v>LA</v>
          </cell>
        </row>
        <row r="206">
          <cell r="A206" t="str">
            <v>LA</v>
          </cell>
        </row>
        <row r="207">
          <cell r="A207" t="str">
            <v>LO</v>
          </cell>
        </row>
        <row r="208">
          <cell r="A208" t="str">
            <v>LO</v>
          </cell>
        </row>
        <row r="210">
          <cell r="A210" t="str">
            <v>LO</v>
          </cell>
        </row>
        <row r="211">
          <cell r="A211" t="str">
            <v>LO</v>
          </cell>
        </row>
        <row r="212">
          <cell r="A212" t="str">
            <v>LO</v>
          </cell>
        </row>
        <row r="213">
          <cell r="A213" t="str">
            <v>LO</v>
          </cell>
        </row>
        <row r="214">
          <cell r="A214" t="str">
            <v>LO</v>
          </cell>
        </row>
        <row r="215">
          <cell r="A215" t="str">
            <v>LO</v>
          </cell>
        </row>
        <row r="216">
          <cell r="A216" t="str">
            <v>LO</v>
          </cell>
        </row>
        <row r="217">
          <cell r="A217" t="str">
            <v>LO</v>
          </cell>
        </row>
        <row r="218">
          <cell r="A218" t="str">
            <v>LO</v>
          </cell>
        </row>
        <row r="219">
          <cell r="A219" t="str">
            <v>LO</v>
          </cell>
        </row>
        <row r="220">
          <cell r="A220" t="str">
            <v>LO</v>
          </cell>
        </row>
        <row r="221">
          <cell r="A221" t="str">
            <v>LR</v>
          </cell>
        </row>
        <row r="222">
          <cell r="A222" t="str">
            <v>LR</v>
          </cell>
        </row>
        <row r="223">
          <cell r="A223" t="str">
            <v>LR</v>
          </cell>
        </row>
        <row r="224">
          <cell r="A224" t="str">
            <v>LR</v>
          </cell>
        </row>
        <row r="225">
          <cell r="A225" t="str">
            <v>LR</v>
          </cell>
        </row>
        <row r="226">
          <cell r="A226" t="str">
            <v>LR</v>
          </cell>
        </row>
        <row r="227">
          <cell r="A227" t="str">
            <v>LR</v>
          </cell>
        </row>
        <row r="228">
          <cell r="A228" t="str">
            <v>LR</v>
          </cell>
        </row>
        <row r="229">
          <cell r="A229" t="str">
            <v>LR</v>
          </cell>
        </row>
        <row r="230">
          <cell r="A230" t="str">
            <v>LR</v>
          </cell>
        </row>
        <row r="231">
          <cell r="A231" t="str">
            <v>LR</v>
          </cell>
        </row>
        <row r="232">
          <cell r="A232" t="str">
            <v>LR</v>
          </cell>
        </row>
        <row r="233">
          <cell r="A233" t="str">
            <v>LR</v>
          </cell>
        </row>
        <row r="234">
          <cell r="A234" t="str">
            <v>LR</v>
          </cell>
        </row>
        <row r="235">
          <cell r="A235" t="str">
            <v>LR</v>
          </cell>
        </row>
        <row r="236">
          <cell r="A236" t="str">
            <v>LR</v>
          </cell>
        </row>
        <row r="237">
          <cell r="A237" t="str">
            <v>LR</v>
          </cell>
        </row>
        <row r="238">
          <cell r="A238" t="str">
            <v>LR</v>
          </cell>
        </row>
        <row r="239">
          <cell r="A239" t="str">
            <v>LR</v>
          </cell>
        </row>
        <row r="240">
          <cell r="A240" t="str">
            <v>LR</v>
          </cell>
        </row>
        <row r="241">
          <cell r="A241" t="str">
            <v>LR</v>
          </cell>
        </row>
        <row r="242">
          <cell r="A242" t="str">
            <v>LR</v>
          </cell>
        </row>
        <row r="243">
          <cell r="A243" t="str">
            <v>LR</v>
          </cell>
        </row>
        <row r="244">
          <cell r="A244" t="str">
            <v>LR</v>
          </cell>
        </row>
        <row r="245">
          <cell r="A245" t="str">
            <v>LR</v>
          </cell>
        </row>
        <row r="246">
          <cell r="A246" t="str">
            <v>LR</v>
          </cell>
        </row>
        <row r="247">
          <cell r="A247" t="str">
            <v>LR</v>
          </cell>
        </row>
        <row r="248">
          <cell r="A248" t="str">
            <v>LR</v>
          </cell>
        </row>
        <row r="249">
          <cell r="A249" t="str">
            <v>LR</v>
          </cell>
        </row>
        <row r="250">
          <cell r="A250" t="str">
            <v>LR</v>
          </cell>
        </row>
        <row r="251">
          <cell r="A251" t="str">
            <v>LR</v>
          </cell>
        </row>
        <row r="252">
          <cell r="A252" t="str">
            <v>LR</v>
          </cell>
        </row>
        <row r="253">
          <cell r="A253" t="str">
            <v>LR</v>
          </cell>
        </row>
        <row r="254">
          <cell r="A254" t="str">
            <v>LR</v>
          </cell>
        </row>
        <row r="255">
          <cell r="A255" t="str">
            <v>LR</v>
          </cell>
        </row>
        <row r="256">
          <cell r="A256" t="str">
            <v>LR</v>
          </cell>
        </row>
        <row r="257">
          <cell r="A257" t="str">
            <v>LR</v>
          </cell>
        </row>
        <row r="258">
          <cell r="A258" t="str">
            <v>LR</v>
          </cell>
        </row>
        <row r="259">
          <cell r="A259" t="str">
            <v>LR</v>
          </cell>
        </row>
        <row r="260">
          <cell r="A260" t="str">
            <v>MO</v>
          </cell>
        </row>
        <row r="261">
          <cell r="A261" t="str">
            <v>MO</v>
          </cell>
        </row>
        <row r="262">
          <cell r="A262" t="str">
            <v>MO</v>
          </cell>
        </row>
        <row r="263">
          <cell r="A263" t="str">
            <v>MO</v>
          </cell>
        </row>
        <row r="264">
          <cell r="A264" t="str">
            <v>MO</v>
          </cell>
        </row>
        <row r="265">
          <cell r="A265" t="str">
            <v>MO</v>
          </cell>
        </row>
        <row r="266">
          <cell r="A266" t="str">
            <v>MO</v>
          </cell>
        </row>
        <row r="267">
          <cell r="A267" t="str">
            <v>MO</v>
          </cell>
        </row>
        <row r="268">
          <cell r="A268" t="str">
            <v>MO</v>
          </cell>
        </row>
        <row r="269">
          <cell r="A269" t="str">
            <v>MO</v>
          </cell>
        </row>
        <row r="270">
          <cell r="A270" t="str">
            <v>MO</v>
          </cell>
        </row>
        <row r="271">
          <cell r="A271" t="str">
            <v>MO</v>
          </cell>
        </row>
        <row r="272">
          <cell r="A272" t="str">
            <v>MO</v>
          </cell>
        </row>
        <row r="273">
          <cell r="A273" t="str">
            <v>MO</v>
          </cell>
        </row>
        <row r="274">
          <cell r="A274" t="str">
            <v>MO</v>
          </cell>
        </row>
        <row r="275">
          <cell r="A275" t="str">
            <v>MO</v>
          </cell>
        </row>
        <row r="276">
          <cell r="A276" t="str">
            <v>MY</v>
          </cell>
        </row>
        <row r="277">
          <cell r="A277" t="str">
            <v>MY</v>
          </cell>
        </row>
        <row r="278">
          <cell r="A278" t="str">
            <v>MY</v>
          </cell>
        </row>
        <row r="279">
          <cell r="A279" t="str">
            <v>MY</v>
          </cell>
        </row>
        <row r="280">
          <cell r="A280" t="str">
            <v>MY</v>
          </cell>
        </row>
        <row r="281">
          <cell r="A281" t="str">
            <v>MY</v>
          </cell>
        </row>
        <row r="282">
          <cell r="A282" t="str">
            <v>MY</v>
          </cell>
        </row>
        <row r="283">
          <cell r="A283" t="str">
            <v>PA</v>
          </cell>
        </row>
        <row r="284">
          <cell r="A284" t="str">
            <v>PA</v>
          </cell>
        </row>
        <row r="285">
          <cell r="A285" t="str">
            <v>PA</v>
          </cell>
        </row>
        <row r="286">
          <cell r="A286" t="str">
            <v>PA</v>
          </cell>
        </row>
        <row r="287">
          <cell r="A287" t="str">
            <v>PA</v>
          </cell>
        </row>
        <row r="288">
          <cell r="A288" t="str">
            <v>PA</v>
          </cell>
        </row>
        <row r="289">
          <cell r="A289" t="str">
            <v>PA</v>
          </cell>
        </row>
        <row r="290">
          <cell r="A290" t="str">
            <v>PA</v>
          </cell>
        </row>
        <row r="291">
          <cell r="A291" t="str">
            <v>PA</v>
          </cell>
        </row>
        <row r="292">
          <cell r="A292" t="str">
            <v>PA</v>
          </cell>
        </row>
        <row r="293">
          <cell r="A293" t="str">
            <v>PA</v>
          </cell>
        </row>
        <row r="294">
          <cell r="A294" t="str">
            <v>PA</v>
          </cell>
        </row>
        <row r="295">
          <cell r="A295" t="str">
            <v>PA</v>
          </cell>
        </row>
        <row r="296">
          <cell r="A296" t="str">
            <v>PA</v>
          </cell>
        </row>
        <row r="297">
          <cell r="A297" t="str">
            <v>PE</v>
          </cell>
        </row>
        <row r="298">
          <cell r="A298" t="str">
            <v>PE</v>
          </cell>
        </row>
        <row r="299">
          <cell r="A299" t="str">
            <v>PE</v>
          </cell>
        </row>
        <row r="300">
          <cell r="A300" t="str">
            <v>PE</v>
          </cell>
        </row>
        <row r="301">
          <cell r="A301" t="str">
            <v>PE</v>
          </cell>
        </row>
        <row r="302">
          <cell r="A302" t="str">
            <v>PE</v>
          </cell>
        </row>
        <row r="303">
          <cell r="A303" t="str">
            <v>PE</v>
          </cell>
        </row>
        <row r="304">
          <cell r="A304" t="str">
            <v>PE</v>
          </cell>
        </row>
        <row r="305">
          <cell r="A305" t="str">
            <v>PE</v>
          </cell>
        </row>
        <row r="306">
          <cell r="A306" t="str">
            <v>PE</v>
          </cell>
        </row>
        <row r="307">
          <cell r="A307" t="str">
            <v>PE</v>
          </cell>
        </row>
        <row r="308">
          <cell r="A308" t="str">
            <v>PE</v>
          </cell>
        </row>
        <row r="309">
          <cell r="A309" t="str">
            <v>PE</v>
          </cell>
        </row>
        <row r="310">
          <cell r="A310" t="str">
            <v>PE</v>
          </cell>
        </row>
        <row r="311">
          <cell r="A311" t="str">
            <v>PE</v>
          </cell>
        </row>
        <row r="312">
          <cell r="A312" t="str">
            <v>PE</v>
          </cell>
        </row>
        <row r="313">
          <cell r="A313" t="str">
            <v>PE</v>
          </cell>
        </row>
        <row r="314">
          <cell r="A314" t="str">
            <v>PE</v>
          </cell>
        </row>
        <row r="315">
          <cell r="A315" t="str">
            <v>PE</v>
          </cell>
        </row>
        <row r="316">
          <cell r="A316" t="str">
            <v>PE</v>
          </cell>
        </row>
        <row r="317">
          <cell r="A317" t="str">
            <v>PE</v>
          </cell>
        </row>
        <row r="318">
          <cell r="A318" t="str">
            <v>PE</v>
          </cell>
        </row>
        <row r="319">
          <cell r="A319" t="str">
            <v>PE</v>
          </cell>
        </row>
        <row r="320">
          <cell r="A320" t="str">
            <v>PE</v>
          </cell>
        </row>
        <row r="321">
          <cell r="A321" t="str">
            <v>PE</v>
          </cell>
        </row>
        <row r="322">
          <cell r="A322" t="str">
            <v>PE</v>
          </cell>
        </row>
        <row r="323">
          <cell r="A323" t="str">
            <v>PE</v>
          </cell>
        </row>
        <row r="324">
          <cell r="A324" t="str">
            <v>PE</v>
          </cell>
        </row>
        <row r="325">
          <cell r="A325" t="str">
            <v>PE</v>
          </cell>
        </row>
        <row r="326">
          <cell r="A326" t="str">
            <v>PE</v>
          </cell>
        </row>
        <row r="327">
          <cell r="A327" t="str">
            <v>PE</v>
          </cell>
        </row>
        <row r="328">
          <cell r="A328" t="str">
            <v>PE</v>
          </cell>
        </row>
        <row r="329">
          <cell r="A329" t="str">
            <v>PE</v>
          </cell>
        </row>
        <row r="330">
          <cell r="A330" t="str">
            <v>PI</v>
          </cell>
        </row>
        <row r="331">
          <cell r="A331" t="str">
            <v>PI</v>
          </cell>
        </row>
        <row r="332">
          <cell r="A332" t="str">
            <v>PI</v>
          </cell>
        </row>
        <row r="333">
          <cell r="A333" t="str">
            <v>PI</v>
          </cell>
        </row>
        <row r="334">
          <cell r="A334" t="str">
            <v>PI</v>
          </cell>
        </row>
        <row r="335">
          <cell r="A335" t="str">
            <v>PI</v>
          </cell>
        </row>
        <row r="336">
          <cell r="A336" t="str">
            <v>PI</v>
          </cell>
        </row>
        <row r="337">
          <cell r="A337" t="str">
            <v>PI</v>
          </cell>
        </row>
        <row r="338">
          <cell r="A338" t="str">
            <v>PI</v>
          </cell>
        </row>
        <row r="339">
          <cell r="A339" t="str">
            <v>PI</v>
          </cell>
        </row>
        <row r="340">
          <cell r="A340" t="str">
            <v>PI</v>
          </cell>
        </row>
        <row r="341">
          <cell r="A341" t="str">
            <v>PI</v>
          </cell>
        </row>
        <row r="342">
          <cell r="A342" t="str">
            <v>PI</v>
          </cell>
        </row>
        <row r="343">
          <cell r="A343" t="str">
            <v>PO</v>
          </cell>
        </row>
        <row r="344">
          <cell r="A344" t="str">
            <v>PO</v>
          </cell>
        </row>
        <row r="345">
          <cell r="A345" t="str">
            <v>PO</v>
          </cell>
        </row>
        <row r="346">
          <cell r="A346" t="str">
            <v>PO</v>
          </cell>
        </row>
        <row r="347">
          <cell r="A347" t="str">
            <v>PO</v>
          </cell>
        </row>
        <row r="348">
          <cell r="A348" t="str">
            <v>PO</v>
          </cell>
        </row>
        <row r="349">
          <cell r="A349" t="str">
            <v>PO</v>
          </cell>
        </row>
        <row r="350">
          <cell r="A350" t="str">
            <v>PO</v>
          </cell>
        </row>
        <row r="351">
          <cell r="A351" t="str">
            <v>PO</v>
          </cell>
        </row>
        <row r="352">
          <cell r="A352" t="str">
            <v>PO</v>
          </cell>
        </row>
        <row r="353">
          <cell r="A353" t="str">
            <v>PO</v>
          </cell>
        </row>
        <row r="354">
          <cell r="A354" t="str">
            <v>PO</v>
          </cell>
        </row>
        <row r="355">
          <cell r="A355" t="str">
            <v>PO</v>
          </cell>
        </row>
        <row r="356">
          <cell r="A356" t="str">
            <v>PO</v>
          </cell>
        </row>
        <row r="357">
          <cell r="A357" t="str">
            <v>PO</v>
          </cell>
        </row>
        <row r="358">
          <cell r="A358" t="str">
            <v>PO</v>
          </cell>
        </row>
        <row r="359">
          <cell r="A359" t="str">
            <v>PO</v>
          </cell>
        </row>
        <row r="360">
          <cell r="A360" t="str">
            <v>PO</v>
          </cell>
        </row>
        <row r="361">
          <cell r="A361" t="str">
            <v>PO</v>
          </cell>
        </row>
        <row r="362">
          <cell r="A362" t="str">
            <v>PO</v>
          </cell>
        </row>
        <row r="363">
          <cell r="A363" t="str">
            <v>PR</v>
          </cell>
        </row>
        <row r="364">
          <cell r="A364" t="str">
            <v>PR</v>
          </cell>
        </row>
        <row r="365">
          <cell r="A365" t="str">
            <v>PR</v>
          </cell>
        </row>
        <row r="366">
          <cell r="A366" t="str">
            <v>PR</v>
          </cell>
        </row>
        <row r="367">
          <cell r="A367" t="str">
            <v>PR</v>
          </cell>
        </row>
        <row r="368">
          <cell r="A368" t="str">
            <v>PR</v>
          </cell>
        </row>
        <row r="369">
          <cell r="A369" t="str">
            <v>PR</v>
          </cell>
        </row>
        <row r="370">
          <cell r="A370" t="str">
            <v>PR</v>
          </cell>
        </row>
        <row r="371">
          <cell r="A371" t="str">
            <v>PR</v>
          </cell>
        </row>
        <row r="372">
          <cell r="A372" t="str">
            <v>PR</v>
          </cell>
        </row>
        <row r="373">
          <cell r="A373" t="str">
            <v>PR</v>
          </cell>
        </row>
        <row r="374">
          <cell r="A374" t="str">
            <v>PR</v>
          </cell>
        </row>
        <row r="375">
          <cell r="A375" t="str">
            <v>PR</v>
          </cell>
        </row>
        <row r="376">
          <cell r="A376" t="str">
            <v>PR</v>
          </cell>
        </row>
        <row r="377">
          <cell r="A377" t="str">
            <v>PR</v>
          </cell>
        </row>
        <row r="378">
          <cell r="A378" t="str">
            <v>PR</v>
          </cell>
        </row>
        <row r="379">
          <cell r="A379" t="str">
            <v>PR</v>
          </cell>
        </row>
        <row r="380">
          <cell r="A380" t="str">
            <v>PR</v>
          </cell>
        </row>
        <row r="381">
          <cell r="A381" t="str">
            <v>PR</v>
          </cell>
        </row>
        <row r="382">
          <cell r="A382" t="str">
            <v>PR</v>
          </cell>
        </row>
        <row r="383">
          <cell r="A383" t="str">
            <v>PR</v>
          </cell>
        </row>
        <row r="384">
          <cell r="A384" t="str">
            <v>PR</v>
          </cell>
        </row>
        <row r="385">
          <cell r="A385" t="str">
            <v>PR</v>
          </cell>
        </row>
        <row r="386">
          <cell r="A386" t="str">
            <v>PR</v>
          </cell>
        </row>
        <row r="387">
          <cell r="A387" t="str">
            <v>PR</v>
          </cell>
        </row>
        <row r="388">
          <cell r="A388" t="str">
            <v>PS</v>
          </cell>
        </row>
        <row r="389">
          <cell r="A389" t="str">
            <v>PS</v>
          </cell>
        </row>
        <row r="390">
          <cell r="A390" t="str">
            <v>PS</v>
          </cell>
        </row>
        <row r="391">
          <cell r="A391" t="str">
            <v>PS</v>
          </cell>
        </row>
        <row r="392">
          <cell r="A392" t="str">
            <v>PS</v>
          </cell>
        </row>
        <row r="393">
          <cell r="A393" t="str">
            <v>PS</v>
          </cell>
        </row>
        <row r="394">
          <cell r="A394" t="str">
            <v>PS</v>
          </cell>
        </row>
        <row r="395">
          <cell r="A395" t="str">
            <v>PS</v>
          </cell>
        </row>
        <row r="396">
          <cell r="A396" t="str">
            <v>PS</v>
          </cell>
        </row>
        <row r="397">
          <cell r="A397" t="str">
            <v>PS</v>
          </cell>
        </row>
        <row r="398">
          <cell r="A398" t="str">
            <v>PS</v>
          </cell>
        </row>
        <row r="399">
          <cell r="A399" t="str">
            <v>PS</v>
          </cell>
        </row>
        <row r="400">
          <cell r="A400" t="str">
            <v>PS</v>
          </cell>
        </row>
        <row r="401">
          <cell r="A401" t="str">
            <v>PS</v>
          </cell>
        </row>
        <row r="402">
          <cell r="A402" t="str">
            <v>PS</v>
          </cell>
        </row>
        <row r="403">
          <cell r="A403" t="str">
            <v>PS</v>
          </cell>
        </row>
        <row r="404">
          <cell r="A404" t="str">
            <v>PS</v>
          </cell>
        </row>
        <row r="405">
          <cell r="A405" t="str">
            <v>PS</v>
          </cell>
        </row>
        <row r="406">
          <cell r="A406" t="str">
            <v>PS</v>
          </cell>
        </row>
        <row r="408">
          <cell r="A408" t="str">
            <v>PS</v>
          </cell>
        </row>
        <row r="409">
          <cell r="A409" t="str">
            <v>PS</v>
          </cell>
        </row>
        <row r="410">
          <cell r="A410" t="str">
            <v>PS</v>
          </cell>
        </row>
        <row r="411">
          <cell r="A411" t="str">
            <v>PS</v>
          </cell>
        </row>
        <row r="412">
          <cell r="A412" t="str">
            <v>PS</v>
          </cell>
        </row>
        <row r="413">
          <cell r="A413" t="str">
            <v>PS</v>
          </cell>
        </row>
        <row r="414">
          <cell r="A414" t="str">
            <v>PS</v>
          </cell>
        </row>
        <row r="415">
          <cell r="A415" t="str">
            <v>PS</v>
          </cell>
        </row>
        <row r="416">
          <cell r="A416" t="str">
            <v>PS</v>
          </cell>
        </row>
        <row r="417">
          <cell r="A417" t="str">
            <v>RE</v>
          </cell>
        </row>
        <row r="418">
          <cell r="A418" t="str">
            <v>RE</v>
          </cell>
        </row>
        <row r="420">
          <cell r="A420" t="str">
            <v>RE</v>
          </cell>
        </row>
        <row r="421">
          <cell r="A421" t="str">
            <v>RE</v>
          </cell>
        </row>
        <row r="422">
          <cell r="A422" t="str">
            <v>RE</v>
          </cell>
        </row>
        <row r="423">
          <cell r="A423" t="str">
            <v>RE</v>
          </cell>
        </row>
        <row r="424">
          <cell r="A424" t="str">
            <v>RE</v>
          </cell>
        </row>
        <row r="425">
          <cell r="A425" t="str">
            <v>RE</v>
          </cell>
        </row>
        <row r="426">
          <cell r="A426" t="str">
            <v>RE</v>
          </cell>
        </row>
        <row r="427">
          <cell r="A427" t="str">
            <v>RE</v>
          </cell>
        </row>
        <row r="428">
          <cell r="A428" t="str">
            <v>RE</v>
          </cell>
        </row>
        <row r="429">
          <cell r="A429" t="str">
            <v>RE</v>
          </cell>
        </row>
        <row r="430">
          <cell r="A430" t="str">
            <v>RE</v>
          </cell>
        </row>
        <row r="431">
          <cell r="A431" t="str">
            <v>RE</v>
          </cell>
        </row>
        <row r="432">
          <cell r="A432" t="str">
            <v>RI</v>
          </cell>
        </row>
        <row r="433">
          <cell r="A433" t="str">
            <v>RI</v>
          </cell>
        </row>
        <row r="434">
          <cell r="A434" t="str">
            <v>RI</v>
          </cell>
        </row>
        <row r="435">
          <cell r="A435" t="str">
            <v>RI</v>
          </cell>
        </row>
        <row r="436">
          <cell r="A436" t="str">
            <v>RI</v>
          </cell>
        </row>
        <row r="437">
          <cell r="A437" t="str">
            <v>RI</v>
          </cell>
        </row>
        <row r="438">
          <cell r="A438" t="str">
            <v>RI</v>
          </cell>
        </row>
        <row r="439">
          <cell r="A439" t="str">
            <v>RI</v>
          </cell>
        </row>
        <row r="440">
          <cell r="A440" t="str">
            <v>RI</v>
          </cell>
        </row>
        <row r="441">
          <cell r="A441" t="str">
            <v>RI</v>
          </cell>
        </row>
        <row r="442">
          <cell r="A442" t="str">
            <v>RI</v>
          </cell>
        </row>
        <row r="443">
          <cell r="A443" t="str">
            <v>RI</v>
          </cell>
        </row>
        <row r="444">
          <cell r="A444" t="str">
            <v>RI</v>
          </cell>
        </row>
        <row r="445">
          <cell r="A445" t="str">
            <v>RI</v>
          </cell>
        </row>
        <row r="446">
          <cell r="A446" t="str">
            <v>RI</v>
          </cell>
        </row>
        <row r="447">
          <cell r="A447" t="str">
            <v>RI</v>
          </cell>
        </row>
        <row r="448">
          <cell r="A448" t="str">
            <v>RI</v>
          </cell>
        </row>
        <row r="449">
          <cell r="A449" t="str">
            <v>RI</v>
          </cell>
        </row>
        <row r="450">
          <cell r="A450" t="str">
            <v>RI</v>
          </cell>
        </row>
        <row r="451">
          <cell r="A451" t="str">
            <v>RI</v>
          </cell>
        </row>
        <row r="452">
          <cell r="A452" t="str">
            <v>RI</v>
          </cell>
        </row>
        <row r="453">
          <cell r="A453" t="str">
            <v>RI</v>
          </cell>
        </row>
        <row r="454">
          <cell r="A454" t="str">
            <v>RI</v>
          </cell>
        </row>
        <row r="455">
          <cell r="A455" t="str">
            <v>RI</v>
          </cell>
        </row>
        <row r="456">
          <cell r="A456" t="str">
            <v>RI</v>
          </cell>
        </row>
        <row r="457">
          <cell r="A457" t="str">
            <v>RI</v>
          </cell>
        </row>
        <row r="458">
          <cell r="A458" t="str">
            <v>RI</v>
          </cell>
        </row>
        <row r="459">
          <cell r="A459" t="str">
            <v>RI</v>
          </cell>
        </row>
        <row r="460">
          <cell r="A460" t="str">
            <v>RI</v>
          </cell>
        </row>
        <row r="461">
          <cell r="A461" t="str">
            <v>RI</v>
          </cell>
        </row>
        <row r="462">
          <cell r="A462" t="str">
            <v>RI</v>
          </cell>
        </row>
        <row r="463">
          <cell r="A463" t="str">
            <v>RI</v>
          </cell>
        </row>
        <row r="464">
          <cell r="A464" t="str">
            <v>RI</v>
          </cell>
        </row>
        <row r="465">
          <cell r="A465" t="str">
            <v>RI</v>
          </cell>
        </row>
        <row r="466">
          <cell r="A466" t="str">
            <v>RI</v>
          </cell>
        </row>
        <row r="467">
          <cell r="A467" t="str">
            <v>RI</v>
          </cell>
        </row>
        <row r="468">
          <cell r="A468" t="str">
            <v>RI</v>
          </cell>
        </row>
        <row r="469">
          <cell r="A469" t="str">
            <v>RI</v>
          </cell>
        </row>
        <row r="470">
          <cell r="A470" t="str">
            <v>RI</v>
          </cell>
        </row>
        <row r="471">
          <cell r="A471" t="str">
            <v>RI</v>
          </cell>
        </row>
        <row r="472">
          <cell r="A472" t="str">
            <v>RI</v>
          </cell>
        </row>
        <row r="473">
          <cell r="A473" t="str">
            <v>RI</v>
          </cell>
        </row>
        <row r="474">
          <cell r="A474" t="str">
            <v>RO</v>
          </cell>
        </row>
        <row r="475">
          <cell r="A475" t="str">
            <v>RO</v>
          </cell>
        </row>
        <row r="476">
          <cell r="A476" t="str">
            <v>RO</v>
          </cell>
        </row>
        <row r="477">
          <cell r="A477" t="str">
            <v>RO</v>
          </cell>
        </row>
        <row r="478">
          <cell r="A478" t="str">
            <v>RO</v>
          </cell>
        </row>
        <row r="479">
          <cell r="A479" t="str">
            <v>RO</v>
          </cell>
        </row>
        <row r="480">
          <cell r="A480" t="str">
            <v>RO</v>
          </cell>
        </row>
        <row r="481">
          <cell r="A481" t="str">
            <v>RO</v>
          </cell>
        </row>
        <row r="482">
          <cell r="A482" t="str">
            <v>RO</v>
          </cell>
        </row>
        <row r="483">
          <cell r="A483" t="str">
            <v>RO</v>
          </cell>
        </row>
        <row r="484">
          <cell r="A484" t="str">
            <v>RO</v>
          </cell>
        </row>
        <row r="485">
          <cell r="A485" t="str">
            <v>RO</v>
          </cell>
        </row>
        <row r="486">
          <cell r="A486" t="str">
            <v>RO</v>
          </cell>
        </row>
        <row r="487">
          <cell r="A487" t="str">
            <v>RO</v>
          </cell>
        </row>
        <row r="488">
          <cell r="A488" t="str">
            <v>RO</v>
          </cell>
        </row>
        <row r="489">
          <cell r="A489" t="str">
            <v>RO</v>
          </cell>
        </row>
        <row r="490">
          <cell r="A490" t="str">
            <v>SE</v>
          </cell>
        </row>
        <row r="491">
          <cell r="A491" t="str">
            <v>SE</v>
          </cell>
        </row>
        <row r="492">
          <cell r="A492" t="str">
            <v>SE</v>
          </cell>
        </row>
        <row r="493">
          <cell r="A493" t="str">
            <v>SE</v>
          </cell>
        </row>
        <row r="494">
          <cell r="A494" t="str">
            <v>SE</v>
          </cell>
        </row>
        <row r="495">
          <cell r="A495" t="str">
            <v>SE</v>
          </cell>
        </row>
        <row r="496">
          <cell r="A496" t="str">
            <v>SE</v>
          </cell>
        </row>
        <row r="498">
          <cell r="A498" t="str">
            <v>SE</v>
          </cell>
        </row>
        <row r="499">
          <cell r="A499" t="str">
            <v>SE</v>
          </cell>
        </row>
        <row r="500">
          <cell r="A500" t="str">
            <v>SE</v>
          </cell>
        </row>
        <row r="501">
          <cell r="A501" t="str">
            <v>SE</v>
          </cell>
        </row>
        <row r="502">
          <cell r="A502" t="str">
            <v>SE</v>
          </cell>
        </row>
        <row r="503">
          <cell r="A503" t="str">
            <v>SE</v>
          </cell>
        </row>
        <row r="504">
          <cell r="A504" t="str">
            <v>SE</v>
          </cell>
        </row>
        <row r="505">
          <cell r="A505" t="str">
            <v>SO</v>
          </cell>
        </row>
        <row r="506">
          <cell r="A506" t="str">
            <v>SO</v>
          </cell>
        </row>
        <row r="507">
          <cell r="A507" t="str">
            <v>SO</v>
          </cell>
        </row>
        <row r="508">
          <cell r="A508" t="str">
            <v>SO</v>
          </cell>
        </row>
        <row r="509">
          <cell r="A509" t="str">
            <v>SO</v>
          </cell>
        </row>
        <row r="510">
          <cell r="A510" t="str">
            <v>SO</v>
          </cell>
        </row>
        <row r="511">
          <cell r="A511" t="str">
            <v>SO</v>
          </cell>
        </row>
        <row r="512">
          <cell r="A512" t="str">
            <v>SO</v>
          </cell>
        </row>
        <row r="513">
          <cell r="A513" t="str">
            <v>SO</v>
          </cell>
        </row>
        <row r="514">
          <cell r="A514" t="str">
            <v>SO</v>
          </cell>
        </row>
        <row r="515">
          <cell r="A515" t="str">
            <v>SO</v>
          </cell>
        </row>
        <row r="516">
          <cell r="A516" t="str">
            <v>SO</v>
          </cell>
        </row>
        <row r="517">
          <cell r="A517" t="str">
            <v>SO</v>
          </cell>
        </row>
        <row r="518">
          <cell r="A518" t="str">
            <v>SO</v>
          </cell>
        </row>
        <row r="519">
          <cell r="A519" t="str">
            <v>SO</v>
          </cell>
        </row>
        <row r="520">
          <cell r="A520" t="str">
            <v>SO</v>
          </cell>
        </row>
        <row r="521">
          <cell r="A521" t="str">
            <v>SO</v>
          </cell>
        </row>
        <row r="522">
          <cell r="A522" t="str">
            <v>SO</v>
          </cell>
        </row>
        <row r="523">
          <cell r="A523" t="str">
            <v>SO</v>
          </cell>
        </row>
        <row r="524">
          <cell r="A524" t="str">
            <v>SO</v>
          </cell>
        </row>
        <row r="525">
          <cell r="A525" t="str">
            <v>SR</v>
          </cell>
        </row>
        <row r="526">
          <cell r="A526" t="str">
            <v>SR</v>
          </cell>
        </row>
        <row r="527">
          <cell r="A527" t="str">
            <v>SR</v>
          </cell>
        </row>
        <row r="528">
          <cell r="A528" t="str">
            <v>SR</v>
          </cell>
        </row>
        <row r="529">
          <cell r="A529" t="str">
            <v>SR</v>
          </cell>
        </row>
        <row r="530">
          <cell r="A530" t="str">
            <v>SR</v>
          </cell>
        </row>
        <row r="531">
          <cell r="A531" t="str">
            <v>SR</v>
          </cell>
        </row>
        <row r="532">
          <cell r="A532" t="str">
            <v>SR</v>
          </cell>
        </row>
        <row r="533">
          <cell r="A533" t="str">
            <v>SR</v>
          </cell>
        </row>
        <row r="534">
          <cell r="A534" t="str">
            <v>SR</v>
          </cell>
        </row>
        <row r="535">
          <cell r="A535" t="str">
            <v>SR</v>
          </cell>
        </row>
        <row r="536">
          <cell r="A536" t="str">
            <v>SR</v>
          </cell>
        </row>
        <row r="537">
          <cell r="A537" t="str">
            <v>SR</v>
          </cell>
        </row>
        <row r="538">
          <cell r="A538" t="str">
            <v>ST</v>
          </cell>
        </row>
        <row r="539">
          <cell r="A539" t="str">
            <v>ST</v>
          </cell>
        </row>
        <row r="540">
          <cell r="A540" t="str">
            <v>ST</v>
          </cell>
        </row>
        <row r="541">
          <cell r="A541" t="str">
            <v>ST</v>
          </cell>
        </row>
        <row r="542">
          <cell r="A542" t="str">
            <v>ST</v>
          </cell>
        </row>
        <row r="543">
          <cell r="A543" t="str">
            <v>ST</v>
          </cell>
        </row>
        <row r="544">
          <cell r="A544" t="str">
            <v>ST</v>
          </cell>
        </row>
        <row r="545">
          <cell r="A545" t="str">
            <v>ST</v>
          </cell>
        </row>
        <row r="547">
          <cell r="A547" t="str">
            <v>ST</v>
          </cell>
        </row>
        <row r="548">
          <cell r="A548" t="str">
            <v>ST</v>
          </cell>
        </row>
        <row r="549">
          <cell r="A549" t="str">
            <v>ST</v>
          </cell>
        </row>
        <row r="550">
          <cell r="A550" t="str">
            <v>ST</v>
          </cell>
        </row>
        <row r="551">
          <cell r="A551" t="str">
            <v>ST</v>
          </cell>
        </row>
        <row r="552">
          <cell r="A552" t="str">
            <v>ST</v>
          </cell>
        </row>
        <row r="553">
          <cell r="A553" t="str">
            <v>ST</v>
          </cell>
        </row>
        <row r="554">
          <cell r="A554" t="str">
            <v>ST</v>
          </cell>
        </row>
        <row r="555">
          <cell r="A555" t="str">
            <v>ST</v>
          </cell>
        </row>
        <row r="556">
          <cell r="A556" t="str">
            <v>ST</v>
          </cell>
        </row>
        <row r="557">
          <cell r="A557" t="str">
            <v>ST</v>
          </cell>
        </row>
        <row r="558">
          <cell r="A558" t="str">
            <v>ST</v>
          </cell>
        </row>
        <row r="559">
          <cell r="A559" t="str">
            <v>ST</v>
          </cell>
        </row>
        <row r="560">
          <cell r="A560" t="str">
            <v>ST</v>
          </cell>
        </row>
        <row r="561">
          <cell r="A561" t="str">
            <v>ST</v>
          </cell>
        </row>
        <row r="562">
          <cell r="A562" t="str">
            <v>ST</v>
          </cell>
        </row>
        <row r="563">
          <cell r="A563" t="str">
            <v>ST</v>
          </cell>
        </row>
        <row r="564">
          <cell r="A564" t="str">
            <v>SU</v>
          </cell>
        </row>
        <row r="565">
          <cell r="A565" t="str">
            <v>SU</v>
          </cell>
        </row>
        <row r="566">
          <cell r="A566" t="str">
            <v>SU</v>
          </cell>
        </row>
        <row r="567">
          <cell r="A567" t="str">
            <v>SU</v>
          </cell>
        </row>
        <row r="568">
          <cell r="A568" t="str">
            <v>SU</v>
          </cell>
        </row>
        <row r="569">
          <cell r="A569" t="str">
            <v>SU</v>
          </cell>
        </row>
        <row r="570">
          <cell r="A570" t="str">
            <v>SU</v>
          </cell>
        </row>
        <row r="571">
          <cell r="A571" t="str">
            <v>SU</v>
          </cell>
        </row>
        <row r="572">
          <cell r="A572" t="str">
            <v>SU</v>
          </cell>
        </row>
        <row r="573">
          <cell r="A573" t="str">
            <v>SU</v>
          </cell>
        </row>
        <row r="574">
          <cell r="A574" t="str">
            <v>SU</v>
          </cell>
        </row>
        <row r="575">
          <cell r="A575" t="str">
            <v>SU</v>
          </cell>
        </row>
        <row r="576">
          <cell r="A576" t="str">
            <v>SU</v>
          </cell>
        </row>
        <row r="577">
          <cell r="A577" t="str">
            <v>SU</v>
          </cell>
        </row>
        <row r="578">
          <cell r="A578" t="str">
            <v>SU</v>
          </cell>
        </row>
        <row r="579">
          <cell r="A579" t="str">
            <v>SU</v>
          </cell>
        </row>
        <row r="580">
          <cell r="A580" t="str">
            <v>SU</v>
          </cell>
        </row>
        <row r="581">
          <cell r="A581" t="str">
            <v>SU</v>
          </cell>
        </row>
        <row r="582">
          <cell r="A582" t="str">
            <v>SU</v>
          </cell>
        </row>
        <row r="583">
          <cell r="A583" t="str">
            <v>SU</v>
          </cell>
        </row>
        <row r="584">
          <cell r="A584" t="str">
            <v>SU</v>
          </cell>
        </row>
        <row r="585">
          <cell r="A585" t="str">
            <v>SW</v>
          </cell>
        </row>
        <row r="586">
          <cell r="A586" t="str">
            <v>SW</v>
          </cell>
        </row>
        <row r="587">
          <cell r="A587" t="str">
            <v>SW</v>
          </cell>
        </row>
        <row r="588">
          <cell r="A588" t="str">
            <v>SW</v>
          </cell>
        </row>
        <row r="589">
          <cell r="A589" t="str">
            <v>SW</v>
          </cell>
        </row>
        <row r="590">
          <cell r="A590" t="str">
            <v>SW</v>
          </cell>
        </row>
        <row r="591">
          <cell r="A591" t="str">
            <v>SW</v>
          </cell>
        </row>
        <row r="592">
          <cell r="A592" t="str">
            <v>SW</v>
          </cell>
        </row>
        <row r="593">
          <cell r="A593" t="str">
            <v>SW</v>
          </cell>
        </row>
        <row r="594">
          <cell r="A594" t="str">
            <v>TM</v>
          </cell>
        </row>
        <row r="596">
          <cell r="A596" t="str">
            <v>TM</v>
          </cell>
        </row>
        <row r="597">
          <cell r="A597" t="str">
            <v>TM</v>
          </cell>
        </row>
        <row r="598">
          <cell r="A598" t="str">
            <v>TM</v>
          </cell>
        </row>
        <row r="599">
          <cell r="A599" t="str">
            <v>TM</v>
          </cell>
        </row>
        <row r="600">
          <cell r="A600" t="str">
            <v>TM</v>
          </cell>
        </row>
        <row r="601">
          <cell r="A601" t="str">
            <v>TM</v>
          </cell>
        </row>
        <row r="602">
          <cell r="A602" t="str">
            <v>TR</v>
          </cell>
        </row>
        <row r="603">
          <cell r="A603" t="str">
            <v>TR</v>
          </cell>
        </row>
        <row r="604">
          <cell r="A604" t="str">
            <v>TR</v>
          </cell>
        </row>
        <row r="605">
          <cell r="A605" t="str">
            <v>TR</v>
          </cell>
        </row>
        <row r="606">
          <cell r="A606" t="str">
            <v>TR</v>
          </cell>
        </row>
        <row r="607">
          <cell r="A607" t="str">
            <v>TR</v>
          </cell>
        </row>
        <row r="608">
          <cell r="A608" t="str">
            <v>TR</v>
          </cell>
        </row>
        <row r="609">
          <cell r="A609" t="str">
            <v>WE</v>
          </cell>
        </row>
        <row r="610">
          <cell r="A610" t="str">
            <v>WE</v>
          </cell>
        </row>
        <row r="611">
          <cell r="A611" t="str">
            <v>WE</v>
          </cell>
        </row>
        <row r="612">
          <cell r="A612" t="str">
            <v>WE</v>
          </cell>
        </row>
        <row r="613">
          <cell r="A613" t="str">
            <v>WI</v>
          </cell>
        </row>
        <row r="614">
          <cell r="A614" t="str">
            <v>WI</v>
          </cell>
        </row>
        <row r="615">
          <cell r="A615" t="str">
            <v>WI</v>
          </cell>
        </row>
        <row r="616">
          <cell r="A616" t="str">
            <v>WI</v>
          </cell>
        </row>
        <row r="617">
          <cell r="A617" t="str">
            <v>WI</v>
          </cell>
        </row>
        <row r="618">
          <cell r="A618" t="str">
            <v>WI</v>
          </cell>
        </row>
        <row r="619">
          <cell r="A619" t="str">
            <v>WI</v>
          </cell>
        </row>
        <row r="620">
          <cell r="A620" t="str">
            <v>WI</v>
          </cell>
        </row>
        <row r="621">
          <cell r="A621" t="str">
            <v>WI</v>
          </cell>
        </row>
        <row r="623">
          <cell r="A623" t="str">
            <v>WI</v>
          </cell>
        </row>
        <row r="624">
          <cell r="A624" t="str">
            <v>WI</v>
          </cell>
        </row>
        <row r="625">
          <cell r="A625" t="str">
            <v>WI</v>
          </cell>
        </row>
        <row r="626">
          <cell r="A626" t="str">
            <v>WI</v>
          </cell>
        </row>
        <row r="627">
          <cell r="A627" t="str">
            <v>WI</v>
          </cell>
        </row>
        <row r="628">
          <cell r="A628" t="str">
            <v>WI</v>
          </cell>
        </row>
        <row r="629">
          <cell r="A629" t="str">
            <v>WI</v>
          </cell>
        </row>
        <row r="630">
          <cell r="A630" t="str">
            <v>WI</v>
          </cell>
        </row>
        <row r="631">
          <cell r="A631" t="str">
            <v>WI</v>
          </cell>
        </row>
        <row r="632">
          <cell r="A632" t="str">
            <v>WI</v>
          </cell>
        </row>
        <row r="633">
          <cell r="A633" t="str">
            <v>WI</v>
          </cell>
        </row>
        <row r="634">
          <cell r="A634" t="str">
            <v>WI</v>
          </cell>
        </row>
        <row r="635">
          <cell r="A635" t="str">
            <v>WI</v>
          </cell>
        </row>
        <row r="636">
          <cell r="A636" t="str">
            <v>WI</v>
          </cell>
        </row>
        <row r="637">
          <cell r="A637" t="str">
            <v>WI</v>
          </cell>
        </row>
        <row r="638">
          <cell r="A638" t="str">
            <v>WI</v>
          </cell>
        </row>
        <row r="639">
          <cell r="A639" t="str">
            <v>WI</v>
          </cell>
        </row>
        <row r="640">
          <cell r="A640" t="str">
            <v>WI</v>
          </cell>
        </row>
        <row r="641">
          <cell r="A641" t="str">
            <v>WI</v>
          </cell>
        </row>
        <row r="642">
          <cell r="A642" t="str">
            <v>WI</v>
          </cell>
        </row>
        <row r="643">
          <cell r="A643" t="str">
            <v>WI</v>
          </cell>
        </row>
        <row r="644">
          <cell r="A644" t="str">
            <v>WI</v>
          </cell>
        </row>
        <row r="646">
          <cell r="A646" t="str">
            <v>WI</v>
          </cell>
        </row>
        <row r="647">
          <cell r="A647" t="str">
            <v>WI</v>
          </cell>
        </row>
        <row r="648">
          <cell r="A648" t="str">
            <v>WI</v>
          </cell>
        </row>
        <row r="649">
          <cell r="A649" t="str">
            <v>WI</v>
          </cell>
        </row>
        <row r="650">
          <cell r="A650" t="str">
            <v>WI</v>
          </cell>
        </row>
        <row r="651">
          <cell r="A651" t="str">
            <v>WI</v>
          </cell>
        </row>
        <row r="652">
          <cell r="A652" t="str">
            <v>WI</v>
          </cell>
        </row>
        <row r="653">
          <cell r="A653" t="str">
            <v>WI</v>
          </cell>
        </row>
        <row r="654">
          <cell r="A654" t="str">
            <v>WI</v>
          </cell>
        </row>
        <row r="655">
          <cell r="A655" t="str">
            <v>WI</v>
          </cell>
        </row>
        <row r="656">
          <cell r="A656" t="str">
            <v>WI</v>
          </cell>
        </row>
        <row r="657">
          <cell r="A657" t="str">
            <v>WI</v>
          </cell>
        </row>
        <row r="658">
          <cell r="A658" t="str">
            <v>WI</v>
          </cell>
        </row>
        <row r="659">
          <cell r="A659" t="str">
            <v>WI</v>
          </cell>
        </row>
        <row r="661">
          <cell r="A661" t="str">
            <v>WI</v>
          </cell>
        </row>
        <row r="662">
          <cell r="A662" t="str">
            <v>WI</v>
          </cell>
        </row>
        <row r="663">
          <cell r="A663" t="str">
            <v>WI</v>
          </cell>
        </row>
        <row r="664">
          <cell r="A664" t="str">
            <v>WI</v>
          </cell>
        </row>
        <row r="665">
          <cell r="A665" t="str">
            <v>WI</v>
          </cell>
        </row>
        <row r="666">
          <cell r="A666" t="str">
            <v>WI</v>
          </cell>
        </row>
        <row r="667">
          <cell r="A667" t="str">
            <v>WI</v>
          </cell>
        </row>
        <row r="668">
          <cell r="A668" t="str">
            <v>WI</v>
          </cell>
        </row>
        <row r="669">
          <cell r="A669" t="str">
            <v>WI</v>
          </cell>
        </row>
        <row r="670">
          <cell r="A670" t="str">
            <v>WI</v>
          </cell>
        </row>
        <row r="671">
          <cell r="A671" t="str">
            <v>WI</v>
          </cell>
        </row>
        <row r="672">
          <cell r="A672" t="str">
            <v>WI</v>
          </cell>
        </row>
        <row r="673">
          <cell r="A673" t="str">
            <v>WI</v>
          </cell>
        </row>
        <row r="674">
          <cell r="A674" t="str">
            <v>WI</v>
          </cell>
        </row>
        <row r="675">
          <cell r="A675" t="str">
            <v>WI</v>
          </cell>
        </row>
        <row r="676">
          <cell r="A676" t="str">
            <v>WI</v>
          </cell>
        </row>
        <row r="677">
          <cell r="A677" t="str">
            <v>WI</v>
          </cell>
        </row>
        <row r="678">
          <cell r="A678" t="str">
            <v>WI</v>
          </cell>
        </row>
        <row r="679">
          <cell r="A679" t="str">
            <v>WI</v>
          </cell>
        </row>
        <row r="680">
          <cell r="A680" t="str">
            <v>WI</v>
          </cell>
        </row>
        <row r="681">
          <cell r="A681" t="str">
            <v>WI</v>
          </cell>
        </row>
        <row r="682">
          <cell r="A682" t="str">
            <v>WI</v>
          </cell>
        </row>
        <row r="683">
          <cell r="A683" t="str">
            <v>WI</v>
          </cell>
        </row>
        <row r="684">
          <cell r="A684" t="str">
            <v>WI</v>
          </cell>
        </row>
        <row r="685">
          <cell r="A685" t="str">
            <v>WI</v>
          </cell>
        </row>
        <row r="686">
          <cell r="A686" t="str">
            <v>WI</v>
          </cell>
        </row>
        <row r="687">
          <cell r="A687" t="str">
            <v>WI</v>
          </cell>
        </row>
        <row r="688">
          <cell r="A688" t="str">
            <v>WI</v>
          </cell>
        </row>
        <row r="689">
          <cell r="A689" t="str">
            <v>WI</v>
          </cell>
        </row>
        <row r="690">
          <cell r="A690" t="str">
            <v>WI</v>
          </cell>
        </row>
        <row r="691">
          <cell r="A691" t="str">
            <v>WI</v>
          </cell>
        </row>
        <row r="692">
          <cell r="A692" t="str">
            <v>XW</v>
          </cell>
        </row>
        <row r="693">
          <cell r="A693" t="str">
            <v>XW</v>
          </cell>
        </row>
        <row r="694">
          <cell r="A694" t="str">
            <v>FR</v>
          </cell>
        </row>
      </sheetData>
      <sheetData sheetId="2"/>
      <sheetData sheetId="3"/>
      <sheetData sheetId="4"/>
      <sheetData sheetId="5"/>
      <sheetData sheetId="6"/>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NTROL"/>
      <sheetName val="115A 2nd Semester"/>
      <sheetName val="DATA"/>
      <sheetName val="FB115A_Feb"/>
    </sheetNames>
    <sheetDataSet>
      <sheetData sheetId="0" refreshError="1"/>
      <sheetData sheetId="1" refreshError="1"/>
      <sheetData sheetId="2">
        <row r="1">
          <cell r="B1">
            <v>1</v>
          </cell>
          <cell r="D1" t="str">
            <v>Press arrow for your School Division Name -&gt;</v>
          </cell>
        </row>
        <row r="2">
          <cell r="D2" t="str">
            <v>BEAUTIFUL PLAINS</v>
          </cell>
        </row>
        <row r="3">
          <cell r="D3" t="str">
            <v>BORDER LAND</v>
          </cell>
        </row>
        <row r="4">
          <cell r="D4" t="str">
            <v>BRANDON</v>
          </cell>
        </row>
        <row r="5">
          <cell r="D5" t="str">
            <v>EVERGREEN</v>
          </cell>
        </row>
        <row r="6">
          <cell r="D6" t="str">
            <v>FLIN FLON</v>
          </cell>
        </row>
        <row r="7">
          <cell r="D7" t="str">
            <v>FORT LA BOSSE</v>
          </cell>
        </row>
        <row r="8">
          <cell r="D8" t="str">
            <v>FRONTIER</v>
          </cell>
        </row>
        <row r="9">
          <cell r="D9" t="str">
            <v>GARDEN VALLEY</v>
          </cell>
        </row>
        <row r="10">
          <cell r="D10" t="str">
            <v>HANOVER</v>
          </cell>
        </row>
        <row r="11">
          <cell r="D11" t="str">
            <v>INTERLAKE</v>
          </cell>
        </row>
        <row r="12">
          <cell r="D12" t="str">
            <v>KELSEY</v>
          </cell>
        </row>
        <row r="13">
          <cell r="D13" t="str">
            <v>LAKESHORE</v>
          </cell>
        </row>
        <row r="14">
          <cell r="D14" t="str">
            <v>LORD SELKIRK</v>
          </cell>
        </row>
        <row r="15">
          <cell r="D15" t="str">
            <v>LOUIS RIEL</v>
          </cell>
        </row>
        <row r="16">
          <cell r="D16" t="str">
            <v>MOUNTAIN VIEW</v>
          </cell>
        </row>
        <row r="17">
          <cell r="D17" t="str">
            <v>MYSTERY LAKE</v>
          </cell>
        </row>
        <row r="18">
          <cell r="D18" t="str">
            <v>PARK WEST</v>
          </cell>
        </row>
        <row r="19">
          <cell r="D19" t="str">
            <v>PEMBINA TRAILS</v>
          </cell>
        </row>
        <row r="20">
          <cell r="D20" t="str">
            <v>PINE CREEK</v>
          </cell>
        </row>
        <row r="21">
          <cell r="D21" t="str">
            <v>PINE FALLS</v>
          </cell>
        </row>
        <row r="22">
          <cell r="D22" t="str">
            <v>PORTAGE LA PRAIRIE</v>
          </cell>
        </row>
        <row r="23">
          <cell r="D23" t="str">
            <v>PRAIRIE ROSE</v>
          </cell>
        </row>
        <row r="24">
          <cell r="D24" t="str">
            <v>PRAIRIE SPIRIT</v>
          </cell>
        </row>
        <row r="25">
          <cell r="D25" t="str">
            <v>RED RIVER VALLEY</v>
          </cell>
        </row>
        <row r="26">
          <cell r="D26" t="str">
            <v>RIVER EAST TRANSCONA</v>
          </cell>
        </row>
        <row r="27">
          <cell r="D27" t="str">
            <v>ROLLING RIVER</v>
          </cell>
        </row>
        <row r="28">
          <cell r="D28" t="str">
            <v>SEINE RIVER</v>
          </cell>
        </row>
        <row r="29">
          <cell r="D29" t="str">
            <v>SEVEN OAKS</v>
          </cell>
        </row>
        <row r="30">
          <cell r="D30" t="str">
            <v>SOUTHWEST HORIZON</v>
          </cell>
        </row>
        <row r="31">
          <cell r="D31" t="str">
            <v>ST. JAMES-ASSINIBOIA</v>
          </cell>
        </row>
        <row r="32">
          <cell r="D32" t="str">
            <v>SUNRISE</v>
          </cell>
        </row>
        <row r="33">
          <cell r="D33" t="str">
            <v>SWAN VALLEY</v>
          </cell>
        </row>
        <row r="34">
          <cell r="D34" t="str">
            <v>TURTLE MOUNTAIN</v>
          </cell>
        </row>
        <row r="35">
          <cell r="D35" t="str">
            <v>TURTLE RIVER</v>
          </cell>
        </row>
        <row r="36">
          <cell r="D36" t="str">
            <v>WESTERN</v>
          </cell>
        </row>
        <row r="37">
          <cell r="D37" t="str">
            <v>WHITESHELL</v>
          </cell>
        </row>
        <row r="38">
          <cell r="D38" t="str">
            <v>WINNIPEG</v>
          </cell>
        </row>
        <row r="39">
          <cell r="D39" t="str">
            <v>WINNIPEG TECHNICAL COLLEGE</v>
          </cell>
        </row>
      </sheetData>
      <sheetData sheetId="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i"/>
      <sheetName val="- 1 -"/>
      <sheetName val="- 2 -"/>
      <sheetName val="- 3 -"/>
      <sheetName val="- 4 -"/>
      <sheetName val="- 5 -"/>
      <sheetName val="- 6 -"/>
      <sheetName val="- 7 -"/>
      <sheetName val="- 8 -"/>
      <sheetName val="- 9 -"/>
      <sheetName val="- 10 -"/>
      <sheetName val="- 11 -"/>
      <sheetName val="- 12 -"/>
      <sheetName val="- 13 -"/>
      <sheetName val="- 14 -"/>
      <sheetName val="- 15 -"/>
      <sheetName val="- 16 -"/>
      <sheetName val="- 17 -"/>
      <sheetName val="- 18 -"/>
      <sheetName val="- 19 -"/>
      <sheetName val="- 20 -"/>
      <sheetName val="- 21 -"/>
      <sheetName val="- 22 -"/>
      <sheetName val="- 23 -"/>
      <sheetName val="- 24 -"/>
      <sheetName val="- 25 -"/>
      <sheetName val="- 26 -"/>
      <sheetName val="- 27 -"/>
      <sheetName val="- 28 -"/>
      <sheetName val="- 29 -"/>
      <sheetName val="- 30 -"/>
      <sheetName val="- 31 -"/>
      <sheetName val="- 32 -"/>
      <sheetName val="- 33 -"/>
      <sheetName val="- 34 -"/>
      <sheetName val="- 35 -"/>
      <sheetName val="- 36 -"/>
      <sheetName val="- 37 -"/>
      <sheetName val="- 38 -"/>
      <sheetName val="- 39 -"/>
      <sheetName val="- 40 -"/>
      <sheetName val="- 41 -"/>
      <sheetName val="- 42 -"/>
      <sheetName val="- 43 -"/>
      <sheetName val="- 44 -"/>
      <sheetName val="- 45 -"/>
      <sheetName val="- 46 -"/>
      <sheetName val="- 47 -"/>
      <sheetName val="- 48 -"/>
      <sheetName val="- 49 -"/>
      <sheetName val="- 50 - "/>
      <sheetName val="- 51 -"/>
      <sheetName val="- 52 -"/>
      <sheetName val="- 53 -"/>
      <sheetName val="- 54 -"/>
      <sheetName val="- 55 -"/>
      <sheetName val="- 56 -"/>
      <sheetName val="- 57 -"/>
      <sheetName val="- 58 -"/>
      <sheetName val="- 59 -"/>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ow r="3">
          <cell r="B3" t="str">
            <v>FOR THE 2008 TAXATION YEAR</v>
          </cell>
        </row>
      </sheetData>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README"/>
      <sheetName val="- 3 -"/>
      <sheetName val="- 4 -"/>
      <sheetName val="- 6 -"/>
      <sheetName val="- 7 -"/>
      <sheetName val="- 8 -"/>
      <sheetName val="- 9 -"/>
      <sheetName val="- 10 -"/>
      <sheetName val="- 12 -"/>
      <sheetName val="- 13 -"/>
      <sheetName val="- 15 -"/>
      <sheetName val="- 16 -"/>
      <sheetName val="- 17 -"/>
      <sheetName val="- 18 -"/>
      <sheetName val="- 19 -"/>
      <sheetName val="- 20 -"/>
      <sheetName val="- 21 -"/>
      <sheetName val="- 22 -"/>
      <sheetName val="- 23 -"/>
      <sheetName val="- 24 -"/>
      <sheetName val="- 25 -"/>
      <sheetName val="- 26 -"/>
      <sheetName val="- 27 -"/>
      <sheetName val="- 28 -"/>
      <sheetName val="- 29 -"/>
      <sheetName val="- 30 -"/>
      <sheetName val="- 31 -"/>
      <sheetName val="- 32 -"/>
      <sheetName val="- 33 -"/>
      <sheetName val="- 34 -"/>
      <sheetName val="- 35 -"/>
      <sheetName val="- 36 -"/>
      <sheetName val="- 37 -"/>
      <sheetName val="- 38 -"/>
      <sheetName val="- 39 -"/>
      <sheetName val="- 41 -"/>
      <sheetName val="- 42 -"/>
      <sheetName val="- 43 -"/>
      <sheetName val="- 44 -"/>
      <sheetName val="- 45 -"/>
      <sheetName val="- 46 -"/>
      <sheetName val="- 47 -"/>
      <sheetName val="- 48 -"/>
      <sheetName val="- 49 -"/>
      <sheetName val="- 50 -"/>
      <sheetName val="- 51 -"/>
      <sheetName val="- 52 -"/>
      <sheetName val="- 54 -"/>
      <sheetName val="- 55 - "/>
      <sheetName val="- 56 -"/>
      <sheetName val="- 58 -"/>
      <sheetName val="- 59 -"/>
      <sheetName val="- 60 -"/>
      <sheetName val="- 61 -"/>
      <sheetName val="- 62 -"/>
      <sheetName val="- 63 -"/>
      <sheetName val="- 64 -"/>
      <sheetName val="- 65 -"/>
      <sheetName val="- 66 -"/>
      <sheetName val="- 67 -"/>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README"/>
      <sheetName val="- 3 -"/>
      <sheetName val="- 4 -"/>
      <sheetName val="- 6 -"/>
      <sheetName val="- 7 -"/>
      <sheetName val="- 8 -"/>
      <sheetName val="- 9 -"/>
      <sheetName val="- 10 -"/>
      <sheetName val="- 12 -"/>
      <sheetName val="- 13 -"/>
      <sheetName val="- 15 -"/>
      <sheetName val="- 16 -"/>
      <sheetName val="- 17 -"/>
      <sheetName val="- 18 -"/>
      <sheetName val="- 19 -"/>
      <sheetName val="- 20 -"/>
      <sheetName val="- 21 -"/>
      <sheetName val="- 22 -"/>
      <sheetName val="- 23 -"/>
      <sheetName val="- 24 -"/>
      <sheetName val="- 25 -"/>
      <sheetName val="- 26 -"/>
      <sheetName val="- 27 -"/>
      <sheetName val="- 28 -"/>
      <sheetName val="- 29 -"/>
      <sheetName val="- 30 -"/>
      <sheetName val="- 31 -"/>
      <sheetName val="- 32 -"/>
      <sheetName val="- 33 -"/>
      <sheetName val="- 34 -"/>
      <sheetName val="- 35 -"/>
      <sheetName val="- 36 -"/>
      <sheetName val="- 37 -"/>
      <sheetName val="- 38 -"/>
      <sheetName val="- 39 -"/>
      <sheetName val="- 41 -"/>
      <sheetName val="- 42 -"/>
      <sheetName val="- 43 -"/>
      <sheetName val="- 44 -"/>
      <sheetName val="- 45 -"/>
      <sheetName val="- 46 -"/>
      <sheetName val="- 47 -"/>
      <sheetName val="- 48 -"/>
      <sheetName val="- 49 -"/>
      <sheetName val="- 50 -"/>
      <sheetName val="- 51 -"/>
      <sheetName val="- 52 -"/>
      <sheetName val="- 54 -"/>
      <sheetName val="- 55 - "/>
      <sheetName val="- 56 -"/>
      <sheetName val="- 58 -"/>
      <sheetName val="- 59 -"/>
      <sheetName val="- 60 -"/>
      <sheetName val="- 61 -"/>
      <sheetName val="- 62 -"/>
      <sheetName val="- 63 -"/>
      <sheetName val="- 64 -"/>
      <sheetName val="- 65 -"/>
      <sheetName val="- 66 -"/>
      <sheetName val="- 67 -"/>
      <sheetName val="Data"/>
    </sheetNames>
    <sheetDataSet>
      <sheetData sheetId="0"/>
      <sheetData sheetId="1">
        <row r="3">
          <cell r="A3" t="str">
            <v>OPERATING FUND 2009/2010 ACTUAL</v>
          </cell>
        </row>
      </sheetData>
      <sheetData sheetId="2"/>
      <sheetData sheetId="3">
        <row r="3">
          <cell r="B3" t="str">
            <v>ACTUAL SEPTEMBER 30, 2009</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1">
          <cell r="B1" t="str">
            <v>ANALYSIS OF OPERATING FUND REVENUE: 2009/2010 ACTUAL</v>
          </cell>
        </row>
      </sheetData>
      <sheetData sheetId="37"/>
      <sheetData sheetId="38"/>
      <sheetData sheetId="39"/>
      <sheetData sheetId="40"/>
      <sheetData sheetId="41"/>
      <sheetData sheetId="42"/>
      <sheetData sheetId="43"/>
      <sheetData sheetId="44"/>
      <sheetData sheetId="45"/>
      <sheetData sheetId="46">
        <row r="3">
          <cell r="B3" t="str">
            <v>FOR THE 2009 TAXATION YEAR</v>
          </cell>
        </row>
      </sheetData>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4">
          <cell r="B4" t="str">
            <v>2008/09</v>
          </cell>
        </row>
        <row r="5">
          <cell r="B5" t="str">
            <v>2009/10</v>
          </cell>
        </row>
        <row r="6">
          <cell r="B6">
            <v>2009</v>
          </cell>
        </row>
        <row r="7">
          <cell r="B7" t="str">
            <v>2010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2" Type="http://schemas.openxmlformats.org/officeDocument/2006/relationships/printerSettings" Target="../printerSettings/printerSettings39.bin"/><Relationship Id="rId1" Type="http://schemas.openxmlformats.org/officeDocument/2006/relationships/hyperlink" Target="http://www.edu.gov.mb.ca/k12/finance/frame_manual/index.html" TargetMode="External"/></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WVK19"/>
  <sheetViews>
    <sheetView showRowColHeaders="0" tabSelected="1" workbookViewId="0"/>
  </sheetViews>
  <sheetFormatPr defaultColWidth="0" defaultRowHeight="12" customHeight="1" zeroHeight="1"/>
  <cols>
    <col min="1" max="1" width="9.33203125" style="860" customWidth="1"/>
    <col min="2" max="2" width="133.5" style="860" customWidth="1"/>
    <col min="3" max="3" width="9.33203125" style="860" customWidth="1"/>
    <col min="4" max="256" width="0" style="860" hidden="1"/>
    <col min="257" max="257" width="9.33203125" style="860" hidden="1" customWidth="1"/>
    <col min="258" max="258" width="133.5" style="860" hidden="1" customWidth="1"/>
    <col min="259" max="259" width="9.33203125" style="860" hidden="1" customWidth="1"/>
    <col min="260" max="512" width="0" style="860" hidden="1"/>
    <col min="513" max="513" width="9.33203125" style="860" hidden="1" customWidth="1"/>
    <col min="514" max="514" width="133.5" style="860" hidden="1" customWidth="1"/>
    <col min="515" max="515" width="9.33203125" style="860" hidden="1" customWidth="1"/>
    <col min="516" max="768" width="0" style="860" hidden="1"/>
    <col min="769" max="769" width="9.33203125" style="860" hidden="1" customWidth="1"/>
    <col min="770" max="770" width="133.5" style="860" hidden="1" customWidth="1"/>
    <col min="771" max="771" width="9.33203125" style="860" hidden="1" customWidth="1"/>
    <col min="772" max="1024" width="0" style="860" hidden="1"/>
    <col min="1025" max="1025" width="9.33203125" style="860" hidden="1" customWidth="1"/>
    <col min="1026" max="1026" width="133.5" style="860" hidden="1" customWidth="1"/>
    <col min="1027" max="1027" width="9.33203125" style="860" hidden="1" customWidth="1"/>
    <col min="1028" max="1280" width="0" style="860" hidden="1"/>
    <col min="1281" max="1281" width="9.33203125" style="860" hidden="1" customWidth="1"/>
    <col min="1282" max="1282" width="133.5" style="860" hidden="1" customWidth="1"/>
    <col min="1283" max="1283" width="9.33203125" style="860" hidden="1" customWidth="1"/>
    <col min="1284" max="1536" width="0" style="860" hidden="1"/>
    <col min="1537" max="1537" width="9.33203125" style="860" hidden="1" customWidth="1"/>
    <col min="1538" max="1538" width="133.5" style="860" hidden="1" customWidth="1"/>
    <col min="1539" max="1539" width="9.33203125" style="860" hidden="1" customWidth="1"/>
    <col min="1540" max="1792" width="0" style="860" hidden="1"/>
    <col min="1793" max="1793" width="9.33203125" style="860" hidden="1" customWidth="1"/>
    <col min="1794" max="1794" width="133.5" style="860" hidden="1" customWidth="1"/>
    <col min="1795" max="1795" width="9.33203125" style="860" hidden="1" customWidth="1"/>
    <col min="1796" max="2048" width="0" style="860" hidden="1"/>
    <col min="2049" max="2049" width="9.33203125" style="860" hidden="1" customWidth="1"/>
    <col min="2050" max="2050" width="133.5" style="860" hidden="1" customWidth="1"/>
    <col min="2051" max="2051" width="9.33203125" style="860" hidden="1" customWidth="1"/>
    <col min="2052" max="2304" width="0" style="860" hidden="1"/>
    <col min="2305" max="2305" width="9.33203125" style="860" hidden="1" customWidth="1"/>
    <col min="2306" max="2306" width="133.5" style="860" hidden="1" customWidth="1"/>
    <col min="2307" max="2307" width="9.33203125" style="860" hidden="1" customWidth="1"/>
    <col min="2308" max="2560" width="0" style="860" hidden="1"/>
    <col min="2561" max="2561" width="9.33203125" style="860" hidden="1" customWidth="1"/>
    <col min="2562" max="2562" width="133.5" style="860" hidden="1" customWidth="1"/>
    <col min="2563" max="2563" width="9.33203125" style="860" hidden="1" customWidth="1"/>
    <col min="2564" max="2816" width="0" style="860" hidden="1"/>
    <col min="2817" max="2817" width="9.33203125" style="860" hidden="1" customWidth="1"/>
    <col min="2818" max="2818" width="133.5" style="860" hidden="1" customWidth="1"/>
    <col min="2819" max="2819" width="9.33203125" style="860" hidden="1" customWidth="1"/>
    <col min="2820" max="3072" width="0" style="860" hidden="1"/>
    <col min="3073" max="3073" width="9.33203125" style="860" hidden="1" customWidth="1"/>
    <col min="3074" max="3074" width="133.5" style="860" hidden="1" customWidth="1"/>
    <col min="3075" max="3075" width="9.33203125" style="860" hidden="1" customWidth="1"/>
    <col min="3076" max="3328" width="0" style="860" hidden="1"/>
    <col min="3329" max="3329" width="9.33203125" style="860" hidden="1" customWidth="1"/>
    <col min="3330" max="3330" width="133.5" style="860" hidden="1" customWidth="1"/>
    <col min="3331" max="3331" width="9.33203125" style="860" hidden="1" customWidth="1"/>
    <col min="3332" max="3584" width="0" style="860" hidden="1"/>
    <col min="3585" max="3585" width="9.33203125" style="860" hidden="1" customWidth="1"/>
    <col min="3586" max="3586" width="133.5" style="860" hidden="1" customWidth="1"/>
    <col min="3587" max="3587" width="9.33203125" style="860" hidden="1" customWidth="1"/>
    <col min="3588" max="3840" width="0" style="860" hidden="1"/>
    <col min="3841" max="3841" width="9.33203125" style="860" hidden="1" customWidth="1"/>
    <col min="3842" max="3842" width="133.5" style="860" hidden="1" customWidth="1"/>
    <col min="3843" max="3843" width="9.33203125" style="860" hidden="1" customWidth="1"/>
    <col min="3844" max="4096" width="0" style="860" hidden="1"/>
    <col min="4097" max="4097" width="9.33203125" style="860" hidden="1" customWidth="1"/>
    <col min="4098" max="4098" width="133.5" style="860" hidden="1" customWidth="1"/>
    <col min="4099" max="4099" width="9.33203125" style="860" hidden="1" customWidth="1"/>
    <col min="4100" max="4352" width="0" style="860" hidden="1"/>
    <col min="4353" max="4353" width="9.33203125" style="860" hidden="1" customWidth="1"/>
    <col min="4354" max="4354" width="133.5" style="860" hidden="1" customWidth="1"/>
    <col min="4355" max="4355" width="9.33203125" style="860" hidden="1" customWidth="1"/>
    <col min="4356" max="4608" width="0" style="860" hidden="1"/>
    <col min="4609" max="4609" width="9.33203125" style="860" hidden="1" customWidth="1"/>
    <col min="4610" max="4610" width="133.5" style="860" hidden="1" customWidth="1"/>
    <col min="4611" max="4611" width="9.33203125" style="860" hidden="1" customWidth="1"/>
    <col min="4612" max="4864" width="0" style="860" hidden="1"/>
    <col min="4865" max="4865" width="9.33203125" style="860" hidden="1" customWidth="1"/>
    <col min="4866" max="4866" width="133.5" style="860" hidden="1" customWidth="1"/>
    <col min="4867" max="4867" width="9.33203125" style="860" hidden="1" customWidth="1"/>
    <col min="4868" max="5120" width="0" style="860" hidden="1"/>
    <col min="5121" max="5121" width="9.33203125" style="860" hidden="1" customWidth="1"/>
    <col min="5122" max="5122" width="133.5" style="860" hidden="1" customWidth="1"/>
    <col min="5123" max="5123" width="9.33203125" style="860" hidden="1" customWidth="1"/>
    <col min="5124" max="5376" width="0" style="860" hidden="1"/>
    <col min="5377" max="5377" width="9.33203125" style="860" hidden="1" customWidth="1"/>
    <col min="5378" max="5378" width="133.5" style="860" hidden="1" customWidth="1"/>
    <col min="5379" max="5379" width="9.33203125" style="860" hidden="1" customWidth="1"/>
    <col min="5380" max="5632" width="0" style="860" hidden="1"/>
    <col min="5633" max="5633" width="9.33203125" style="860" hidden="1" customWidth="1"/>
    <col min="5634" max="5634" width="133.5" style="860" hidden="1" customWidth="1"/>
    <col min="5635" max="5635" width="9.33203125" style="860" hidden="1" customWidth="1"/>
    <col min="5636" max="5888" width="0" style="860" hidden="1"/>
    <col min="5889" max="5889" width="9.33203125" style="860" hidden="1" customWidth="1"/>
    <col min="5890" max="5890" width="133.5" style="860" hidden="1" customWidth="1"/>
    <col min="5891" max="5891" width="9.33203125" style="860" hidden="1" customWidth="1"/>
    <col min="5892" max="6144" width="0" style="860" hidden="1"/>
    <col min="6145" max="6145" width="9.33203125" style="860" hidden="1" customWidth="1"/>
    <col min="6146" max="6146" width="133.5" style="860" hidden="1" customWidth="1"/>
    <col min="6147" max="6147" width="9.33203125" style="860" hidden="1" customWidth="1"/>
    <col min="6148" max="6400" width="0" style="860" hidden="1"/>
    <col min="6401" max="6401" width="9.33203125" style="860" hidden="1" customWidth="1"/>
    <col min="6402" max="6402" width="133.5" style="860" hidden="1" customWidth="1"/>
    <col min="6403" max="6403" width="9.33203125" style="860" hidden="1" customWidth="1"/>
    <col min="6404" max="6656" width="0" style="860" hidden="1"/>
    <col min="6657" max="6657" width="9.33203125" style="860" hidden="1" customWidth="1"/>
    <col min="6658" max="6658" width="133.5" style="860" hidden="1" customWidth="1"/>
    <col min="6659" max="6659" width="9.33203125" style="860" hidden="1" customWidth="1"/>
    <col min="6660" max="6912" width="0" style="860" hidden="1"/>
    <col min="6913" max="6913" width="9.33203125" style="860" hidden="1" customWidth="1"/>
    <col min="6914" max="6914" width="133.5" style="860" hidden="1" customWidth="1"/>
    <col min="6915" max="6915" width="9.33203125" style="860" hidden="1" customWidth="1"/>
    <col min="6916" max="7168" width="0" style="860" hidden="1"/>
    <col min="7169" max="7169" width="9.33203125" style="860" hidden="1" customWidth="1"/>
    <col min="7170" max="7170" width="133.5" style="860" hidden="1" customWidth="1"/>
    <col min="7171" max="7171" width="9.33203125" style="860" hidden="1" customWidth="1"/>
    <col min="7172" max="7424" width="0" style="860" hidden="1"/>
    <col min="7425" max="7425" width="9.33203125" style="860" hidden="1" customWidth="1"/>
    <col min="7426" max="7426" width="133.5" style="860" hidden="1" customWidth="1"/>
    <col min="7427" max="7427" width="9.33203125" style="860" hidden="1" customWidth="1"/>
    <col min="7428" max="7680" width="0" style="860" hidden="1"/>
    <col min="7681" max="7681" width="9.33203125" style="860" hidden="1" customWidth="1"/>
    <col min="7682" max="7682" width="133.5" style="860" hidden="1" customWidth="1"/>
    <col min="7683" max="7683" width="9.33203125" style="860" hidden="1" customWidth="1"/>
    <col min="7684" max="7936" width="0" style="860" hidden="1"/>
    <col min="7937" max="7937" width="9.33203125" style="860" hidden="1" customWidth="1"/>
    <col min="7938" max="7938" width="133.5" style="860" hidden="1" customWidth="1"/>
    <col min="7939" max="7939" width="9.33203125" style="860" hidden="1" customWidth="1"/>
    <col min="7940" max="8192" width="0" style="860" hidden="1"/>
    <col min="8193" max="8193" width="9.33203125" style="860" hidden="1" customWidth="1"/>
    <col min="8194" max="8194" width="133.5" style="860" hidden="1" customWidth="1"/>
    <col min="8195" max="8195" width="9.33203125" style="860" hidden="1" customWidth="1"/>
    <col min="8196" max="8448" width="0" style="860" hidden="1"/>
    <col min="8449" max="8449" width="9.33203125" style="860" hidden="1" customWidth="1"/>
    <col min="8450" max="8450" width="133.5" style="860" hidden="1" customWidth="1"/>
    <col min="8451" max="8451" width="9.33203125" style="860" hidden="1" customWidth="1"/>
    <col min="8452" max="8704" width="0" style="860" hidden="1"/>
    <col min="8705" max="8705" width="9.33203125" style="860" hidden="1" customWidth="1"/>
    <col min="8706" max="8706" width="133.5" style="860" hidden="1" customWidth="1"/>
    <col min="8707" max="8707" width="9.33203125" style="860" hidden="1" customWidth="1"/>
    <col min="8708" max="8960" width="0" style="860" hidden="1"/>
    <col min="8961" max="8961" width="9.33203125" style="860" hidden="1" customWidth="1"/>
    <col min="8962" max="8962" width="133.5" style="860" hidden="1" customWidth="1"/>
    <col min="8963" max="8963" width="9.33203125" style="860" hidden="1" customWidth="1"/>
    <col min="8964" max="9216" width="0" style="860" hidden="1"/>
    <col min="9217" max="9217" width="9.33203125" style="860" hidden="1" customWidth="1"/>
    <col min="9218" max="9218" width="133.5" style="860" hidden="1" customWidth="1"/>
    <col min="9219" max="9219" width="9.33203125" style="860" hidden="1" customWidth="1"/>
    <col min="9220" max="9472" width="0" style="860" hidden="1"/>
    <col min="9473" max="9473" width="9.33203125" style="860" hidden="1" customWidth="1"/>
    <col min="9474" max="9474" width="133.5" style="860" hidden="1" customWidth="1"/>
    <col min="9475" max="9475" width="9.33203125" style="860" hidden="1" customWidth="1"/>
    <col min="9476" max="9728" width="0" style="860" hidden="1"/>
    <col min="9729" max="9729" width="9.33203125" style="860" hidden="1" customWidth="1"/>
    <col min="9730" max="9730" width="133.5" style="860" hidden="1" customWidth="1"/>
    <col min="9731" max="9731" width="9.33203125" style="860" hidden="1" customWidth="1"/>
    <col min="9732" max="9984" width="0" style="860" hidden="1"/>
    <col min="9985" max="9985" width="9.33203125" style="860" hidden="1" customWidth="1"/>
    <col min="9986" max="9986" width="133.5" style="860" hidden="1" customWidth="1"/>
    <col min="9987" max="9987" width="9.33203125" style="860" hidden="1" customWidth="1"/>
    <col min="9988" max="10240" width="0" style="860" hidden="1"/>
    <col min="10241" max="10241" width="9.33203125" style="860" hidden="1" customWidth="1"/>
    <col min="10242" max="10242" width="133.5" style="860" hidden="1" customWidth="1"/>
    <col min="10243" max="10243" width="9.33203125" style="860" hidden="1" customWidth="1"/>
    <col min="10244" max="10496" width="0" style="860" hidden="1"/>
    <col min="10497" max="10497" width="9.33203125" style="860" hidden="1" customWidth="1"/>
    <col min="10498" max="10498" width="133.5" style="860" hidden="1" customWidth="1"/>
    <col min="10499" max="10499" width="9.33203125" style="860" hidden="1" customWidth="1"/>
    <col min="10500" max="10752" width="0" style="860" hidden="1"/>
    <col min="10753" max="10753" width="9.33203125" style="860" hidden="1" customWidth="1"/>
    <col min="10754" max="10754" width="133.5" style="860" hidden="1" customWidth="1"/>
    <col min="10755" max="10755" width="9.33203125" style="860" hidden="1" customWidth="1"/>
    <col min="10756" max="11008" width="0" style="860" hidden="1"/>
    <col min="11009" max="11009" width="9.33203125" style="860" hidden="1" customWidth="1"/>
    <col min="11010" max="11010" width="133.5" style="860" hidden="1" customWidth="1"/>
    <col min="11011" max="11011" width="9.33203125" style="860" hidden="1" customWidth="1"/>
    <col min="11012" max="11264" width="0" style="860" hidden="1"/>
    <col min="11265" max="11265" width="9.33203125" style="860" hidden="1" customWidth="1"/>
    <col min="11266" max="11266" width="133.5" style="860" hidden="1" customWidth="1"/>
    <col min="11267" max="11267" width="9.33203125" style="860" hidden="1" customWidth="1"/>
    <col min="11268" max="11520" width="0" style="860" hidden="1"/>
    <col min="11521" max="11521" width="9.33203125" style="860" hidden="1" customWidth="1"/>
    <col min="11522" max="11522" width="133.5" style="860" hidden="1" customWidth="1"/>
    <col min="11523" max="11523" width="9.33203125" style="860" hidden="1" customWidth="1"/>
    <col min="11524" max="11776" width="0" style="860" hidden="1"/>
    <col min="11777" max="11777" width="9.33203125" style="860" hidden="1" customWidth="1"/>
    <col min="11778" max="11778" width="133.5" style="860" hidden="1" customWidth="1"/>
    <col min="11779" max="11779" width="9.33203125" style="860" hidden="1" customWidth="1"/>
    <col min="11780" max="12032" width="0" style="860" hidden="1"/>
    <col min="12033" max="12033" width="9.33203125" style="860" hidden="1" customWidth="1"/>
    <col min="12034" max="12034" width="133.5" style="860" hidden="1" customWidth="1"/>
    <col min="12035" max="12035" width="9.33203125" style="860" hidden="1" customWidth="1"/>
    <col min="12036" max="12288" width="0" style="860" hidden="1"/>
    <col min="12289" max="12289" width="9.33203125" style="860" hidden="1" customWidth="1"/>
    <col min="12290" max="12290" width="133.5" style="860" hidden="1" customWidth="1"/>
    <col min="12291" max="12291" width="9.33203125" style="860" hidden="1" customWidth="1"/>
    <col min="12292" max="12544" width="0" style="860" hidden="1"/>
    <col min="12545" max="12545" width="9.33203125" style="860" hidden="1" customWidth="1"/>
    <col min="12546" max="12546" width="133.5" style="860" hidden="1" customWidth="1"/>
    <col min="12547" max="12547" width="9.33203125" style="860" hidden="1" customWidth="1"/>
    <col min="12548" max="12800" width="0" style="860" hidden="1"/>
    <col min="12801" max="12801" width="9.33203125" style="860" hidden="1" customWidth="1"/>
    <col min="12802" max="12802" width="133.5" style="860" hidden="1" customWidth="1"/>
    <col min="12803" max="12803" width="9.33203125" style="860" hidden="1" customWidth="1"/>
    <col min="12804" max="13056" width="0" style="860" hidden="1"/>
    <col min="13057" max="13057" width="9.33203125" style="860" hidden="1" customWidth="1"/>
    <col min="13058" max="13058" width="133.5" style="860" hidden="1" customWidth="1"/>
    <col min="13059" max="13059" width="9.33203125" style="860" hidden="1" customWidth="1"/>
    <col min="13060" max="13312" width="0" style="860" hidden="1"/>
    <col min="13313" max="13313" width="9.33203125" style="860" hidden="1" customWidth="1"/>
    <col min="13314" max="13314" width="133.5" style="860" hidden="1" customWidth="1"/>
    <col min="13315" max="13315" width="9.33203125" style="860" hidden="1" customWidth="1"/>
    <col min="13316" max="13568" width="0" style="860" hidden="1"/>
    <col min="13569" max="13569" width="9.33203125" style="860" hidden="1" customWidth="1"/>
    <col min="13570" max="13570" width="133.5" style="860" hidden="1" customWidth="1"/>
    <col min="13571" max="13571" width="9.33203125" style="860" hidden="1" customWidth="1"/>
    <col min="13572" max="13824" width="0" style="860" hidden="1"/>
    <col min="13825" max="13825" width="9.33203125" style="860" hidden="1" customWidth="1"/>
    <col min="13826" max="13826" width="133.5" style="860" hidden="1" customWidth="1"/>
    <col min="13827" max="13827" width="9.33203125" style="860" hidden="1" customWidth="1"/>
    <col min="13828" max="14080" width="0" style="860" hidden="1"/>
    <col min="14081" max="14081" width="9.33203125" style="860" hidden="1" customWidth="1"/>
    <col min="14082" max="14082" width="133.5" style="860" hidden="1" customWidth="1"/>
    <col min="14083" max="14083" width="9.33203125" style="860" hidden="1" customWidth="1"/>
    <col min="14084" max="14336" width="0" style="860" hidden="1"/>
    <col min="14337" max="14337" width="9.33203125" style="860" hidden="1" customWidth="1"/>
    <col min="14338" max="14338" width="133.5" style="860" hidden="1" customWidth="1"/>
    <col min="14339" max="14339" width="9.33203125" style="860" hidden="1" customWidth="1"/>
    <col min="14340" max="14592" width="0" style="860" hidden="1"/>
    <col min="14593" max="14593" width="9.33203125" style="860" hidden="1" customWidth="1"/>
    <col min="14594" max="14594" width="133.5" style="860" hidden="1" customWidth="1"/>
    <col min="14595" max="14595" width="9.33203125" style="860" hidden="1" customWidth="1"/>
    <col min="14596" max="14848" width="0" style="860" hidden="1"/>
    <col min="14849" max="14849" width="9.33203125" style="860" hidden="1" customWidth="1"/>
    <col min="14850" max="14850" width="133.5" style="860" hidden="1" customWidth="1"/>
    <col min="14851" max="14851" width="9.33203125" style="860" hidden="1" customWidth="1"/>
    <col min="14852" max="15104" width="0" style="860" hidden="1"/>
    <col min="15105" max="15105" width="9.33203125" style="860" hidden="1" customWidth="1"/>
    <col min="15106" max="15106" width="133.5" style="860" hidden="1" customWidth="1"/>
    <col min="15107" max="15107" width="9.33203125" style="860" hidden="1" customWidth="1"/>
    <col min="15108" max="15360" width="0" style="860" hidden="1"/>
    <col min="15361" max="15361" width="9.33203125" style="860" hidden="1" customWidth="1"/>
    <col min="15362" max="15362" width="133.5" style="860" hidden="1" customWidth="1"/>
    <col min="15363" max="15363" width="9.33203125" style="860" hidden="1" customWidth="1"/>
    <col min="15364" max="15616" width="0" style="860" hidden="1"/>
    <col min="15617" max="15617" width="9.33203125" style="860" hidden="1" customWidth="1"/>
    <col min="15618" max="15618" width="133.5" style="860" hidden="1" customWidth="1"/>
    <col min="15619" max="15619" width="9.33203125" style="860" hidden="1" customWidth="1"/>
    <col min="15620" max="15872" width="0" style="860" hidden="1"/>
    <col min="15873" max="15873" width="9.33203125" style="860" hidden="1" customWidth="1"/>
    <col min="15874" max="15874" width="133.5" style="860" hidden="1" customWidth="1"/>
    <col min="15875" max="15875" width="9.33203125" style="860" hidden="1" customWidth="1"/>
    <col min="15876" max="16128" width="0" style="860" hidden="1"/>
    <col min="16129" max="16129" width="9.33203125" style="860" hidden="1" customWidth="1"/>
    <col min="16130" max="16130" width="133.5" style="860" hidden="1" customWidth="1"/>
    <col min="16131" max="16131" width="9.33203125" style="860" hidden="1" customWidth="1"/>
    <col min="16132" max="16384" width="0" style="860" hidden="1"/>
  </cols>
  <sheetData>
    <row r="1" spans="1:3" ht="14.25">
      <c r="A1" s="859"/>
      <c r="B1" s="859"/>
      <c r="C1" s="859"/>
    </row>
    <row r="2" spans="1:3" ht="15">
      <c r="A2" s="859"/>
      <c r="B2" s="861" t="s">
        <v>656</v>
      </c>
      <c r="C2" s="859"/>
    </row>
    <row r="3" spans="1:3" ht="14.25">
      <c r="A3" s="859"/>
      <c r="B3" s="859"/>
      <c r="C3" s="859"/>
    </row>
    <row r="4" spans="1:3" ht="14.25">
      <c r="A4" s="859"/>
      <c r="B4" s="862" t="s">
        <v>651</v>
      </c>
      <c r="C4" s="862"/>
    </row>
    <row r="5" spans="1:3" ht="14.25">
      <c r="A5" s="859"/>
      <c r="B5" s="859"/>
      <c r="C5" s="859"/>
    </row>
    <row r="6" spans="1:3" ht="14.25">
      <c r="A6" s="859"/>
      <c r="B6" s="863" t="s">
        <v>652</v>
      </c>
      <c r="C6" s="859"/>
    </row>
    <row r="7" spans="1:3" ht="14.25">
      <c r="A7" s="859"/>
      <c r="B7" s="863"/>
      <c r="C7" s="859"/>
    </row>
    <row r="8" spans="1:3" ht="14.25">
      <c r="A8" s="859"/>
      <c r="B8" s="864" t="s">
        <v>653</v>
      </c>
      <c r="C8" s="859"/>
    </row>
    <row r="9" spans="1:3" ht="14.25">
      <c r="A9" s="859"/>
      <c r="B9" s="864"/>
      <c r="C9" s="859"/>
    </row>
    <row r="10" spans="1:3" ht="14.25">
      <c r="A10" s="859"/>
      <c r="B10" s="864"/>
      <c r="C10" s="859"/>
    </row>
    <row r="11" spans="1:3" ht="14.25">
      <c r="A11" s="859"/>
      <c r="B11" s="859"/>
      <c r="C11" s="859"/>
    </row>
    <row r="12" spans="1:3" ht="14.25">
      <c r="A12" s="859"/>
      <c r="B12" s="864" t="s">
        <v>654</v>
      </c>
      <c r="C12" s="859"/>
    </row>
    <row r="13" spans="1:3" ht="14.25">
      <c r="A13" s="859"/>
      <c r="B13" s="864"/>
      <c r="C13" s="859"/>
    </row>
    <row r="14" spans="1:3" ht="14.25">
      <c r="A14" s="859"/>
      <c r="B14" s="859"/>
      <c r="C14" s="859"/>
    </row>
    <row r="15" spans="1:3" ht="14.25">
      <c r="A15" s="859"/>
      <c r="B15" s="864" t="s">
        <v>655</v>
      </c>
      <c r="C15" s="859"/>
    </row>
    <row r="16" spans="1:3" ht="14.25">
      <c r="A16" s="859"/>
      <c r="B16" s="864"/>
      <c r="C16" s="859"/>
    </row>
    <row r="17" spans="1:3" ht="14.25">
      <c r="A17" s="859"/>
      <c r="B17" s="864"/>
      <c r="C17" s="859"/>
    </row>
    <row r="18" spans="1:3" ht="40.5" customHeight="1">
      <c r="A18" s="859"/>
      <c r="B18" s="862"/>
      <c r="C18" s="859"/>
    </row>
    <row r="19" spans="1:3" hidden="1"/>
  </sheetData>
  <mergeCells count="4">
    <mergeCell ref="B6:B7"/>
    <mergeCell ref="B8:B10"/>
    <mergeCell ref="B12:B13"/>
    <mergeCell ref="B15:B17"/>
  </mergeCells>
  <pageMargins left="0.7" right="0.7" top="0.75" bottom="0.75" header="0.3" footer="0.3"/>
</worksheet>
</file>

<file path=xl/worksheets/sheet10.xml><?xml version="1.0" encoding="utf-8"?>
<worksheet xmlns="http://schemas.openxmlformats.org/spreadsheetml/2006/main" xmlns:r="http://schemas.openxmlformats.org/officeDocument/2006/relationships">
  <sheetPr codeName="Sheet9">
    <pageSetUpPr autoPageBreaks="0" fitToPage="1"/>
  </sheetPr>
  <dimension ref="A2:O54"/>
  <sheetViews>
    <sheetView showGridLines="0" showZeros="0" workbookViewId="0"/>
  </sheetViews>
  <sheetFormatPr defaultColWidth="14.83203125" defaultRowHeight="12"/>
  <cols>
    <col min="1" max="1" width="48.83203125" style="1" customWidth="1"/>
    <col min="2" max="2" width="22.83203125" style="1" customWidth="1"/>
    <col min="3" max="3" width="7.83203125" style="1" customWidth="1"/>
    <col min="4" max="4" width="15.83203125" style="1" customWidth="1"/>
    <col min="5" max="5" width="7.83203125" style="1" customWidth="1"/>
    <col min="6" max="6" width="15.83203125" style="1" customWidth="1"/>
    <col min="7" max="7" width="7.83203125" style="1" customWidth="1"/>
    <col min="8" max="8" width="12.83203125" style="1" customWidth="1"/>
    <col min="9" max="9" width="7.83203125" style="1" customWidth="1"/>
    <col min="10" max="10" width="15.83203125" style="1" customWidth="1"/>
    <col min="11" max="11" width="8.83203125" style="1" customWidth="1"/>
    <col min="12" max="12" width="5.83203125" style="1" customWidth="1"/>
    <col min="13" max="13" width="45.6640625" style="1" hidden="1" customWidth="1"/>
    <col min="14" max="15" width="0" style="1" hidden="1" customWidth="1"/>
    <col min="16" max="16384" width="14.83203125" style="1"/>
  </cols>
  <sheetData>
    <row r="2" spans="1:14">
      <c r="A2" s="38"/>
      <c r="B2" s="38"/>
      <c r="C2" s="39" t="str">
        <f>OPYEAR</f>
        <v>OPERATING FUND 2014/2015 ACTUAL</v>
      </c>
      <c r="D2" s="39"/>
      <c r="E2" s="39"/>
      <c r="F2" s="40"/>
      <c r="G2" s="40"/>
      <c r="H2" s="40"/>
      <c r="I2" s="40"/>
      <c r="J2" s="41"/>
      <c r="K2" s="110" t="s">
        <v>78</v>
      </c>
    </row>
    <row r="3" spans="1:14" ht="11.1" customHeight="1">
      <c r="A3" s="543"/>
      <c r="J3" s="79"/>
      <c r="K3" s="79"/>
    </row>
    <row r="4" spans="1:14" ht="15.75">
      <c r="B4" s="283" t="s">
        <v>261</v>
      </c>
      <c r="C4" s="79"/>
      <c r="D4" s="79"/>
      <c r="E4" s="79"/>
      <c r="F4" s="79"/>
      <c r="G4" s="79"/>
      <c r="H4" s="79"/>
      <c r="I4" s="79"/>
      <c r="J4" s="79"/>
      <c r="K4" s="79"/>
    </row>
    <row r="5" spans="1:14" ht="15.75">
      <c r="B5" s="283" t="s">
        <v>262</v>
      </c>
      <c r="C5" s="79"/>
      <c r="D5" s="79"/>
      <c r="E5" s="79"/>
      <c r="F5" s="79"/>
      <c r="G5" s="79"/>
      <c r="H5" s="79"/>
      <c r="I5" s="79"/>
      <c r="J5" s="79"/>
      <c r="K5" s="79"/>
    </row>
    <row r="6" spans="1:14" ht="11.1" customHeight="1"/>
    <row r="7" spans="1:14">
      <c r="B7" s="111" t="s">
        <v>79</v>
      </c>
      <c r="C7" s="40"/>
      <c r="D7" s="40"/>
      <c r="E7" s="40"/>
      <c r="F7" s="40"/>
      <c r="G7" s="40"/>
      <c r="H7" s="40"/>
      <c r="I7" s="112"/>
    </row>
    <row r="8" spans="1:14">
      <c r="A8" s="7"/>
      <c r="B8" s="635" t="s">
        <v>494</v>
      </c>
      <c r="C8" s="632"/>
      <c r="D8" s="635" t="s">
        <v>76</v>
      </c>
      <c r="E8" s="632"/>
      <c r="F8" s="635" t="s">
        <v>77</v>
      </c>
      <c r="G8" s="632"/>
      <c r="H8" s="314"/>
      <c r="I8" s="309"/>
      <c r="J8" s="319"/>
      <c r="K8" s="309"/>
    </row>
    <row r="9" spans="1:14">
      <c r="A9" s="7"/>
      <c r="B9" s="633"/>
      <c r="C9" s="634"/>
      <c r="D9" s="633"/>
      <c r="E9" s="634"/>
      <c r="F9" s="633"/>
      <c r="G9" s="634"/>
      <c r="H9" s="636" t="s">
        <v>31</v>
      </c>
      <c r="I9" s="637"/>
      <c r="J9" s="636" t="s">
        <v>32</v>
      </c>
      <c r="K9" s="637"/>
    </row>
    <row r="10" spans="1:14">
      <c r="A10" s="113" t="s">
        <v>72</v>
      </c>
      <c r="B10" s="114" t="s">
        <v>44</v>
      </c>
      <c r="C10" s="114" t="s">
        <v>45</v>
      </c>
      <c r="D10" s="114" t="s">
        <v>44</v>
      </c>
      <c r="E10" s="114" t="s">
        <v>45</v>
      </c>
      <c r="F10" s="114" t="s">
        <v>44</v>
      </c>
      <c r="G10" s="114" t="s">
        <v>45</v>
      </c>
      <c r="H10" s="114" t="s">
        <v>44</v>
      </c>
      <c r="I10" s="45" t="s">
        <v>45</v>
      </c>
      <c r="J10" s="114" t="s">
        <v>44</v>
      </c>
      <c r="K10" s="45" t="s">
        <v>45</v>
      </c>
    </row>
    <row r="11" spans="1:14" ht="5.0999999999999996" customHeight="1"/>
    <row r="12" spans="1:14">
      <c r="A12" s="316" t="s">
        <v>73</v>
      </c>
      <c r="B12" s="116"/>
      <c r="C12" s="117"/>
      <c r="D12" s="116"/>
      <c r="E12" s="117"/>
      <c r="F12" s="116"/>
      <c r="G12" s="117"/>
      <c r="H12" s="116"/>
      <c r="I12" s="117"/>
      <c r="J12" s="116"/>
      <c r="K12" s="117"/>
      <c r="M12" s="1" t="s">
        <v>73</v>
      </c>
      <c r="N12" s="130">
        <f>K21/100</f>
        <v>0.76501374441114511</v>
      </c>
    </row>
    <row r="13" spans="1:14">
      <c r="A13" s="118" t="s">
        <v>191</v>
      </c>
      <c r="B13" s="119"/>
      <c r="C13" s="342"/>
      <c r="D13" s="119"/>
      <c r="E13" s="342"/>
      <c r="F13" s="119"/>
      <c r="G13" s="342"/>
      <c r="H13" s="119"/>
      <c r="I13" s="342"/>
      <c r="J13" s="119">
        <f>SUM(F13,D13,B13,'- 12 -'!J13,'- 12 -'!H13,'- 12 -'!F13,'- 12 -'!D13,'- 12 -'!B13)</f>
        <v>3940306</v>
      </c>
      <c r="K13" s="342">
        <f t="shared" ref="K13:K22" si="0">J13/$J$53*100</f>
        <v>0.18433689966220856</v>
      </c>
      <c r="M13" s="1" t="s">
        <v>90</v>
      </c>
      <c r="N13" s="130">
        <f>K22/100</f>
        <v>6.3167425878915898E-2</v>
      </c>
    </row>
    <row r="14" spans="1:14">
      <c r="A14" s="118" t="s">
        <v>227</v>
      </c>
      <c r="B14" s="119">
        <v>2789830</v>
      </c>
      <c r="C14" s="342">
        <f>B14/$J$53*100</f>
        <v>0.13051489218974854</v>
      </c>
      <c r="D14" s="119">
        <v>2713384</v>
      </c>
      <c r="E14" s="342">
        <f>D14/$J$53*100</f>
        <v>0.12693856623141506</v>
      </c>
      <c r="F14" s="119">
        <v>4753104</v>
      </c>
      <c r="G14" s="342">
        <f>F14/$J$53*100</f>
        <v>0.22236152601651807</v>
      </c>
      <c r="H14" s="119"/>
      <c r="I14" s="342"/>
      <c r="J14" s="119">
        <f>SUM(F14,D14,B14,'- 12 -'!J14,'- 12 -'!H14,'- 12 -'!F14,'- 12 -'!D14,'- 12 -'!B14)</f>
        <v>127292911</v>
      </c>
      <c r="K14" s="342">
        <f t="shared" si="0"/>
        <v>5.9550655615877153</v>
      </c>
      <c r="M14" s="1" t="s">
        <v>68</v>
      </c>
      <c r="N14" s="130">
        <f>K39/100</f>
        <v>9.1571522545471157E-2</v>
      </c>
    </row>
    <row r="15" spans="1:14">
      <c r="A15" s="118" t="s">
        <v>192</v>
      </c>
      <c r="B15" s="119">
        <v>24352418</v>
      </c>
      <c r="C15" s="342">
        <f>B15/$J$53*100</f>
        <v>1.139264116390494</v>
      </c>
      <c r="D15" s="119"/>
      <c r="E15" s="342">
        <f>D15/$J$53*100</f>
        <v>0</v>
      </c>
      <c r="F15" s="119"/>
      <c r="G15" s="342">
        <f>F15/$J$53*100</f>
        <v>0</v>
      </c>
      <c r="H15" s="119"/>
      <c r="I15" s="342"/>
      <c r="J15" s="119">
        <f>SUM(F15,D15,B15,'- 12 -'!J15,'- 12 -'!H15,'- 12 -'!F15,'- 12 -'!D15,'- 12 -'!B15)</f>
        <v>1040714899</v>
      </c>
      <c r="K15" s="342">
        <f t="shared" si="0"/>
        <v>48.687121739765523</v>
      </c>
      <c r="M15" s="1" t="s">
        <v>91</v>
      </c>
      <c r="N15" s="130">
        <f>K45/100</f>
        <v>6.2955013281340413E-2</v>
      </c>
    </row>
    <row r="16" spans="1:14">
      <c r="A16" s="118" t="s">
        <v>193</v>
      </c>
      <c r="B16" s="119">
        <v>13864488</v>
      </c>
      <c r="C16" s="342">
        <f>B16/$J$53*100</f>
        <v>0.64861377094162087</v>
      </c>
      <c r="D16" s="119">
        <v>281643</v>
      </c>
      <c r="E16" s="342">
        <f>D16/$J$53*100</f>
        <v>1.3175930354536781E-2</v>
      </c>
      <c r="F16" s="119"/>
      <c r="G16" s="342">
        <f>F16/$J$53*100</f>
        <v>0</v>
      </c>
      <c r="H16" s="119"/>
      <c r="I16" s="342"/>
      <c r="J16" s="119">
        <f>SUM(F16,D16,B16,'- 12 -'!J16,'- 12 -'!H16,'- 12 -'!F16,'- 12 -'!D16,'- 12 -'!B16)</f>
        <v>192814403</v>
      </c>
      <c r="K16" s="342">
        <f t="shared" si="0"/>
        <v>9.0203170157951309</v>
      </c>
      <c r="M16" s="1" t="s">
        <v>38</v>
      </c>
      <c r="N16" s="130">
        <f>K48/100</f>
        <v>8.8171363130949752E-4</v>
      </c>
    </row>
    <row r="17" spans="1:15">
      <c r="A17" s="118" t="s">
        <v>194</v>
      </c>
      <c r="B17" s="119">
        <v>3877429</v>
      </c>
      <c r="C17" s="342">
        <f>B17/$J$53*100</f>
        <v>0.18139536384238628</v>
      </c>
      <c r="D17" s="119">
        <v>39676924</v>
      </c>
      <c r="E17" s="342">
        <f>D17/$J$53*100</f>
        <v>1.8561810068286764</v>
      </c>
      <c r="F17" s="119">
        <v>101940915</v>
      </c>
      <c r="G17" s="342">
        <f>F17/$J$53*100</f>
        <v>4.7690388055721389</v>
      </c>
      <c r="H17" s="119"/>
      <c r="I17" s="342"/>
      <c r="J17" s="119">
        <f>SUM(F17,D17,B17,'- 12 -'!J17,'- 12 -'!H17,'- 12 -'!F17,'- 12 -'!D17,'- 12 -'!B17)</f>
        <v>160155188</v>
      </c>
      <c r="K17" s="342">
        <f t="shared" si="0"/>
        <v>7.4924411506969628</v>
      </c>
      <c r="M17" s="1" t="s">
        <v>48</v>
      </c>
      <c r="N17" s="130">
        <f>K51/100-N16</f>
        <v>1.6410580251817922E-2</v>
      </c>
    </row>
    <row r="18" spans="1:15">
      <c r="A18" s="120" t="s">
        <v>195</v>
      </c>
      <c r="B18" s="119">
        <v>2802866</v>
      </c>
      <c r="C18" s="342">
        <f>B18/$J$53*100</f>
        <v>0.13112474731876558</v>
      </c>
      <c r="D18" s="119">
        <v>1554412</v>
      </c>
      <c r="E18" s="342">
        <f>D18/$J$53*100</f>
        <v>7.2719095643265508E-2</v>
      </c>
      <c r="F18" s="119">
        <v>1643935</v>
      </c>
      <c r="G18" s="342">
        <f>F18/$J$53*100</f>
        <v>7.6907194808269408E-2</v>
      </c>
      <c r="H18" s="119"/>
      <c r="I18" s="342"/>
      <c r="J18" s="119">
        <f>SUM(F18,D18,B18,'- 12 -'!J18,'- 12 -'!H18,'- 12 -'!F18,'- 12 -'!D18,'- 12 -'!B18)</f>
        <v>61479029</v>
      </c>
      <c r="K18" s="342">
        <f t="shared" si="0"/>
        <v>2.8761354067686646</v>
      </c>
      <c r="N18" s="130"/>
    </row>
    <row r="19" spans="1:15">
      <c r="A19" s="120" t="s">
        <v>196</v>
      </c>
      <c r="B19" s="121"/>
      <c r="C19" s="343"/>
      <c r="D19" s="121"/>
      <c r="E19" s="343"/>
      <c r="F19" s="121"/>
      <c r="G19" s="343"/>
      <c r="H19" s="121"/>
      <c r="I19" s="343"/>
      <c r="J19" s="121">
        <f>SUM(F19,D19,B19,'- 12 -'!J19,'- 12 -'!H19,'- 12 -'!F19,'- 12 -'!D19,'- 12 -'!B19)</f>
        <v>33803360</v>
      </c>
      <c r="K19" s="343">
        <f t="shared" si="0"/>
        <v>1.5814016933115131</v>
      </c>
      <c r="N19" s="130">
        <f>SUM(N12:N17)</f>
        <v>1</v>
      </c>
    </row>
    <row r="20" spans="1:15">
      <c r="A20" s="123" t="s">
        <v>197</v>
      </c>
      <c r="B20" s="122">
        <v>404750</v>
      </c>
      <c r="C20" s="343">
        <f>B20/'- 13 -'!$J$53*100</f>
        <v>1.8935169029582706E-2</v>
      </c>
      <c r="D20" s="122">
        <v>0</v>
      </c>
      <c r="E20" s="343">
        <f>D20/'- 13 -'!$J$53*100</f>
        <v>0</v>
      </c>
      <c r="F20" s="122">
        <v>0</v>
      </c>
      <c r="G20" s="343">
        <f>F20/'- 13 -'!$J$53*100</f>
        <v>0</v>
      </c>
      <c r="H20" s="122"/>
      <c r="I20" s="343"/>
      <c r="J20" s="122">
        <f>SUM(F20,D20,B20,'- 12 -'!J20,'- 12 -'!H20,'- 12 -'!F20,'- 12 -'!D20,'- 12 -'!B20)</f>
        <v>15060263</v>
      </c>
      <c r="K20" s="343">
        <f t="shared" si="0"/>
        <v>0.70455497352679519</v>
      </c>
      <c r="N20" s="130"/>
    </row>
    <row r="21" spans="1:15">
      <c r="A21" s="124" t="s">
        <v>198</v>
      </c>
      <c r="B21" s="345">
        <f>SUM(B13:B20)</f>
        <v>48091781</v>
      </c>
      <c r="C21" s="346">
        <f>B21/$J$53*100</f>
        <v>2.249848059712598</v>
      </c>
      <c r="D21" s="345">
        <f>SUM(D13:D20)</f>
        <v>44226363</v>
      </c>
      <c r="E21" s="346">
        <f>D21/$J$53*100</f>
        <v>2.0690145990578936</v>
      </c>
      <c r="F21" s="345">
        <f>SUM(F13:F20)</f>
        <v>108337954</v>
      </c>
      <c r="G21" s="346">
        <f>F21/$J$53*100</f>
        <v>5.0683075263969268</v>
      </c>
      <c r="H21" s="345"/>
      <c r="I21" s="346"/>
      <c r="J21" s="345">
        <f>SUM(F21,D21,B21,'- 12 -'!J21,'- 12 -'!H21,'- 12 -'!F21,'- 12 -'!D21,'- 12 -'!B21)</f>
        <v>1635260359</v>
      </c>
      <c r="K21" s="346">
        <f t="shared" si="0"/>
        <v>76.501374441114507</v>
      </c>
      <c r="N21" s="130"/>
    </row>
    <row r="22" spans="1:15">
      <c r="A22" s="316" t="s">
        <v>81</v>
      </c>
      <c r="B22" s="345">
        <v>4642447</v>
      </c>
      <c r="C22" s="346">
        <f>B22/$J$53*100</f>
        <v>0.21718472799476007</v>
      </c>
      <c r="D22" s="345">
        <v>6256015</v>
      </c>
      <c r="E22" s="346">
        <f>D22/$J$53*100</f>
        <v>0.29267128221520655</v>
      </c>
      <c r="F22" s="345">
        <v>17610819</v>
      </c>
      <c r="G22" s="346">
        <f>F22/$J$53*100</f>
        <v>0.82387605809607578</v>
      </c>
      <c r="H22" s="345"/>
      <c r="I22" s="346"/>
      <c r="J22" s="345">
        <f>SUM(F22,D22,B22,'- 12 -'!J22,'- 12 -'!H22,'- 12 -'!F22,'- 12 -'!D22,'- 12 -'!B22)</f>
        <v>135023963</v>
      </c>
      <c r="K22" s="346">
        <f t="shared" si="0"/>
        <v>6.3167425878915902</v>
      </c>
    </row>
    <row r="23" spans="1:15">
      <c r="A23" s="316" t="s">
        <v>68</v>
      </c>
      <c r="B23" s="127"/>
      <c r="C23" s="344"/>
      <c r="D23" s="127"/>
      <c r="E23" s="344"/>
      <c r="F23" s="127"/>
      <c r="G23" s="344"/>
      <c r="H23" s="127"/>
      <c r="I23" s="344"/>
      <c r="J23" s="127"/>
      <c r="K23" s="344"/>
      <c r="M23" s="1" t="s">
        <v>27</v>
      </c>
      <c r="N23" s="130">
        <f>'- 12 -'!C50/100</f>
        <v>0.55858552572306897</v>
      </c>
      <c r="O23" s="1" t="s">
        <v>27</v>
      </c>
    </row>
    <row r="24" spans="1:15">
      <c r="A24" s="120" t="s">
        <v>199</v>
      </c>
      <c r="B24" s="119">
        <v>1963565</v>
      </c>
      <c r="C24" s="342">
        <f t="shared" ref="C24:C34" si="1">B24/$J$53*100</f>
        <v>9.1860247499870457E-2</v>
      </c>
      <c r="D24" s="119">
        <v>437896</v>
      </c>
      <c r="E24" s="342">
        <f t="shared" ref="E24:E34" si="2">D24/$J$53*100</f>
        <v>2.0485817856400614E-2</v>
      </c>
      <c r="F24" s="119">
        <v>4829936</v>
      </c>
      <c r="G24" s="342">
        <f t="shared" ref="G24:G34" si="3">F24/$J$53*100</f>
        <v>0.22595590997422257</v>
      </c>
      <c r="H24" s="119"/>
      <c r="I24" s="342"/>
      <c r="J24" s="119">
        <f>SUM(F24,D24,B24,'- 12 -'!J24,'- 12 -'!H24,'- 12 -'!F24,'- 12 -'!D24,'- 12 -'!B24)</f>
        <v>26445852</v>
      </c>
      <c r="K24" s="342">
        <f t="shared" ref="K24:K39" si="4">J24/$J$53*100</f>
        <v>1.2371999450310758</v>
      </c>
      <c r="M24" s="1" t="s">
        <v>28</v>
      </c>
      <c r="N24" s="130">
        <f>'- 12 -'!E50/100</f>
        <v>0.18232964262569909</v>
      </c>
      <c r="O24" s="1" t="s">
        <v>263</v>
      </c>
    </row>
    <row r="25" spans="1:15">
      <c r="A25" s="120" t="s">
        <v>200</v>
      </c>
      <c r="B25" s="121">
        <v>145043</v>
      </c>
      <c r="C25" s="343">
        <f t="shared" si="1"/>
        <v>6.7854570019957117E-3</v>
      </c>
      <c r="D25" s="121">
        <v>336456</v>
      </c>
      <c r="E25" s="343">
        <f t="shared" si="2"/>
        <v>1.5740213047602914E-2</v>
      </c>
      <c r="F25" s="121">
        <v>604509</v>
      </c>
      <c r="G25" s="343">
        <f t="shared" si="3"/>
        <v>2.8280370833610898E-2</v>
      </c>
      <c r="H25" s="121"/>
      <c r="I25" s="343"/>
      <c r="J25" s="121">
        <f>SUM(F25,D25,B25,'- 12 -'!J25,'- 12 -'!H25,'- 12 -'!F25,'- 12 -'!D25,'- 12 -'!B25)</f>
        <v>7214523</v>
      </c>
      <c r="K25" s="343">
        <f t="shared" si="4"/>
        <v>0.33751256942016583</v>
      </c>
      <c r="M25" s="1" t="s">
        <v>107</v>
      </c>
      <c r="N25" s="130">
        <f>'- 12 -'!G50/100</f>
        <v>4.737416956336781E-3</v>
      </c>
      <c r="O25" s="1" t="s">
        <v>107</v>
      </c>
    </row>
    <row r="26" spans="1:15">
      <c r="A26" s="120" t="s">
        <v>201</v>
      </c>
      <c r="B26" s="121"/>
      <c r="C26" s="343">
        <f t="shared" si="1"/>
        <v>0</v>
      </c>
      <c r="D26" s="121"/>
      <c r="E26" s="343">
        <f t="shared" si="2"/>
        <v>0</v>
      </c>
      <c r="F26" s="121">
        <v>42805741</v>
      </c>
      <c r="G26" s="343">
        <f t="shared" si="3"/>
        <v>2.0025545182743389</v>
      </c>
      <c r="H26" s="121"/>
      <c r="I26" s="343"/>
      <c r="J26" s="121">
        <f>SUM(F26,D26,B26,'- 12 -'!J26,'- 12 -'!H26,'- 12 -'!F26,'- 12 -'!D26,'- 12 -'!B26)</f>
        <v>42853071</v>
      </c>
      <c r="K26" s="343">
        <f t="shared" si="4"/>
        <v>2.0047687284044691</v>
      </c>
      <c r="L26" s="629" t="s">
        <v>108</v>
      </c>
      <c r="M26" s="1" t="s">
        <v>29</v>
      </c>
      <c r="N26" s="130">
        <f>'- 12 -'!I50/100</f>
        <v>1.0387006149295204E-2</v>
      </c>
      <c r="O26" s="1" t="s">
        <v>29</v>
      </c>
    </row>
    <row r="27" spans="1:15" ht="12.75" customHeight="1">
      <c r="A27" s="120" t="s">
        <v>223</v>
      </c>
      <c r="B27" s="121">
        <v>801332</v>
      </c>
      <c r="C27" s="343">
        <f t="shared" si="1"/>
        <v>3.7488219564703072E-2</v>
      </c>
      <c r="D27" s="121">
        <v>1075356</v>
      </c>
      <c r="E27" s="343">
        <f t="shared" si="2"/>
        <v>5.0307714952380338E-2</v>
      </c>
      <c r="F27" s="121">
        <v>799887</v>
      </c>
      <c r="G27" s="343">
        <f t="shared" si="3"/>
        <v>3.7420619023016237E-2</v>
      </c>
      <c r="H27" s="121"/>
      <c r="I27" s="343"/>
      <c r="J27" s="121">
        <f>SUM(F27,D27,B27,'- 12 -'!J27,'- 12 -'!H27,'- 12 -'!F27,'- 12 -'!D27,'- 12 -'!B27)</f>
        <v>11135508</v>
      </c>
      <c r="K27" s="343">
        <f t="shared" si="4"/>
        <v>0.52094558668380597</v>
      </c>
      <c r="L27" s="630"/>
      <c r="M27" s="1" t="s">
        <v>94</v>
      </c>
      <c r="N27" s="130">
        <f>'- 12 -'!K50/100</f>
        <v>3.4531233395470755E-2</v>
      </c>
      <c r="O27" s="1" t="s">
        <v>94</v>
      </c>
    </row>
    <row r="28" spans="1:15" ht="12.75" customHeight="1">
      <c r="A28" s="120" t="s">
        <v>202</v>
      </c>
      <c r="B28" s="121"/>
      <c r="C28" s="343">
        <f t="shared" si="1"/>
        <v>0</v>
      </c>
      <c r="D28" s="121">
        <v>19032667</v>
      </c>
      <c r="E28" s="343">
        <f t="shared" si="2"/>
        <v>0.89039349407970558</v>
      </c>
      <c r="F28" s="121"/>
      <c r="G28" s="343">
        <f t="shared" si="3"/>
        <v>0</v>
      </c>
      <c r="H28" s="121"/>
      <c r="I28" s="343"/>
      <c r="J28" s="121">
        <f>SUM(F28,D28,B28,'- 12 -'!J28,'- 12 -'!H28,'- 12 -'!F28,'- 12 -'!D28,'- 12 -'!B28)</f>
        <v>19032667</v>
      </c>
      <c r="K28" s="343">
        <f t="shared" si="4"/>
        <v>0.89039349407970558</v>
      </c>
      <c r="L28" s="630"/>
      <c r="M28" s="1" t="s">
        <v>93</v>
      </c>
      <c r="N28" s="130">
        <f>C53/100</f>
        <v>3.4020817961539336E-2</v>
      </c>
      <c r="O28" s="1" t="s">
        <v>93</v>
      </c>
    </row>
    <row r="29" spans="1:15" ht="12.75" customHeight="1">
      <c r="A29" s="120" t="s">
        <v>203</v>
      </c>
      <c r="B29" s="121">
        <v>595</v>
      </c>
      <c r="C29" s="343">
        <f t="shared" si="1"/>
        <v>2.7835517165167906E-5</v>
      </c>
      <c r="D29" s="121"/>
      <c r="E29" s="343">
        <f t="shared" si="2"/>
        <v>0</v>
      </c>
      <c r="F29" s="121"/>
      <c r="G29" s="343">
        <f t="shared" si="3"/>
        <v>0</v>
      </c>
      <c r="H29" s="121"/>
      <c r="I29" s="343"/>
      <c r="J29" s="121">
        <f>SUM(F29,D29,B29,'- 12 -'!J29,'- 12 -'!H29,'- 12 -'!F29,'- 12 -'!D29,'- 12 -'!B29)</f>
        <v>1360790</v>
      </c>
      <c r="K29" s="343">
        <f t="shared" si="4"/>
        <v>6.366099731628376E-2</v>
      </c>
      <c r="M29" s="1" t="s">
        <v>76</v>
      </c>
      <c r="N29" s="130">
        <f>E53/100</f>
        <v>4.4233340329295462E-2</v>
      </c>
      <c r="O29" s="1" t="s">
        <v>76</v>
      </c>
    </row>
    <row r="30" spans="1:15" ht="12.75" customHeight="1">
      <c r="A30" s="120" t="s">
        <v>204</v>
      </c>
      <c r="B30" s="121">
        <v>50931</v>
      </c>
      <c r="C30" s="343">
        <f t="shared" si="1"/>
        <v>2.3826734869565828E-3</v>
      </c>
      <c r="D30" s="121">
        <v>51948</v>
      </c>
      <c r="E30" s="343">
        <f t="shared" si="2"/>
        <v>2.4302511692372141E-3</v>
      </c>
      <c r="F30" s="121">
        <v>4629</v>
      </c>
      <c r="G30" s="343">
        <f t="shared" si="3"/>
        <v>2.1655564530682729E-4</v>
      </c>
      <c r="H30" s="121"/>
      <c r="I30" s="343"/>
      <c r="J30" s="121">
        <f>SUM(F30,D30,B30,'- 12 -'!J30,'- 12 -'!H30,'- 12 -'!F30,'- 12 -'!D30,'- 12 -'!B30)</f>
        <v>991974</v>
      </c>
      <c r="K30" s="343">
        <f t="shared" si="4"/>
        <v>4.6406906393950037E-2</v>
      </c>
      <c r="M30" s="1" t="s">
        <v>92</v>
      </c>
      <c r="N30" s="130">
        <f>G53/100</f>
        <v>0.11388272297616699</v>
      </c>
      <c r="O30" s="1" t="s">
        <v>92</v>
      </c>
    </row>
    <row r="31" spans="1:15" ht="12.75" customHeight="1">
      <c r="A31" s="120" t="s">
        <v>205</v>
      </c>
      <c r="B31" s="121">
        <v>80122</v>
      </c>
      <c r="C31" s="343">
        <f t="shared" si="1"/>
        <v>3.7482979937942572E-3</v>
      </c>
      <c r="D31" s="121">
        <v>1005250</v>
      </c>
      <c r="E31" s="343">
        <f t="shared" si="2"/>
        <v>4.7027989294596707E-2</v>
      </c>
      <c r="F31" s="121">
        <v>7304051</v>
      </c>
      <c r="G31" s="343">
        <f t="shared" si="3"/>
        <v>0.34170090249707868</v>
      </c>
      <c r="H31" s="121"/>
      <c r="I31" s="343"/>
      <c r="J31" s="121">
        <f>SUM(F31,D31,B31,'- 12 -'!J31,'- 12 -'!H31,'- 12 -'!F31,'- 12 -'!D31,'- 12 -'!B31)</f>
        <v>9723796</v>
      </c>
      <c r="K31" s="343">
        <f t="shared" si="4"/>
        <v>0.45490233692200177</v>
      </c>
      <c r="M31" s="1" t="s">
        <v>31</v>
      </c>
      <c r="N31" s="130">
        <f>I53/100</f>
        <v>1.7292293883127419E-2</v>
      </c>
      <c r="O31" s="1" t="s">
        <v>31</v>
      </c>
    </row>
    <row r="32" spans="1:15">
      <c r="A32" s="120" t="s">
        <v>206</v>
      </c>
      <c r="B32" s="121">
        <v>107464</v>
      </c>
      <c r="C32" s="343">
        <f t="shared" si="1"/>
        <v>5.027421876701855E-3</v>
      </c>
      <c r="D32" s="121">
        <v>2730951</v>
      </c>
      <c r="E32" s="343">
        <f t="shared" si="2"/>
        <v>0.12776039233232347</v>
      </c>
      <c r="F32" s="121">
        <v>29618391</v>
      </c>
      <c r="G32" s="343">
        <f t="shared" si="3"/>
        <v>1.3856188757733692</v>
      </c>
      <c r="H32" s="121"/>
      <c r="I32" s="343"/>
      <c r="J32" s="121">
        <f>SUM(F32,D32,B32,'- 12 -'!J32,'- 12 -'!H32,'- 12 -'!F32,'- 12 -'!D32,'- 12 -'!B32)</f>
        <v>35665006</v>
      </c>
      <c r="K32" s="343">
        <f t="shared" si="4"/>
        <v>1.6684939272417081</v>
      </c>
      <c r="N32" s="130"/>
    </row>
    <row r="33" spans="1:14">
      <c r="A33" s="120" t="s">
        <v>207</v>
      </c>
      <c r="B33" s="121">
        <v>227601</v>
      </c>
      <c r="C33" s="343">
        <f t="shared" si="1"/>
        <v>1.0647716877830891E-2</v>
      </c>
      <c r="D33" s="121">
        <v>921596</v>
      </c>
      <c r="E33" s="343">
        <f t="shared" si="2"/>
        <v>4.3114455928319466E-2</v>
      </c>
      <c r="F33" s="121">
        <v>2685691</v>
      </c>
      <c r="G33" s="343">
        <f t="shared" si="3"/>
        <v>0.12564302173249908</v>
      </c>
      <c r="H33" s="121"/>
      <c r="I33" s="343"/>
      <c r="J33" s="121">
        <f>SUM(F33,D33,B33,'- 12 -'!J33,'- 12 -'!H33,'- 12 -'!F33,'- 12 -'!D33,'- 12 -'!B33)</f>
        <v>7497574</v>
      </c>
      <c r="K33" s="343">
        <f t="shared" si="4"/>
        <v>0.35075436936826321</v>
      </c>
      <c r="N33" s="130">
        <f>SUM(N23:N31)</f>
        <v>1</v>
      </c>
    </row>
    <row r="34" spans="1:14">
      <c r="A34" s="395" t="s">
        <v>250</v>
      </c>
      <c r="B34" s="121"/>
      <c r="C34" s="343">
        <f t="shared" si="1"/>
        <v>0</v>
      </c>
      <c r="D34" s="121"/>
      <c r="E34" s="343">
        <f t="shared" si="2"/>
        <v>0</v>
      </c>
      <c r="F34" s="121">
        <v>5029433</v>
      </c>
      <c r="G34" s="343">
        <f t="shared" si="3"/>
        <v>0.23528885479422174</v>
      </c>
      <c r="H34" s="121"/>
      <c r="I34" s="343"/>
      <c r="J34" s="121">
        <f>SUM(F34,D34,B34,'- 12 -'!J34,'- 12 -'!H34,'- 12 -'!F34,'- 12 -'!D34,'- 12 -'!B34)</f>
        <v>5032759</v>
      </c>
      <c r="K34" s="343">
        <f t="shared" si="4"/>
        <v>0.23544445299605593</v>
      </c>
    </row>
    <row r="35" spans="1:14">
      <c r="A35" s="120" t="s">
        <v>208</v>
      </c>
      <c r="B35" s="121">
        <v>19470</v>
      </c>
      <c r="C35" s="343">
        <f>B35/J53</f>
        <v>9.1085297345515817E-6</v>
      </c>
      <c r="D35" s="121">
        <v>38997</v>
      </c>
      <c r="E35" s="343">
        <f>D35/J53</f>
        <v>1.8243725426723579E-5</v>
      </c>
      <c r="F35" s="121">
        <v>58008</v>
      </c>
      <c r="G35" s="343">
        <f>F35/J53</f>
        <v>2.713752402885815E-5</v>
      </c>
      <c r="H35" s="121"/>
      <c r="I35" s="343"/>
      <c r="J35" s="121">
        <f>SUM(F35,D35,B35,'- 12 -'!J35,'- 12 -'!H35,'- 12 -'!F35,'- 12 -'!D35,'- 12 -'!B35)</f>
        <v>1356407</v>
      </c>
      <c r="K35" s="343">
        <f t="shared" si="4"/>
        <v>6.3455950136897324E-2</v>
      </c>
    </row>
    <row r="36" spans="1:14">
      <c r="A36" s="120" t="s">
        <v>209</v>
      </c>
      <c r="B36" s="121">
        <v>185394</v>
      </c>
      <c r="C36" s="343">
        <f>B36/$J$53*100</f>
        <v>8.6731728896119985E-3</v>
      </c>
      <c r="D36" s="121">
        <v>54524</v>
      </c>
      <c r="E36" s="343">
        <f>D36/$J$53*100</f>
        <v>2.5507625847287644E-3</v>
      </c>
      <c r="F36" s="121">
        <v>87104</v>
      </c>
      <c r="G36" s="343">
        <f>F36/$J$53*100</f>
        <v>4.0749325834534209E-3</v>
      </c>
      <c r="H36" s="121"/>
      <c r="I36" s="343"/>
      <c r="J36" s="121">
        <f>SUM(F36,D36,B36,'- 12 -'!J36,'- 12 -'!H36,'- 12 -'!F36,'- 12 -'!D36,'- 12 -'!B36)</f>
        <v>3733938</v>
      </c>
      <c r="K36" s="343">
        <f t="shared" si="4"/>
        <v>0.17468251309692895</v>
      </c>
    </row>
    <row r="37" spans="1:14">
      <c r="A37" s="125" t="s">
        <v>210</v>
      </c>
      <c r="B37" s="121">
        <v>8621521</v>
      </c>
      <c r="C37" s="343">
        <f>B37/'- 13 -'!$J$53*100</f>
        <v>0.40333528703421107</v>
      </c>
      <c r="D37" s="121">
        <v>198592</v>
      </c>
      <c r="E37" s="343">
        <f>D37/'- 13 -'!$J$53*100</f>
        <v>9.2906067644790338E-3</v>
      </c>
      <c r="F37" s="121">
        <v>188994</v>
      </c>
      <c r="G37" s="343">
        <f>F37/'- 13 -'!$J$53*100</f>
        <v>8.8415894640567119E-3</v>
      </c>
      <c r="H37" s="121"/>
      <c r="I37" s="343"/>
      <c r="J37" s="121">
        <f>SUM(F37,D37,B37,'- 12 -'!J37,'- 12 -'!H37,'- 12 -'!F37,'- 12 -'!D37,'- 12 -'!B37)</f>
        <v>10859654</v>
      </c>
      <c r="K37" s="343">
        <f t="shared" si="4"/>
        <v>0.50804047953745257</v>
      </c>
    </row>
    <row r="38" spans="1:14">
      <c r="A38" s="126" t="s">
        <v>211</v>
      </c>
      <c r="B38" s="121">
        <v>497708</v>
      </c>
      <c r="C38" s="343">
        <f>B38/$J$53*100</f>
        <v>2.3283965676035946E-2</v>
      </c>
      <c r="D38" s="121">
        <v>167498</v>
      </c>
      <c r="E38" s="343">
        <f>D38/$J$53*100</f>
        <v>7.8359553850946111E-3</v>
      </c>
      <c r="F38" s="121">
        <v>163584</v>
      </c>
      <c r="G38" s="343">
        <f>F38/$J$53*100</f>
        <v>7.6528491427677765E-3</v>
      </c>
      <c r="H38" s="121"/>
      <c r="I38" s="343"/>
      <c r="J38" s="121">
        <f>SUM(F38,D38,B38,'- 12 -'!J38,'- 12 -'!H38,'- 12 -'!F38,'- 12 -'!D38,'- 12 -'!B38)</f>
        <v>12835815</v>
      </c>
      <c r="K38" s="343">
        <f t="shared" si="4"/>
        <v>0.60048999791835245</v>
      </c>
    </row>
    <row r="39" spans="1:14">
      <c r="A39" s="124" t="s">
        <v>212</v>
      </c>
      <c r="B39" s="345">
        <f>SUM(B24:B38)</f>
        <v>12700746</v>
      </c>
      <c r="C39" s="346">
        <f>B39/$J$53*100</f>
        <v>0.59417114839233209</v>
      </c>
      <c r="D39" s="345">
        <f>SUM(D24:D38)</f>
        <v>26051731</v>
      </c>
      <c r="E39" s="346">
        <f>D39/$J$53*100</f>
        <v>1.2187620259375409</v>
      </c>
      <c r="F39" s="345">
        <f>SUM(F24:F38)</f>
        <v>94179958</v>
      </c>
      <c r="G39" s="346">
        <f>F39/$J$53*100</f>
        <v>4.4059627521408276</v>
      </c>
      <c r="H39" s="345"/>
      <c r="I39" s="346"/>
      <c r="J39" s="345">
        <f>SUM(F39,D39,B39,'- 12 -'!J39,'- 12 -'!H39,'- 12 -'!F39,'- 12 -'!D39,'- 12 -'!B39)</f>
        <v>195739334</v>
      </c>
      <c r="K39" s="346">
        <f t="shared" si="4"/>
        <v>9.1571522545471158</v>
      </c>
    </row>
    <row r="40" spans="1:14">
      <c r="A40" s="317" t="s">
        <v>213</v>
      </c>
      <c r="B40" s="127"/>
      <c r="C40" s="344"/>
      <c r="D40" s="127"/>
      <c r="E40" s="344"/>
      <c r="F40" s="127"/>
      <c r="G40" s="344"/>
      <c r="H40" s="127"/>
      <c r="I40" s="344"/>
      <c r="J40" s="127"/>
      <c r="K40" s="344"/>
    </row>
    <row r="41" spans="1:14">
      <c r="A41" s="120" t="s">
        <v>214</v>
      </c>
      <c r="B41" s="121">
        <v>3783806</v>
      </c>
      <c r="C41" s="343">
        <f>B41/$J$53*100</f>
        <v>0.17701545691204254</v>
      </c>
      <c r="D41" s="121">
        <v>17384099</v>
      </c>
      <c r="E41" s="343">
        <f>D41/$J$53*100</f>
        <v>0.81326955649660204</v>
      </c>
      <c r="F41" s="121">
        <v>19927089</v>
      </c>
      <c r="G41" s="343">
        <f>F41/$J$53*100</f>
        <v>0.93223668556525807</v>
      </c>
      <c r="H41" s="121"/>
      <c r="I41" s="343"/>
      <c r="J41" s="121">
        <f>SUM(F41,D41,B41,'- 12 -'!J41,'- 12 -'!H41,'- 12 -'!F41,'- 12 -'!D41,'- 12 -'!B41)</f>
        <v>77700467</v>
      </c>
      <c r="K41" s="343">
        <f>J41/$J$53*100</f>
        <v>3.6350129124706934</v>
      </c>
    </row>
    <row r="42" spans="1:14">
      <c r="A42" s="120" t="s">
        <v>215</v>
      </c>
      <c r="B42" s="121">
        <v>2883232</v>
      </c>
      <c r="C42" s="343">
        <f>B42/$J$53*100</f>
        <v>0.13488446021371664</v>
      </c>
      <c r="D42" s="121">
        <v>3409</v>
      </c>
      <c r="E42" s="343">
        <f>D42/$J$53*100</f>
        <v>1.5948113952278552E-4</v>
      </c>
      <c r="F42" s="121">
        <v>5630</v>
      </c>
      <c r="G42" s="343">
        <f>F42/$J$53*100</f>
        <v>2.6338480947881565E-4</v>
      </c>
      <c r="H42" s="121"/>
      <c r="I42" s="343"/>
      <c r="J42" s="121">
        <f>SUM(F42,D42,B42,'- 12 -'!J42,'- 12 -'!H42,'- 12 -'!F42,'- 12 -'!D42,'- 12 -'!B42)</f>
        <v>14356269</v>
      </c>
      <c r="K42" s="343">
        <f>J42/$J$53*100</f>
        <v>0.67162045744078636</v>
      </c>
    </row>
    <row r="43" spans="1:14">
      <c r="A43" s="120" t="s">
        <v>216</v>
      </c>
      <c r="B43" s="121">
        <v>288491</v>
      </c>
      <c r="C43" s="343">
        <f>B43/$J$53*100</f>
        <v>1.3496296105036058E-2</v>
      </c>
      <c r="D43" s="121">
        <v>501413</v>
      </c>
      <c r="E43" s="343">
        <f>D43/$J$53*100</f>
        <v>2.345729440056863E-2</v>
      </c>
      <c r="F43" s="121">
        <v>3277822</v>
      </c>
      <c r="G43" s="343">
        <f>F43/$J$53*100</f>
        <v>0.15334432024431091</v>
      </c>
      <c r="H43" s="121"/>
      <c r="I43" s="343"/>
      <c r="J43" s="121">
        <f>SUM(F43,D43,B43,'- 12 -'!J43,'- 12 -'!H43,'- 12 -'!F43,'- 12 -'!D43,'- 12 -'!B43)</f>
        <v>17258170</v>
      </c>
      <c r="K43" s="343">
        <f>J43/$J$53*100</f>
        <v>0.80737829794014415</v>
      </c>
    </row>
    <row r="44" spans="1:14">
      <c r="A44" s="126" t="s">
        <v>217</v>
      </c>
      <c r="B44" s="121">
        <v>330929</v>
      </c>
      <c r="C44" s="343">
        <f>B44/$J$53*100</f>
        <v>1.5481646823448488E-2</v>
      </c>
      <c r="D44" s="121">
        <v>128249</v>
      </c>
      <c r="E44" s="343">
        <f>D44/$J$53*100</f>
        <v>5.9997936822111242E-3</v>
      </c>
      <c r="F44" s="121">
        <v>91521</v>
      </c>
      <c r="G44" s="343">
        <f>F44/$J$53*100</f>
        <v>4.2815703638207263E-3</v>
      </c>
      <c r="H44" s="121"/>
      <c r="I44" s="343"/>
      <c r="J44" s="121">
        <f>SUM(F44,D44,B44,'- 12 -'!J44,'- 12 -'!H44,'- 12 -'!F44,'- 12 -'!D44,'- 12 -'!B44)</f>
        <v>25255013</v>
      </c>
      <c r="K44" s="343">
        <f>J44/$J$53*100</f>
        <v>1.1814896602824179</v>
      </c>
    </row>
    <row r="45" spans="1:14">
      <c r="A45" s="124" t="s">
        <v>218</v>
      </c>
      <c r="B45" s="345">
        <f>SUM(B41:B44)</f>
        <v>7286458</v>
      </c>
      <c r="C45" s="346">
        <f>B45/$J$53*100</f>
        <v>0.34087786005424375</v>
      </c>
      <c r="D45" s="345">
        <f>SUM(D41:D44)</f>
        <v>18017170</v>
      </c>
      <c r="E45" s="346">
        <f>D45/$J$53*100</f>
        <v>0.84288612571890476</v>
      </c>
      <c r="F45" s="345">
        <f>SUM(F41:F44)</f>
        <v>23302062</v>
      </c>
      <c r="G45" s="346">
        <f>F45/$J$53*100</f>
        <v>1.0901259609828686</v>
      </c>
      <c r="H45" s="345"/>
      <c r="I45" s="346"/>
      <c r="J45" s="345">
        <f>SUM(F45,D45,B45,'- 12 -'!J45,'- 12 -'!H45,'- 12 -'!F45,'- 12 -'!D45,'- 12 -'!B45)</f>
        <v>134569919</v>
      </c>
      <c r="K45" s="346">
        <f>J45/$J$53*100</f>
        <v>6.2955013281340415</v>
      </c>
    </row>
    <row r="46" spans="1:14">
      <c r="A46" s="316" t="s">
        <v>48</v>
      </c>
      <c r="B46" s="127"/>
      <c r="C46" s="344"/>
      <c r="D46" s="127"/>
      <c r="E46" s="344"/>
      <c r="F46" s="127"/>
      <c r="G46" s="344"/>
      <c r="H46" s="127"/>
      <c r="I46" s="344"/>
      <c r="J46" s="127"/>
      <c r="K46" s="344"/>
    </row>
    <row r="47" spans="1:14" ht="13.5">
      <c r="A47" s="255" t="s">
        <v>272</v>
      </c>
      <c r="B47" s="121"/>
      <c r="C47" s="429"/>
      <c r="D47" s="121">
        <v>0</v>
      </c>
      <c r="E47" s="429"/>
      <c r="F47" s="121">
        <v>0</v>
      </c>
      <c r="G47" s="429"/>
      <c r="H47" s="121">
        <f>'- 10 -'!G21</f>
        <v>0</v>
      </c>
      <c r="I47" s="429"/>
      <c r="J47" s="121"/>
      <c r="K47" s="429"/>
    </row>
    <row r="48" spans="1:14">
      <c r="A48" s="120" t="s">
        <v>219</v>
      </c>
      <c r="B48" s="121"/>
      <c r="C48" s="343"/>
      <c r="D48" s="121"/>
      <c r="E48" s="343"/>
      <c r="F48" s="121"/>
      <c r="G48" s="343"/>
      <c r="H48" s="121">
        <f>'- 10 -'!G22</f>
        <v>1884713</v>
      </c>
      <c r="I48" s="343">
        <f>H48/$J$53*100</f>
        <v>8.8171363130949754E-2</v>
      </c>
      <c r="J48" s="121">
        <f>H48</f>
        <v>1884713</v>
      </c>
      <c r="K48" s="343">
        <f>J48/$J$53*100</f>
        <v>8.8171363130949754E-2</v>
      </c>
    </row>
    <row r="49" spans="1:11">
      <c r="A49" s="125" t="s">
        <v>273</v>
      </c>
      <c r="B49" s="121"/>
      <c r="C49" s="343"/>
      <c r="D49" s="121"/>
      <c r="E49" s="343"/>
      <c r="F49" s="121"/>
      <c r="G49" s="343"/>
      <c r="H49" s="121">
        <f>'- 10 -'!H22</f>
        <v>183567</v>
      </c>
      <c r="I49" s="343">
        <f>H49/$J$53*100</f>
        <v>8.5877014780813068E-3</v>
      </c>
      <c r="J49" s="121">
        <f>H49</f>
        <v>183567</v>
      </c>
      <c r="K49" s="343">
        <f>J49/$J$53*100</f>
        <v>8.5877014780813068E-3</v>
      </c>
    </row>
    <row r="50" spans="1:11">
      <c r="A50" s="120" t="s">
        <v>220</v>
      </c>
      <c r="B50" s="121"/>
      <c r="C50" s="343"/>
      <c r="D50" s="121"/>
      <c r="E50" s="343"/>
      <c r="F50" s="121"/>
      <c r="G50" s="343"/>
      <c r="H50" s="121">
        <f>'- 10 -'!I22</f>
        <v>34894981</v>
      </c>
      <c r="I50" s="343">
        <f>H50/$J$53*100</f>
        <v>1.6324703237037108</v>
      </c>
      <c r="J50" s="121">
        <f>H50</f>
        <v>34894981</v>
      </c>
      <c r="K50" s="343">
        <f>J50/$J$53*100</f>
        <v>1.6324703237037108</v>
      </c>
    </row>
    <row r="51" spans="1:11">
      <c r="A51" s="124" t="s">
        <v>221</v>
      </c>
      <c r="B51" s="345"/>
      <c r="C51" s="346"/>
      <c r="D51" s="345"/>
      <c r="E51" s="346"/>
      <c r="F51" s="345">
        <f>SUM(F47:F50)</f>
        <v>0</v>
      </c>
      <c r="G51" s="346"/>
      <c r="H51" s="345">
        <f>SUM(H48:H50)</f>
        <v>36963261</v>
      </c>
      <c r="I51" s="346">
        <f>H51/$J$53*100</f>
        <v>1.7292293883127419</v>
      </c>
      <c r="J51" s="345">
        <f>SUM(J47:J50)</f>
        <v>36963261</v>
      </c>
      <c r="K51" s="346">
        <f>J51/$J$53*100</f>
        <v>1.7292293883127419</v>
      </c>
    </row>
    <row r="52" spans="1:11" ht="5.0999999999999996" customHeight="1">
      <c r="A52" s="22"/>
      <c r="B52" s="31"/>
      <c r="C52" s="128"/>
      <c r="D52" s="56"/>
      <c r="E52" s="128"/>
      <c r="F52" s="56"/>
      <c r="G52" s="128"/>
      <c r="H52" s="56"/>
      <c r="I52" s="128"/>
      <c r="J52" s="56"/>
      <c r="K52" s="128"/>
    </row>
    <row r="53" spans="1:11">
      <c r="A53" s="318" t="s">
        <v>222</v>
      </c>
      <c r="B53" s="347">
        <f>SUM(B51,B45,B39,B22,B21)</f>
        <v>72721432</v>
      </c>
      <c r="C53" s="348">
        <f>B53/$J$53*100</f>
        <v>3.4020817961539338</v>
      </c>
      <c r="D53" s="347">
        <f>SUM(D51,D45,D39,D22,D21)</f>
        <v>94551279</v>
      </c>
      <c r="E53" s="348">
        <f>D53/$J$53*100</f>
        <v>4.4233340329295459</v>
      </c>
      <c r="F53" s="347">
        <f>SUM(F51,F45,F39,F22,F21)</f>
        <v>243430793</v>
      </c>
      <c r="G53" s="348">
        <f>F53/$J$53*100</f>
        <v>11.388272297616698</v>
      </c>
      <c r="H53" s="347">
        <f>SUM(H51,H45,H39,H22,H21)</f>
        <v>36963261</v>
      </c>
      <c r="I53" s="348">
        <f>H53/$J$53*100</f>
        <v>1.7292293883127419</v>
      </c>
      <c r="J53" s="347">
        <f>SUM(J51,J45,J39,J22,J21)</f>
        <v>2137556836</v>
      </c>
      <c r="K53" s="348">
        <f>J53/$J$53*100</f>
        <v>100</v>
      </c>
    </row>
    <row r="54" spans="1:11" ht="20.100000000000001" customHeight="1">
      <c r="A54" s="131"/>
      <c r="B54" s="1">
        <f>+B53-'- 16 -'!G48</f>
        <v>0</v>
      </c>
      <c r="D54" s="1">
        <f>+D53-'- 17 -'!B48</f>
        <v>0</v>
      </c>
      <c r="F54" s="1">
        <f>+F53-'- 17 -'!E48</f>
        <v>0</v>
      </c>
      <c r="H54" s="1">
        <f>+H53-'- 17 -'!H48</f>
        <v>0</v>
      </c>
      <c r="J54" s="1">
        <f>+J53-'- 3 -'!D48</f>
        <v>0</v>
      </c>
    </row>
  </sheetData>
  <mergeCells count="6">
    <mergeCell ref="L26:L28"/>
    <mergeCell ref="B8:C9"/>
    <mergeCell ref="D8:E9"/>
    <mergeCell ref="F8:G9"/>
    <mergeCell ref="H9:I9"/>
    <mergeCell ref="J9:K9"/>
  </mergeCells>
  <phoneticPr fontId="6" type="noConversion"/>
  <printOptions verticalCentered="1"/>
  <pageMargins left="0.51181102362204722" right="0" top="0.59055118110236227" bottom="0.19685039370078741" header="0.31496062992125984" footer="0.51181102362204722"/>
  <pageSetup orientation="landscape" r:id="rId1"/>
  <headerFooter alignWithMargins="0"/>
</worksheet>
</file>

<file path=xl/worksheets/sheet11.xml><?xml version="1.0" encoding="utf-8"?>
<worksheet xmlns="http://schemas.openxmlformats.org/spreadsheetml/2006/main" xmlns:r="http://schemas.openxmlformats.org/officeDocument/2006/relationships">
  <sheetPr codeName="Sheet10">
    <pageSetUpPr fitToPage="1"/>
  </sheetPr>
  <dimension ref="A1:I52"/>
  <sheetViews>
    <sheetView showGridLines="0" showZeros="0" workbookViewId="0"/>
  </sheetViews>
  <sheetFormatPr defaultColWidth="15.83203125" defaultRowHeight="12"/>
  <cols>
    <col min="1" max="1" width="32.83203125" style="1" customWidth="1"/>
    <col min="2" max="2" width="17.83203125" style="1" customWidth="1"/>
    <col min="3" max="3" width="8.83203125" style="1" customWidth="1"/>
    <col min="4" max="4" width="9.83203125" style="1" customWidth="1"/>
    <col min="5" max="5" width="17.83203125" style="1" customWidth="1"/>
    <col min="6" max="6" width="8.83203125" style="1" customWidth="1"/>
    <col min="7" max="7" width="9.83203125" style="1" customWidth="1"/>
    <col min="8" max="8" width="17.83203125" style="1" customWidth="1"/>
    <col min="9" max="9" width="8.83203125" style="1" customWidth="1"/>
    <col min="10" max="16384" width="15.83203125" style="1"/>
  </cols>
  <sheetData>
    <row r="1" spans="1:9" ht="6.95" customHeight="1">
      <c r="A1" s="6"/>
      <c r="B1" s="7"/>
      <c r="C1" s="7"/>
      <c r="D1" s="7"/>
      <c r="E1" s="7"/>
      <c r="F1" s="7"/>
      <c r="G1" s="7"/>
      <c r="H1" s="7"/>
      <c r="I1" s="7"/>
    </row>
    <row r="2" spans="1:9" ht="15.95" customHeight="1">
      <c r="A2" s="133"/>
      <c r="B2" s="8" t="s">
        <v>264</v>
      </c>
      <c r="C2" s="9"/>
      <c r="D2" s="9"/>
      <c r="E2" s="9"/>
      <c r="F2" s="9"/>
      <c r="G2" s="9"/>
      <c r="H2" s="72"/>
      <c r="I2" s="134" t="s">
        <v>7</v>
      </c>
    </row>
    <row r="3" spans="1:9" ht="15.95" customHeight="1">
      <c r="A3" s="546"/>
      <c r="B3" s="10" t="str">
        <f>OPYEAR</f>
        <v>OPERATING FUND 2014/2015 ACTUAL</v>
      </c>
      <c r="C3" s="11"/>
      <c r="D3" s="11"/>
      <c r="E3" s="11"/>
      <c r="F3" s="11"/>
      <c r="G3" s="11"/>
      <c r="H3" s="74"/>
      <c r="I3" s="65"/>
    </row>
    <row r="4" spans="1:9" ht="15.95" customHeight="1">
      <c r="B4" s="7"/>
      <c r="C4" s="7"/>
      <c r="D4" s="7"/>
      <c r="E4" s="7"/>
      <c r="F4" s="7"/>
      <c r="G4" s="7"/>
      <c r="H4" s="7"/>
      <c r="I4" s="7"/>
    </row>
    <row r="5" spans="1:9" ht="15.95" customHeight="1">
      <c r="B5" s="7"/>
      <c r="C5" s="7"/>
      <c r="D5" s="7"/>
      <c r="E5" s="7"/>
      <c r="F5" s="7"/>
      <c r="G5" s="7"/>
      <c r="H5" s="7"/>
      <c r="I5" s="7"/>
    </row>
    <row r="6" spans="1:9" ht="15.95" customHeight="1">
      <c r="B6" s="321"/>
      <c r="C6" s="315"/>
      <c r="D6" s="313"/>
      <c r="E6" s="631" t="s">
        <v>495</v>
      </c>
      <c r="F6" s="639"/>
      <c r="G6" s="632"/>
      <c r="H6" s="631" t="s">
        <v>496</v>
      </c>
      <c r="I6" s="632"/>
    </row>
    <row r="7" spans="1:9" ht="15.95" customHeight="1">
      <c r="B7" s="636" t="s">
        <v>27</v>
      </c>
      <c r="C7" s="638"/>
      <c r="D7" s="637"/>
      <c r="E7" s="633"/>
      <c r="F7" s="640"/>
      <c r="G7" s="634"/>
      <c r="H7" s="633"/>
      <c r="I7" s="634"/>
    </row>
    <row r="8" spans="1:9" ht="15.95" customHeight="1">
      <c r="A8" s="66"/>
      <c r="B8" s="136" t="s">
        <v>8</v>
      </c>
      <c r="C8" s="137"/>
      <c r="D8" s="605" t="s">
        <v>331</v>
      </c>
      <c r="E8" s="136"/>
      <c r="F8" s="138"/>
      <c r="G8" s="605" t="s">
        <v>331</v>
      </c>
      <c r="H8" s="136"/>
      <c r="I8" s="138"/>
    </row>
    <row r="9" spans="1:9" ht="15.95" customHeight="1">
      <c r="A9" s="34" t="s">
        <v>43</v>
      </c>
      <c r="B9" s="76" t="s">
        <v>44</v>
      </c>
      <c r="C9" s="76" t="s">
        <v>45</v>
      </c>
      <c r="D9" s="586"/>
      <c r="E9" s="76" t="s">
        <v>44</v>
      </c>
      <c r="F9" s="76" t="s">
        <v>45</v>
      </c>
      <c r="G9" s="586"/>
      <c r="H9" s="76" t="s">
        <v>44</v>
      </c>
      <c r="I9" s="76" t="s">
        <v>45</v>
      </c>
    </row>
    <row r="10" spans="1:9" ht="5.0999999999999996" customHeight="1">
      <c r="A10" s="5"/>
    </row>
    <row r="11" spans="1:9" ht="14.1" customHeight="1">
      <c r="A11" s="287" t="s">
        <v>111</v>
      </c>
      <c r="B11" s="288">
        <f>SUM('- 18 -'!B11,'- 18 -'!E11,'- 19 -'!B11,'- 19 -'!E11,'- 19 -'!H11,'- 20 -'!B11)</f>
        <v>10874487</v>
      </c>
      <c r="C11" s="294">
        <f>B11/'- 3 -'!D11*100</f>
        <v>62.199438136694909</v>
      </c>
      <c r="D11" s="288">
        <f>B11/'- 7 -'!C11</f>
        <v>6800.8048780487807</v>
      </c>
      <c r="E11" s="288">
        <f>SUM('- 21 -'!B11,'- 21 -'!E11,'- 21 -'!H11,'- 22 -'!B11,'- 22 -'!E11,'- 22 -'!H11)</f>
        <v>2251337</v>
      </c>
      <c r="F11" s="294">
        <f>E11/'- 3 -'!D11*100</f>
        <v>12.87710366993425</v>
      </c>
      <c r="G11" s="288">
        <f>E11/'- 7 -'!E11</f>
        <v>1407.965603502189</v>
      </c>
      <c r="H11" s="288">
        <f>SUM('- 23 -'!D11,'- 23 -'!B11)</f>
        <v>0</v>
      </c>
      <c r="I11" s="294">
        <f>H11/'- 3 -'!D11*100</f>
        <v>0</v>
      </c>
    </row>
    <row r="12" spans="1:9" ht="14.1" customHeight="1">
      <c r="A12" s="18" t="s">
        <v>112</v>
      </c>
      <c r="B12" s="19">
        <f>SUM('- 18 -'!B12,'- 18 -'!E12,'- 19 -'!B12,'- 19 -'!E12,'- 19 -'!H12,'- 20 -'!B12)</f>
        <v>18041595</v>
      </c>
      <c r="C12" s="69">
        <f>B12/'- 3 -'!D12*100</f>
        <v>56.973890896307658</v>
      </c>
      <c r="D12" s="19">
        <f>B12/'- 7 -'!C12</f>
        <v>8455.1480926047443</v>
      </c>
      <c r="E12" s="19">
        <f>SUM('- 21 -'!B12,'- 21 -'!E12,'- 21 -'!H12,'- 22 -'!B12,'- 22 -'!E12,'- 22 -'!H12)</f>
        <v>4785918</v>
      </c>
      <c r="F12" s="69">
        <f>E12/'- 3 -'!D12*100</f>
        <v>15.113540126062851</v>
      </c>
      <c r="G12" s="19">
        <f>E12/'- 7 -'!E12</f>
        <v>2242.908426281751</v>
      </c>
      <c r="H12" s="19">
        <f>SUM('- 23 -'!D12,'- 23 -'!B12)</f>
        <v>583492</v>
      </c>
      <c r="I12" s="69">
        <f>H12/'- 3 -'!D12*100</f>
        <v>1.8426203197039033</v>
      </c>
    </row>
    <row r="13" spans="1:9" ht="14.1" customHeight="1">
      <c r="A13" s="287" t="s">
        <v>113</v>
      </c>
      <c r="B13" s="288">
        <f>SUM('- 18 -'!B13,'- 18 -'!E13,'- 19 -'!B13,'- 19 -'!E13,'- 19 -'!H13,'- 20 -'!B13)</f>
        <v>52357219</v>
      </c>
      <c r="C13" s="294">
        <f>B13/'- 3 -'!D13*100</f>
        <v>60.533420252041203</v>
      </c>
      <c r="D13" s="288">
        <f>B13/'- 7 -'!C13</f>
        <v>6499.1582671300894</v>
      </c>
      <c r="E13" s="288">
        <f>SUM('- 21 -'!B13,'- 21 -'!E13,'- 21 -'!H13,'- 22 -'!B13,'- 22 -'!E13,'- 22 -'!H13)</f>
        <v>17815990</v>
      </c>
      <c r="F13" s="294">
        <f>E13/'- 3 -'!D13*100</f>
        <v>20.59816832280881</v>
      </c>
      <c r="G13" s="288">
        <f>E13/'- 7 -'!E13</f>
        <v>2211.5181231380338</v>
      </c>
      <c r="H13" s="288">
        <f>SUM('- 23 -'!D13,'- 23 -'!B13)</f>
        <v>0</v>
      </c>
      <c r="I13" s="294">
        <f>H13/'- 3 -'!D13*100</f>
        <v>0</v>
      </c>
    </row>
    <row r="14" spans="1:9" ht="14.1" customHeight="1">
      <c r="A14" s="18" t="s">
        <v>365</v>
      </c>
      <c r="B14" s="19">
        <f>SUM('- 18 -'!B14,'- 18 -'!E14,'- 19 -'!B14,'- 19 -'!E14,'- 19 -'!H14,'- 20 -'!B14)</f>
        <v>44937727</v>
      </c>
      <c r="C14" s="69">
        <f>B14/'- 3 -'!D14*100</f>
        <v>58.004195151987716</v>
      </c>
      <c r="D14" s="19">
        <f>B14/'- 7 -'!C14</f>
        <v>8575.9020992366404</v>
      </c>
      <c r="E14" s="19">
        <f>SUM('- 21 -'!B14,'- 21 -'!E14,'- 21 -'!H14,'- 22 -'!B14,'- 22 -'!E14,'- 22 -'!H14)</f>
        <v>8931738</v>
      </c>
      <c r="F14" s="69">
        <f>E14/'- 3 -'!D14*100</f>
        <v>11.528804605502732</v>
      </c>
      <c r="G14" s="19">
        <f>E14/'- 7 -'!E14</f>
        <v>1704.5301526717558</v>
      </c>
      <c r="H14" s="19">
        <f>SUM('- 23 -'!D14,'- 23 -'!B14)</f>
        <v>241158</v>
      </c>
      <c r="I14" s="69">
        <f>H14/'- 3 -'!D14*100</f>
        <v>0.31127911063376773</v>
      </c>
    </row>
    <row r="15" spans="1:9" ht="14.1" customHeight="1">
      <c r="A15" s="287" t="s">
        <v>114</v>
      </c>
      <c r="B15" s="288">
        <f>SUM('- 18 -'!B15,'- 18 -'!E15,'- 19 -'!B15,'- 19 -'!E15,'- 19 -'!H15,'- 20 -'!B15)</f>
        <v>10289674</v>
      </c>
      <c r="C15" s="294">
        <f>B15/'- 3 -'!D15*100</f>
        <v>52.345317484154485</v>
      </c>
      <c r="D15" s="288">
        <f>B15/'- 7 -'!C15</f>
        <v>7084.1129087779691</v>
      </c>
      <c r="E15" s="288">
        <f>SUM('- 21 -'!B15,'- 21 -'!E15,'- 21 -'!H15,'- 22 -'!B15,'- 22 -'!E15,'- 22 -'!H15)</f>
        <v>3259555</v>
      </c>
      <c r="F15" s="294">
        <f>E15/'- 3 -'!D15*100</f>
        <v>16.581909332799384</v>
      </c>
      <c r="G15" s="288">
        <f>E15/'- 7 -'!E15</f>
        <v>2244.0998278829602</v>
      </c>
      <c r="H15" s="288">
        <f>SUM('- 23 -'!D15,'- 23 -'!B15)</f>
        <v>0</v>
      </c>
      <c r="I15" s="294">
        <f>H15/'- 3 -'!D15*100</f>
        <v>0</v>
      </c>
    </row>
    <row r="16" spans="1:9" ht="14.1" customHeight="1">
      <c r="A16" s="18" t="s">
        <v>115</v>
      </c>
      <c r="B16" s="19">
        <f>SUM('- 18 -'!B16,'- 18 -'!E16,'- 19 -'!B16,'- 19 -'!E16,'- 19 -'!H16,'- 20 -'!B16)</f>
        <v>7359113</v>
      </c>
      <c r="C16" s="69">
        <f>B16/'- 3 -'!D16*100</f>
        <v>54.045995601330134</v>
      </c>
      <c r="D16" s="19">
        <f>B16/'- 7 -'!C16</f>
        <v>8056.8349025618572</v>
      </c>
      <c r="E16" s="19">
        <f>SUM('- 21 -'!B16,'- 21 -'!E16,'- 21 -'!H16,'- 22 -'!B16,'- 22 -'!E16,'- 22 -'!H16)</f>
        <v>2293938</v>
      </c>
      <c r="F16" s="69">
        <f>E16/'- 3 -'!D16*100</f>
        <v>16.846889435958389</v>
      </c>
      <c r="G16" s="19">
        <f>E16/'- 7 -'!E16</f>
        <v>2511.4276330194875</v>
      </c>
      <c r="H16" s="19">
        <f>SUM('- 23 -'!D16,'- 23 -'!B16)</f>
        <v>92300</v>
      </c>
      <c r="I16" s="69">
        <f>H16/'- 3 -'!D16*100</f>
        <v>0.67785959992770473</v>
      </c>
    </row>
    <row r="17" spans="1:9" ht="14.1" customHeight="1">
      <c r="A17" s="287" t="s">
        <v>116</v>
      </c>
      <c r="B17" s="288">
        <f>SUM('- 18 -'!B17,'- 18 -'!E17,'- 19 -'!B17,'- 19 -'!E17,'- 19 -'!H17,'- 20 -'!B17)</f>
        <v>9671261</v>
      </c>
      <c r="C17" s="294">
        <f>B17/'- 3 -'!D17*100</f>
        <v>55.699254717895009</v>
      </c>
      <c r="D17" s="288">
        <f>B17/'- 7 -'!C17</f>
        <v>7238.9678143712572</v>
      </c>
      <c r="E17" s="288">
        <f>SUM('- 21 -'!B17,'- 21 -'!E17,'- 21 -'!H17,'- 22 -'!B17,'- 22 -'!E17,'- 22 -'!H17)</f>
        <v>2131825</v>
      </c>
      <c r="F17" s="294">
        <f>E17/'- 3 -'!D17*100</f>
        <v>12.277723007266221</v>
      </c>
      <c r="G17" s="288">
        <f>E17/'- 7 -'!E17</f>
        <v>1595.6773952095809</v>
      </c>
      <c r="H17" s="288">
        <f>SUM('- 23 -'!D17,'- 23 -'!B17)</f>
        <v>0</v>
      </c>
      <c r="I17" s="294">
        <f>H17/'- 3 -'!D17*100</f>
        <v>0</v>
      </c>
    </row>
    <row r="18" spans="1:9" ht="14.1" customHeight="1">
      <c r="A18" s="18" t="s">
        <v>117</v>
      </c>
      <c r="B18" s="19">
        <f>SUM('- 18 -'!B18,'- 18 -'!E18,'- 19 -'!B18,'- 19 -'!E18,'- 19 -'!H18,'- 20 -'!B18)</f>
        <v>51967984</v>
      </c>
      <c r="C18" s="69">
        <f>B18/'- 3 -'!D18*100</f>
        <v>42.535972754771244</v>
      </c>
      <c r="D18" s="19">
        <f>B18/'- 7 -'!C18</f>
        <v>8563.8878955616674</v>
      </c>
      <c r="E18" s="19">
        <f>SUM('- 21 -'!B18,'- 21 -'!E18,'- 21 -'!H18,'- 22 -'!B18,'- 22 -'!E18,'- 22 -'!H18)</f>
        <v>18111839</v>
      </c>
      <c r="F18" s="69">
        <f>E18/'- 3 -'!D18*100</f>
        <v>14.824602205904375</v>
      </c>
      <c r="G18" s="19">
        <f>E18/'- 7 -'!E18</f>
        <v>2984.6791589695249</v>
      </c>
      <c r="H18" s="19">
        <f>SUM('- 23 -'!D18,'- 23 -'!B18)</f>
        <v>2167737</v>
      </c>
      <c r="I18" s="69">
        <f>H18/'- 3 -'!D18*100</f>
        <v>1.774300153177186</v>
      </c>
    </row>
    <row r="19" spans="1:9" ht="14.1" customHeight="1">
      <c r="A19" s="287" t="s">
        <v>118</v>
      </c>
      <c r="B19" s="288">
        <f>SUM('- 18 -'!B19,'- 18 -'!E19,'- 19 -'!B19,'- 19 -'!E19,'- 19 -'!H19,'- 20 -'!B19)</f>
        <v>25537347</v>
      </c>
      <c r="C19" s="294">
        <f>B19/'- 3 -'!D19*100</f>
        <v>59.288252539589635</v>
      </c>
      <c r="D19" s="288">
        <f>B19/'- 7 -'!C19</f>
        <v>6058.2513700092513</v>
      </c>
      <c r="E19" s="288">
        <f>SUM('- 21 -'!B19,'- 21 -'!E19,'- 21 -'!H19,'- 22 -'!B19,'- 22 -'!E19,'- 22 -'!H19)</f>
        <v>7767024</v>
      </c>
      <c r="F19" s="294">
        <f>E19/'- 3 -'!D19*100</f>
        <v>18.032150340168602</v>
      </c>
      <c r="G19" s="288">
        <f>E19/'- 7 -'!E19</f>
        <v>1842.5791758593693</v>
      </c>
      <c r="H19" s="288">
        <f>SUM('- 23 -'!D19,'- 23 -'!B19)</f>
        <v>0</v>
      </c>
      <c r="I19" s="294">
        <f>H19/'- 3 -'!D19*100</f>
        <v>0</v>
      </c>
    </row>
    <row r="20" spans="1:9" ht="14.1" customHeight="1">
      <c r="A20" s="18" t="s">
        <v>119</v>
      </c>
      <c r="B20" s="19">
        <f>SUM('- 18 -'!B20,'- 18 -'!E20,'- 19 -'!B20,'- 19 -'!E20,'- 19 -'!H20,'- 20 -'!B20)</f>
        <v>47705377</v>
      </c>
      <c r="C20" s="69">
        <f>B20/'- 3 -'!D20*100</f>
        <v>63.899614866716945</v>
      </c>
      <c r="D20" s="19">
        <f>B20/'- 7 -'!C20</f>
        <v>6472.0359517026181</v>
      </c>
      <c r="E20" s="19">
        <f>SUM('- 21 -'!B20,'- 21 -'!E20,'- 21 -'!H20,'- 22 -'!B20,'- 22 -'!E20,'- 22 -'!H20)</f>
        <v>9327766</v>
      </c>
      <c r="F20" s="69">
        <f>E20/'- 3 -'!D20*100</f>
        <v>12.494202801643446</v>
      </c>
      <c r="G20" s="19">
        <f>E20/'- 7 -'!E20</f>
        <v>1265.4681861348529</v>
      </c>
      <c r="H20" s="19">
        <f>SUM('- 23 -'!D20,'- 23 -'!B20)</f>
        <v>0</v>
      </c>
      <c r="I20" s="69">
        <f>H20/'- 3 -'!D20*100</f>
        <v>0</v>
      </c>
    </row>
    <row r="21" spans="1:9" ht="14.1" customHeight="1">
      <c r="A21" s="287" t="s">
        <v>120</v>
      </c>
      <c r="B21" s="288">
        <f>SUM('- 18 -'!B21,'- 18 -'!E21,'- 19 -'!B21,'- 19 -'!E21,'- 19 -'!H21,'- 20 -'!B21)</f>
        <v>19622745</v>
      </c>
      <c r="C21" s="294">
        <f>B21/'- 3 -'!D21*100</f>
        <v>56.369697752456396</v>
      </c>
      <c r="D21" s="288">
        <f>B21/'- 7 -'!C21</f>
        <v>7330.1251400821811</v>
      </c>
      <c r="E21" s="288">
        <f>SUM('- 21 -'!B21,'- 21 -'!E21,'- 21 -'!H21,'- 22 -'!B21,'- 22 -'!E21,'- 22 -'!H21)</f>
        <v>5626546</v>
      </c>
      <c r="F21" s="294">
        <f>E21/'- 3 -'!D21*100</f>
        <v>16.163217603362451</v>
      </c>
      <c r="G21" s="288">
        <f>E21/'- 7 -'!E21</f>
        <v>2101.810235338065</v>
      </c>
      <c r="H21" s="288">
        <f>SUM('- 23 -'!D21,'- 23 -'!B21)</f>
        <v>0</v>
      </c>
      <c r="I21" s="294">
        <f>H21/'- 3 -'!D21*100</f>
        <v>0</v>
      </c>
    </row>
    <row r="22" spans="1:9" ht="14.1" customHeight="1">
      <c r="A22" s="18" t="s">
        <v>121</v>
      </c>
      <c r="B22" s="19">
        <f>SUM('- 18 -'!B22,'- 18 -'!E22,'- 19 -'!B22,'- 19 -'!E22,'- 19 -'!H22,'- 20 -'!B22)</f>
        <v>9745555</v>
      </c>
      <c r="C22" s="69">
        <f>B22/'- 3 -'!D22*100</f>
        <v>50.139974914462059</v>
      </c>
      <c r="D22" s="19">
        <f>B22/'- 7 -'!C22</f>
        <v>6361.7435863959781</v>
      </c>
      <c r="E22" s="19">
        <f>SUM('- 21 -'!B22,'- 21 -'!E22,'- 21 -'!H22,'- 22 -'!B22,'- 22 -'!E22,'- 22 -'!H22)</f>
        <v>4455832</v>
      </c>
      <c r="F22" s="69">
        <f>E22/'- 3 -'!D22*100</f>
        <v>22.924841602459512</v>
      </c>
      <c r="G22" s="19">
        <f>E22/'- 7 -'!E22</f>
        <v>2908.6963901037925</v>
      </c>
      <c r="H22" s="19">
        <f>SUM('- 23 -'!D22,'- 23 -'!B22)</f>
        <v>551670</v>
      </c>
      <c r="I22" s="69">
        <f>H22/'- 3 -'!D22*100</f>
        <v>2.8382908886216622</v>
      </c>
    </row>
    <row r="23" spans="1:9" ht="14.1" customHeight="1">
      <c r="A23" s="287" t="s">
        <v>122</v>
      </c>
      <c r="B23" s="288">
        <f>SUM('- 18 -'!B23,'- 18 -'!E23,'- 19 -'!B23,'- 19 -'!E23,'- 19 -'!H23,'- 20 -'!B23)</f>
        <v>8571366</v>
      </c>
      <c r="C23" s="294">
        <f>B23/'- 3 -'!D23*100</f>
        <v>52.759510494391705</v>
      </c>
      <c r="D23" s="288">
        <f>B23/'- 7 -'!C23</f>
        <v>7639.363636363636</v>
      </c>
      <c r="E23" s="288">
        <f>SUM('- 21 -'!B23,'- 21 -'!E23,'- 21 -'!H23,'- 22 -'!B23,'- 22 -'!E23,'- 22 -'!H23)</f>
        <v>2639498</v>
      </c>
      <c r="F23" s="294">
        <f>E23/'- 3 -'!D23*100</f>
        <v>16.246957886400594</v>
      </c>
      <c r="G23" s="288">
        <f>E23/'- 7 -'!E23</f>
        <v>2352.49376114082</v>
      </c>
      <c r="H23" s="288">
        <f>SUM('- 23 -'!D23,'- 23 -'!B23)</f>
        <v>263862</v>
      </c>
      <c r="I23" s="294">
        <f>H23/'- 3 -'!D23*100</f>
        <v>1.6241553514423703</v>
      </c>
    </row>
    <row r="24" spans="1:9" ht="14.1" customHeight="1">
      <c r="A24" s="18" t="s">
        <v>123</v>
      </c>
      <c r="B24" s="19">
        <f>SUM('- 18 -'!B24,'- 18 -'!E24,'- 19 -'!B24,'- 19 -'!E24,'- 19 -'!H24,'- 20 -'!B24)</f>
        <v>31224512</v>
      </c>
      <c r="C24" s="69">
        <f>B24/'- 3 -'!D24*100</f>
        <v>57.58662902596997</v>
      </c>
      <c r="D24" s="19">
        <f>B24/'- 7 -'!C24</f>
        <v>7715.2805712732579</v>
      </c>
      <c r="E24" s="19">
        <f>SUM('- 21 -'!B24,'- 21 -'!E24,'- 21 -'!H24,'- 22 -'!B24,'- 22 -'!E24,'- 22 -'!H24)</f>
        <v>9010382</v>
      </c>
      <c r="F24" s="69">
        <f>E24/'- 3 -'!D24*100</f>
        <v>16.617634428242702</v>
      </c>
      <c r="G24" s="19">
        <f>E24/'- 7 -'!E24</f>
        <v>2226.3798769489263</v>
      </c>
      <c r="H24" s="19">
        <f>SUM('- 23 -'!D24,'- 23 -'!B24)</f>
        <v>325352</v>
      </c>
      <c r="I24" s="69">
        <f>H24/'- 3 -'!D24*100</f>
        <v>0.60003899906769986</v>
      </c>
    </row>
    <row r="25" spans="1:9" ht="14.1" customHeight="1">
      <c r="A25" s="287" t="s">
        <v>124</v>
      </c>
      <c r="B25" s="288">
        <f>SUM('- 18 -'!B25,'- 18 -'!E25,'- 19 -'!B25,'- 19 -'!E25,'- 19 -'!H25,'- 20 -'!B25)</f>
        <v>88297129</v>
      </c>
      <c r="C25" s="294">
        <f>B25/'- 3 -'!D25*100</f>
        <v>55.268799847560814</v>
      </c>
      <c r="D25" s="288">
        <f>B25/'- 7 -'!C25</f>
        <v>6355.1003677873023</v>
      </c>
      <c r="E25" s="288">
        <f>SUM('- 21 -'!B25,'- 21 -'!E25,'- 21 -'!H25,'- 22 -'!B25,'- 22 -'!E25,'- 22 -'!H25)</f>
        <v>32240610</v>
      </c>
      <c r="F25" s="294">
        <f>E25/'- 3 -'!D25*100</f>
        <v>20.180722082744815</v>
      </c>
      <c r="G25" s="288">
        <f>E25/'- 7 -'!E25</f>
        <v>2320.4866884028243</v>
      </c>
      <c r="H25" s="288">
        <f>SUM('- 23 -'!D25,'- 23 -'!B25)</f>
        <v>1080197</v>
      </c>
      <c r="I25" s="294">
        <f>H25/'- 3 -'!D25*100</f>
        <v>0.67613967141486164</v>
      </c>
    </row>
    <row r="26" spans="1:9" ht="14.1" customHeight="1">
      <c r="A26" s="18" t="s">
        <v>125</v>
      </c>
      <c r="B26" s="19">
        <f>SUM('- 18 -'!B26,'- 18 -'!E26,'- 19 -'!B26,'- 19 -'!E26,'- 19 -'!H26,'- 20 -'!B26)</f>
        <v>21957752</v>
      </c>
      <c r="C26" s="69">
        <f>B26/'- 3 -'!D26*100</f>
        <v>56.440827634736578</v>
      </c>
      <c r="D26" s="19">
        <f>B26/'- 7 -'!C26</f>
        <v>7066.050522928399</v>
      </c>
      <c r="E26" s="19">
        <f>SUM('- 21 -'!B26,'- 21 -'!E26,'- 21 -'!H26,'- 22 -'!B26,'- 22 -'!E26,'- 22 -'!H26)</f>
        <v>5313020</v>
      </c>
      <c r="F26" s="69">
        <f>E26/'- 3 -'!D26*100</f>
        <v>13.656737084921449</v>
      </c>
      <c r="G26" s="19">
        <f>E26/'- 7 -'!E26</f>
        <v>1709.7409493161706</v>
      </c>
      <c r="H26" s="19">
        <f>SUM('- 23 -'!D26,'- 23 -'!B26)</f>
        <v>0</v>
      </c>
      <c r="I26" s="69">
        <f>H26/'- 3 -'!D26*100</f>
        <v>0</v>
      </c>
    </row>
    <row r="27" spans="1:9" ht="14.1" customHeight="1">
      <c r="A27" s="287" t="s">
        <v>126</v>
      </c>
      <c r="B27" s="288">
        <f>SUM('- 18 -'!B27,'- 18 -'!E27,'- 19 -'!B27,'- 19 -'!E27,'- 19 -'!H27,'- 20 -'!B27)</f>
        <v>21695312</v>
      </c>
      <c r="C27" s="294">
        <f>B27/'- 3 -'!D27*100</f>
        <v>55.55829082056303</v>
      </c>
      <c r="D27" s="288">
        <f>B27/'- 7 -'!C27</f>
        <v>7592.4101487314083</v>
      </c>
      <c r="E27" s="288">
        <f>SUM('- 21 -'!B27,'- 21 -'!E27,'- 21 -'!H27,'- 22 -'!B27,'- 22 -'!E27,'- 22 -'!H27)</f>
        <v>8014466</v>
      </c>
      <c r="F27" s="294">
        <f>E27/'- 3 -'!D27*100</f>
        <v>20.523790245538507</v>
      </c>
      <c r="G27" s="288">
        <f>E27/'- 7 -'!E27</f>
        <v>2804.7125109361332</v>
      </c>
      <c r="H27" s="288">
        <f>SUM('- 23 -'!D27,'- 23 -'!B27)</f>
        <v>0</v>
      </c>
      <c r="I27" s="294">
        <f>H27/'- 3 -'!D27*100</f>
        <v>0</v>
      </c>
    </row>
    <row r="28" spans="1:9" ht="14.1" customHeight="1">
      <c r="A28" s="18" t="s">
        <v>127</v>
      </c>
      <c r="B28" s="19">
        <f>SUM('- 18 -'!B28,'- 18 -'!E28,'- 19 -'!B28,'- 19 -'!E28,'- 19 -'!H28,'- 20 -'!B28)</f>
        <v>16047852</v>
      </c>
      <c r="C28" s="69">
        <f>B28/'- 3 -'!D28*100</f>
        <v>58.358722169300407</v>
      </c>
      <c r="D28" s="19">
        <f>B28/'- 7 -'!C28</f>
        <v>8019.9160419790105</v>
      </c>
      <c r="E28" s="19">
        <f>SUM('- 21 -'!B28,'- 21 -'!E28,'- 21 -'!H28,'- 22 -'!B28,'- 22 -'!E28,'- 22 -'!H28)</f>
        <v>3506016</v>
      </c>
      <c r="F28" s="69">
        <f>E28/'- 3 -'!D28*100</f>
        <v>12.749781943721933</v>
      </c>
      <c r="G28" s="19">
        <f>E28/'- 7 -'!E28</f>
        <v>1752.1319340329835</v>
      </c>
      <c r="H28" s="19">
        <f>SUM('- 23 -'!D28,'- 23 -'!B28)</f>
        <v>124845</v>
      </c>
      <c r="I28" s="69">
        <f>H28/'- 3 -'!D28*100</f>
        <v>0.4540043533069914</v>
      </c>
    </row>
    <row r="29" spans="1:9" ht="14.1" customHeight="1">
      <c r="A29" s="287" t="s">
        <v>128</v>
      </c>
      <c r="B29" s="288">
        <f>SUM('- 18 -'!B29,'- 18 -'!E29,'- 19 -'!B29,'- 19 -'!E29,'- 19 -'!H29,'- 20 -'!B29)</f>
        <v>82429956</v>
      </c>
      <c r="C29" s="294">
        <f>B29/'- 3 -'!D29*100</f>
        <v>56.503864594266773</v>
      </c>
      <c r="D29" s="288">
        <f>B29/'- 7 -'!C29</f>
        <v>6627.6940147300029</v>
      </c>
      <c r="E29" s="288">
        <f>SUM('- 21 -'!B29,'- 21 -'!E29,'- 21 -'!H29,'- 22 -'!B29,'- 22 -'!E29,'- 22 -'!H29)</f>
        <v>29208632</v>
      </c>
      <c r="F29" s="294">
        <f>E29/'- 3 -'!D29*100</f>
        <v>20.021854524728454</v>
      </c>
      <c r="G29" s="288">
        <f>E29/'- 7 -'!E29</f>
        <v>2348.4893705978834</v>
      </c>
      <c r="H29" s="288">
        <f>SUM('- 23 -'!D29,'- 23 -'!B29)</f>
        <v>0</v>
      </c>
      <c r="I29" s="294">
        <f>H29/'- 3 -'!D29*100</f>
        <v>0</v>
      </c>
    </row>
    <row r="30" spans="1:9" ht="14.1" customHeight="1">
      <c r="A30" s="18" t="s">
        <v>129</v>
      </c>
      <c r="B30" s="19">
        <f>SUM('- 18 -'!B30,'- 18 -'!E30,'- 19 -'!B30,'- 19 -'!E30,'- 19 -'!H30,'- 20 -'!B30)</f>
        <v>8185758</v>
      </c>
      <c r="C30" s="69">
        <f>B30/'- 3 -'!D30*100</f>
        <v>60.206635635232622</v>
      </c>
      <c r="D30" s="19">
        <f>B30/'- 7 -'!C30</f>
        <v>7844.5213224724484</v>
      </c>
      <c r="E30" s="19">
        <f>SUM('- 21 -'!B30,'- 21 -'!E30,'- 21 -'!H30,'- 22 -'!B30,'- 22 -'!E30,'- 22 -'!H30)</f>
        <v>1459579</v>
      </c>
      <c r="F30" s="69">
        <f>E30/'- 3 -'!D30*100</f>
        <v>10.735272290463167</v>
      </c>
      <c r="G30" s="19">
        <f>E30/'- 7 -'!E30</f>
        <v>1398.7340680402492</v>
      </c>
      <c r="H30" s="19">
        <f>SUM('- 23 -'!D30,'- 23 -'!B30)</f>
        <v>0</v>
      </c>
      <c r="I30" s="69">
        <f>H30/'- 3 -'!D30*100</f>
        <v>0</v>
      </c>
    </row>
    <row r="31" spans="1:9" ht="14.1" customHeight="1">
      <c r="A31" s="287" t="s">
        <v>130</v>
      </c>
      <c r="B31" s="288">
        <f>SUM('- 18 -'!B31,'- 18 -'!E31,'- 19 -'!B31,'- 19 -'!E31,'- 19 -'!H31,'- 20 -'!B31)</f>
        <v>20613216</v>
      </c>
      <c r="C31" s="294">
        <f>B31/'- 3 -'!D31*100</f>
        <v>58.310935498393732</v>
      </c>
      <c r="D31" s="288">
        <f>B31/'- 7 -'!C31</f>
        <v>6346.4334975369457</v>
      </c>
      <c r="E31" s="288">
        <f>SUM('- 21 -'!B31,'- 21 -'!E31,'- 21 -'!H31,'- 22 -'!B31,'- 22 -'!E31,'- 22 -'!H31)</f>
        <v>6662268</v>
      </c>
      <c r="F31" s="294">
        <f>E31/'- 3 -'!D31*100</f>
        <v>18.846311008481774</v>
      </c>
      <c r="G31" s="288">
        <f>E31/'- 7 -'!E31</f>
        <v>2051.1908866995072</v>
      </c>
      <c r="H31" s="288">
        <f>SUM('- 23 -'!D31,'- 23 -'!B31)</f>
        <v>0</v>
      </c>
      <c r="I31" s="294">
        <f>H31/'- 3 -'!D31*100</f>
        <v>0</v>
      </c>
    </row>
    <row r="32" spans="1:9" ht="14.1" customHeight="1">
      <c r="A32" s="18" t="s">
        <v>131</v>
      </c>
      <c r="B32" s="19">
        <f>SUM('- 18 -'!B32,'- 18 -'!E32,'- 19 -'!B32,'- 19 -'!E32,'- 19 -'!H32,'- 20 -'!B32)</f>
        <v>15960121</v>
      </c>
      <c r="C32" s="69">
        <f>B32/'- 3 -'!D32*100</f>
        <v>60.442409329783217</v>
      </c>
      <c r="D32" s="19">
        <f>B32/'- 7 -'!C32</f>
        <v>7621.8342884431713</v>
      </c>
      <c r="E32" s="19">
        <f>SUM('- 21 -'!B32,'- 21 -'!E32,'- 21 -'!H32,'- 22 -'!B32,'- 22 -'!E32,'- 22 -'!H32)</f>
        <v>3376516</v>
      </c>
      <c r="F32" s="69">
        <f>E32/'- 3 -'!D32*100</f>
        <v>12.787168855459322</v>
      </c>
      <c r="G32" s="19">
        <f>E32/'- 7 -'!E32</f>
        <v>1612.4718242597899</v>
      </c>
      <c r="H32" s="19">
        <f>SUM('- 23 -'!D32,'- 23 -'!B32)</f>
        <v>253475</v>
      </c>
      <c r="I32" s="69">
        <f>H32/'- 3 -'!D32*100</f>
        <v>0.95993255344785922</v>
      </c>
    </row>
    <row r="33" spans="1:9" ht="14.1" customHeight="1">
      <c r="A33" s="287" t="s">
        <v>132</v>
      </c>
      <c r="B33" s="288">
        <f>SUM('- 18 -'!B33,'- 18 -'!E33,'- 19 -'!B33,'- 19 -'!E33,'- 19 -'!H33,'- 20 -'!B33)</f>
        <v>15265640</v>
      </c>
      <c r="C33" s="294">
        <f>B33/'- 3 -'!D33*100</f>
        <v>57.927786260932393</v>
      </c>
      <c r="D33" s="288">
        <f>B33/'- 7 -'!C33</f>
        <v>7608.0936954896588</v>
      </c>
      <c r="E33" s="288">
        <f>SUM('- 21 -'!B33,'- 21 -'!E33,'- 21 -'!H33,'- 22 -'!B33,'- 22 -'!E33,'- 22 -'!H33)</f>
        <v>3360312</v>
      </c>
      <c r="F33" s="294">
        <f>E33/'- 3 -'!D33*100</f>
        <v>12.751213529602836</v>
      </c>
      <c r="G33" s="288">
        <f>E33/'- 7 -'!E33</f>
        <v>1674.7131821579865</v>
      </c>
      <c r="H33" s="288">
        <f>SUM('- 23 -'!D33,'- 23 -'!B33)</f>
        <v>0</v>
      </c>
      <c r="I33" s="294">
        <f>H33/'- 3 -'!D33*100</f>
        <v>0</v>
      </c>
    </row>
    <row r="34" spans="1:9" ht="14.1" customHeight="1">
      <c r="A34" s="18" t="s">
        <v>133</v>
      </c>
      <c r="B34" s="19">
        <f>SUM('- 18 -'!B34,'- 18 -'!E34,'- 19 -'!B34,'- 19 -'!E34,'- 19 -'!H34,'- 20 -'!B34)</f>
        <v>15030982</v>
      </c>
      <c r="C34" s="69">
        <f>B34/'- 3 -'!D34*100</f>
        <v>56.70503406323877</v>
      </c>
      <c r="D34" s="19">
        <f>B34/'- 7 -'!C34</f>
        <v>7550.3737266169701</v>
      </c>
      <c r="E34" s="19">
        <f>SUM('- 21 -'!B34,'- 21 -'!E34,'- 21 -'!H34,'- 22 -'!B34,'- 22 -'!E34,'- 22 -'!H34)</f>
        <v>4002669</v>
      </c>
      <c r="F34" s="69">
        <f>E34/'- 3 -'!D34*100</f>
        <v>15.100243083843083</v>
      </c>
      <c r="G34" s="19">
        <f>E34/'- 7 -'!E34</f>
        <v>2010.6235809439611</v>
      </c>
      <c r="H34" s="19">
        <f>SUM('- 23 -'!D34,'- 23 -'!B34)</f>
        <v>0</v>
      </c>
      <c r="I34" s="69">
        <f>H34/'- 3 -'!D34*100</f>
        <v>0</v>
      </c>
    </row>
    <row r="35" spans="1:9" ht="14.1" customHeight="1">
      <c r="A35" s="287" t="s">
        <v>134</v>
      </c>
      <c r="B35" s="288">
        <f>SUM('- 18 -'!B35,'- 18 -'!E35,'- 19 -'!B35,'- 19 -'!E35,'- 19 -'!H35,'- 20 -'!B35)</f>
        <v>99403860</v>
      </c>
      <c r="C35" s="294">
        <f>B35/'- 3 -'!D35*100</f>
        <v>56.882502354781209</v>
      </c>
      <c r="D35" s="288">
        <f>B35/'- 7 -'!C35</f>
        <v>6392.9423114026622</v>
      </c>
      <c r="E35" s="288">
        <f>SUM('- 21 -'!B35,'- 21 -'!E35,'- 21 -'!H35,'- 22 -'!B35,'- 22 -'!E35,'- 22 -'!H35)</f>
        <v>33121988</v>
      </c>
      <c r="F35" s="294">
        <f>E35/'- 3 -'!D35*100</f>
        <v>18.953605628644951</v>
      </c>
      <c r="G35" s="288">
        <f>E35/'- 7 -'!E35</f>
        <v>2130.1683709563317</v>
      </c>
      <c r="H35" s="288">
        <f>SUM('- 23 -'!D35,'- 23 -'!B35)</f>
        <v>980149</v>
      </c>
      <c r="I35" s="294">
        <f>H35/'- 3 -'!D35*100</f>
        <v>0.5608768894943964</v>
      </c>
    </row>
    <row r="36" spans="1:9" ht="14.1" customHeight="1">
      <c r="A36" s="18" t="s">
        <v>135</v>
      </c>
      <c r="B36" s="19">
        <f>SUM('- 18 -'!B36,'- 18 -'!E36,'- 19 -'!B36,'- 19 -'!E36,'- 19 -'!H36,'- 20 -'!B36)</f>
        <v>12878863</v>
      </c>
      <c r="C36" s="69">
        <f>B36/'- 3 -'!D36*100</f>
        <v>58.981019349772112</v>
      </c>
      <c r="D36" s="19">
        <f>B36/'- 7 -'!C36</f>
        <v>7810.1049120679199</v>
      </c>
      <c r="E36" s="19">
        <f>SUM('- 21 -'!B36,'- 21 -'!E36,'- 21 -'!H36,'- 22 -'!B36,'- 22 -'!E36,'- 22 -'!H36)</f>
        <v>2761106</v>
      </c>
      <c r="F36" s="69">
        <f>E36/'- 3 -'!D36*100</f>
        <v>12.644970787620915</v>
      </c>
      <c r="G36" s="19">
        <f>E36/'- 7 -'!E36</f>
        <v>1674.4123711340205</v>
      </c>
      <c r="H36" s="19">
        <f>SUM('- 23 -'!D36,'- 23 -'!B36)</f>
        <v>117092</v>
      </c>
      <c r="I36" s="69">
        <f>H36/'- 3 -'!D36*100</f>
        <v>0.53624341820419363</v>
      </c>
    </row>
    <row r="37" spans="1:9" ht="14.1" customHeight="1">
      <c r="A37" s="287" t="s">
        <v>136</v>
      </c>
      <c r="B37" s="288">
        <f>SUM('- 18 -'!B37,'- 18 -'!E37,'- 19 -'!B37,'- 19 -'!E37,'- 19 -'!H37,'- 20 -'!B37)</f>
        <v>25580661</v>
      </c>
      <c r="C37" s="294">
        <f>B37/'- 3 -'!D37*100</f>
        <v>56.753085464388434</v>
      </c>
      <c r="D37" s="288">
        <f>B37/'- 7 -'!C37</f>
        <v>6471.2018719959524</v>
      </c>
      <c r="E37" s="288">
        <f>SUM('- 21 -'!B37,'- 21 -'!E37,'- 21 -'!H37,'- 22 -'!B37,'- 22 -'!E37,'- 22 -'!H37)</f>
        <v>7463516</v>
      </c>
      <c r="F37" s="294">
        <f>E37/'- 3 -'!D37*100</f>
        <v>16.55850728066919</v>
      </c>
      <c r="G37" s="288">
        <f>E37/'- 7 -'!E37</f>
        <v>1888.0637490513534</v>
      </c>
      <c r="H37" s="288">
        <f>SUM('- 23 -'!D37,'- 23 -'!B37)</f>
        <v>296541</v>
      </c>
      <c r="I37" s="294">
        <f>H37/'- 3 -'!D37*100</f>
        <v>0.65790390313585756</v>
      </c>
    </row>
    <row r="38" spans="1:9" ht="14.1" customHeight="1">
      <c r="A38" s="18" t="s">
        <v>137</v>
      </c>
      <c r="B38" s="19">
        <f>SUM('- 18 -'!B38,'- 18 -'!E38,'- 19 -'!B38,'- 19 -'!E38,'- 19 -'!H38,'- 20 -'!B38)</f>
        <v>72013594</v>
      </c>
      <c r="C38" s="69">
        <f>B38/'- 3 -'!D38*100</f>
        <v>59.002012375367855</v>
      </c>
      <c r="D38" s="19">
        <f>B38/'- 7 -'!C38</f>
        <v>6835.1978511157295</v>
      </c>
      <c r="E38" s="19">
        <f>SUM('- 21 -'!B38,'- 21 -'!E38,'- 21 -'!H38,'- 22 -'!B38,'- 22 -'!E38,'- 22 -'!H38)</f>
        <v>21995853</v>
      </c>
      <c r="F38" s="69">
        <f>E38/'- 3 -'!D38*100</f>
        <v>18.021591741592179</v>
      </c>
      <c r="G38" s="19">
        <f>E38/'- 7 -'!E38</f>
        <v>2087.7448105014378</v>
      </c>
      <c r="H38" s="19">
        <f>SUM('- 23 -'!D38,'- 23 -'!B38)</f>
        <v>748478</v>
      </c>
      <c r="I38" s="69">
        <f>H38/'- 3 -'!D38*100</f>
        <v>0.61324127523326466</v>
      </c>
    </row>
    <row r="39" spans="1:9" ht="14.1" customHeight="1">
      <c r="A39" s="287" t="s">
        <v>138</v>
      </c>
      <c r="B39" s="288">
        <f>SUM('- 18 -'!B39,'- 18 -'!E39,'- 19 -'!B39,'- 19 -'!E39,'- 19 -'!H39,'- 20 -'!B39)</f>
        <v>11617063</v>
      </c>
      <c r="C39" s="294">
        <f>B39/'- 3 -'!D39*100</f>
        <v>57.538087511108102</v>
      </c>
      <c r="D39" s="288">
        <f>B39/'- 7 -'!C39</f>
        <v>7511.8415777562241</v>
      </c>
      <c r="E39" s="288">
        <f>SUM('- 21 -'!B39,'- 21 -'!E39,'- 21 -'!H39,'- 22 -'!B39,'- 22 -'!E39,'- 22 -'!H39)</f>
        <v>2606863</v>
      </c>
      <c r="F39" s="294">
        <f>E39/'- 3 -'!D39*100</f>
        <v>12.911517431167397</v>
      </c>
      <c r="G39" s="288">
        <f>E39/'- 7 -'!E39</f>
        <v>1685.6534109279016</v>
      </c>
      <c r="H39" s="288">
        <f>SUM('- 23 -'!D39,'- 23 -'!B39)</f>
        <v>0</v>
      </c>
      <c r="I39" s="294">
        <f>H39/'- 3 -'!D39*100</f>
        <v>0</v>
      </c>
    </row>
    <row r="40" spans="1:9" ht="14.1" customHeight="1">
      <c r="A40" s="18" t="s">
        <v>139</v>
      </c>
      <c r="B40" s="19">
        <f>SUM('- 18 -'!B40,'- 18 -'!E40,'- 19 -'!B40,'- 19 -'!E40,'- 19 -'!H40,'- 20 -'!B40)</f>
        <v>55259675</v>
      </c>
      <c r="C40" s="69">
        <f>B40/'- 3 -'!D40*100</f>
        <v>56.518016420329275</v>
      </c>
      <c r="D40" s="19">
        <f>B40/'- 7 -'!C40</f>
        <v>7008.5578215762371</v>
      </c>
      <c r="E40" s="19">
        <f>SUM('- 21 -'!B40,'- 21 -'!E40,'- 21 -'!H40,'- 22 -'!B40,'- 22 -'!E40,'- 22 -'!H40)</f>
        <v>20264480</v>
      </c>
      <c r="F40" s="69">
        <f>E40/'- 3 -'!D40*100</f>
        <v>20.725931040843694</v>
      </c>
      <c r="G40" s="19">
        <f>E40/'- 7 -'!E40</f>
        <v>2570.134185627679</v>
      </c>
      <c r="H40" s="19">
        <f>SUM('- 23 -'!D40,'- 23 -'!B40)</f>
        <v>0</v>
      </c>
      <c r="I40" s="69">
        <f>H40/'- 3 -'!D40*100</f>
        <v>0</v>
      </c>
    </row>
    <row r="41" spans="1:9" ht="14.1" customHeight="1">
      <c r="A41" s="287" t="s">
        <v>140</v>
      </c>
      <c r="B41" s="288">
        <f>SUM('- 18 -'!B41,'- 18 -'!E41,'- 19 -'!B41,'- 19 -'!E41,'- 19 -'!H41,'- 20 -'!B41)</f>
        <v>31816017</v>
      </c>
      <c r="C41" s="294">
        <f>B41/'- 3 -'!D41*100</f>
        <v>53.25021455058323</v>
      </c>
      <c r="D41" s="288">
        <f>B41/'- 7 -'!C41</f>
        <v>7304.7909539662496</v>
      </c>
      <c r="E41" s="288">
        <f>SUM('- 21 -'!B41,'- 21 -'!E41,'- 21 -'!H41,'- 22 -'!B41,'- 22 -'!E41,'- 22 -'!H41)</f>
        <v>10881169</v>
      </c>
      <c r="F41" s="294">
        <f>E41/'- 3 -'!D41*100</f>
        <v>18.211725993582263</v>
      </c>
      <c r="G41" s="288">
        <f>E41/'- 7 -'!E41</f>
        <v>2498.2594420847204</v>
      </c>
      <c r="H41" s="288">
        <f>SUM('- 23 -'!D41,'- 23 -'!B41)</f>
        <v>979452</v>
      </c>
      <c r="I41" s="294">
        <f>H41/'- 3 -'!D41*100</f>
        <v>1.6393010206776619</v>
      </c>
    </row>
    <row r="42" spans="1:9" ht="14.1" customHeight="1">
      <c r="A42" s="18" t="s">
        <v>141</v>
      </c>
      <c r="B42" s="19">
        <f>SUM('- 18 -'!B42,'- 18 -'!E42,'- 19 -'!B42,'- 19 -'!E42,'- 19 -'!H42,'- 20 -'!B42)</f>
        <v>11212660</v>
      </c>
      <c r="C42" s="69">
        <f>B42/'- 3 -'!D42*100</f>
        <v>56.34657394854019</v>
      </c>
      <c r="D42" s="19">
        <f>B42/'- 7 -'!C42</f>
        <v>7955.6265077337866</v>
      </c>
      <c r="E42" s="19">
        <f>SUM('- 21 -'!B42,'- 21 -'!E42,'- 21 -'!H42,'- 22 -'!B42,'- 22 -'!E42,'- 22 -'!H42)</f>
        <v>2995001</v>
      </c>
      <c r="F42" s="69">
        <f>E42/'- 3 -'!D42*100</f>
        <v>15.050669985752874</v>
      </c>
      <c r="G42" s="19">
        <f>E42/'- 7 -'!E42</f>
        <v>2125.01844756634</v>
      </c>
      <c r="H42" s="19">
        <f>SUM('- 23 -'!D42,'- 23 -'!B42)</f>
        <v>0</v>
      </c>
      <c r="I42" s="69">
        <f>H42/'- 3 -'!D42*100</f>
        <v>0</v>
      </c>
    </row>
    <row r="43" spans="1:9" ht="14.1" customHeight="1">
      <c r="A43" s="287" t="s">
        <v>142</v>
      </c>
      <c r="B43" s="288">
        <f>SUM('- 18 -'!B43,'- 18 -'!E43,'- 19 -'!B43,'- 19 -'!E43,'- 19 -'!H43,'- 20 -'!B43)</f>
        <v>7122955</v>
      </c>
      <c r="C43" s="294">
        <f>B43/'- 3 -'!D43*100</f>
        <v>55.61098732650148</v>
      </c>
      <c r="D43" s="288">
        <f>B43/'- 7 -'!C43</f>
        <v>7394.8641549785616</v>
      </c>
      <c r="E43" s="288">
        <f>SUM('- 21 -'!B43,'- 21 -'!E43,'- 21 -'!H43,'- 22 -'!B43,'- 22 -'!E43,'- 22 -'!H43)</f>
        <v>2132024</v>
      </c>
      <c r="F43" s="294">
        <f>E43/'- 3 -'!D43*100</f>
        <v>16.645333242144169</v>
      </c>
      <c r="G43" s="288">
        <f>E43/'- 7 -'!E43</f>
        <v>2213.4111271451261</v>
      </c>
      <c r="H43" s="288">
        <f>SUM('- 23 -'!D43,'- 23 -'!B43)</f>
        <v>201830</v>
      </c>
      <c r="I43" s="294">
        <f>H43/'- 3 -'!D43*100</f>
        <v>1.5757456802840668</v>
      </c>
    </row>
    <row r="44" spans="1:9" ht="14.1" customHeight="1">
      <c r="A44" s="18" t="s">
        <v>143</v>
      </c>
      <c r="B44" s="19">
        <f>SUM('- 18 -'!B44,'- 18 -'!E44,'- 19 -'!B44,'- 19 -'!E44,'- 19 -'!H44,'- 20 -'!B44)</f>
        <v>5875906</v>
      </c>
      <c r="C44" s="69">
        <f>B44/'- 3 -'!D44*100</f>
        <v>55.733320332477909</v>
      </c>
      <c r="D44" s="19">
        <f>B44/'- 7 -'!C44</f>
        <v>8454.5410071942442</v>
      </c>
      <c r="E44" s="19">
        <f>SUM('- 21 -'!B44,'- 21 -'!E44,'- 21 -'!H44,'- 22 -'!B44,'- 22 -'!E44,'- 22 -'!H44)</f>
        <v>1700707</v>
      </c>
      <c r="F44" s="69">
        <f>E44/'- 3 -'!D44*100</f>
        <v>16.131307754529686</v>
      </c>
      <c r="G44" s="19">
        <f>E44/'- 7 -'!E44</f>
        <v>2447.0604316546764</v>
      </c>
      <c r="H44" s="19">
        <f>SUM('- 23 -'!D44,'- 23 -'!B44)</f>
        <v>0</v>
      </c>
      <c r="I44" s="69">
        <f>H44/'- 3 -'!D44*100</f>
        <v>0</v>
      </c>
    </row>
    <row r="45" spans="1:9" ht="14.1" customHeight="1">
      <c r="A45" s="287" t="s">
        <v>144</v>
      </c>
      <c r="B45" s="288">
        <f>SUM('- 18 -'!B45,'- 18 -'!E45,'- 19 -'!B45,'- 19 -'!E45,'- 19 -'!H45,'- 20 -'!B45)</f>
        <v>10378210</v>
      </c>
      <c r="C45" s="294">
        <f>B45/'- 3 -'!D45*100</f>
        <v>59.432400562838296</v>
      </c>
      <c r="D45" s="288">
        <f>B45/'- 7 -'!C45</f>
        <v>6458.1269446172992</v>
      </c>
      <c r="E45" s="288">
        <f>SUM('- 21 -'!B45,'- 21 -'!E45,'- 21 -'!H45,'- 22 -'!B45,'- 22 -'!E45,'- 22 -'!H45)</f>
        <v>2574440</v>
      </c>
      <c r="F45" s="294">
        <f>E45/'- 3 -'!D45*100</f>
        <v>14.742922845557512</v>
      </c>
      <c r="G45" s="288">
        <f>E45/'- 7 -'!E45</f>
        <v>1602.0161792159304</v>
      </c>
      <c r="H45" s="288">
        <f>SUM('- 23 -'!D45,'- 23 -'!B45)</f>
        <v>368503</v>
      </c>
      <c r="I45" s="294">
        <f>H45/'- 3 -'!D45*100</f>
        <v>2.110288566583987</v>
      </c>
    </row>
    <row r="46" spans="1:9" ht="14.1" customHeight="1">
      <c r="A46" s="18" t="s">
        <v>145</v>
      </c>
      <c r="B46" s="19">
        <f>SUM('- 18 -'!B46,'- 18 -'!E46,'- 19 -'!B46,'- 19 -'!E46,'- 19 -'!H46,'- 20 -'!B46)</f>
        <v>197459165</v>
      </c>
      <c r="C46" s="69">
        <f>B46/'- 3 -'!D46*100</f>
        <v>53.695836621342522</v>
      </c>
      <c r="D46" s="19">
        <f>B46/'- 7 -'!C46</f>
        <v>6603.1020933654363</v>
      </c>
      <c r="E46" s="19">
        <f>SUM('- 21 -'!B46,'- 21 -'!E46,'- 21 -'!H46,'- 22 -'!B46,'- 22 -'!E46,'- 22 -'!H46)</f>
        <v>85689551</v>
      </c>
      <c r="F46" s="69">
        <f>E46/'- 3 -'!D46*100</f>
        <v>23.301891966636227</v>
      </c>
      <c r="G46" s="19">
        <f>E46/'- 7 -'!E46</f>
        <v>2865.487928036383</v>
      </c>
      <c r="H46" s="19">
        <f>SUM('- 23 -'!D46,'- 23 -'!B46)</f>
        <v>750365</v>
      </c>
      <c r="I46" s="69">
        <f>H46/'- 3 -'!D46*100</f>
        <v>0.20404966488323639</v>
      </c>
    </row>
    <row r="47" spans="1:9" ht="5.0999999999999996" customHeight="1">
      <c r="A47" s="20"/>
      <c r="B47" s="21"/>
      <c r="C47" s="70"/>
      <c r="D47" s="21"/>
      <c r="E47" s="21"/>
      <c r="F47" s="70"/>
      <c r="G47" s="21"/>
      <c r="H47" s="21"/>
      <c r="I47" s="70"/>
    </row>
    <row r="48" spans="1:9" ht="14.1" customHeight="1">
      <c r="A48" s="289" t="s">
        <v>146</v>
      </c>
      <c r="B48" s="290">
        <f>SUM(B11:B46)</f>
        <v>1194008309</v>
      </c>
      <c r="C48" s="297">
        <f>B48/'- 3 -'!D48*100</f>
        <v>55.858552572306898</v>
      </c>
      <c r="D48" s="290">
        <f>B48/'- 7 -'!C48</f>
        <v>6921.9855281652708</v>
      </c>
      <c r="E48" s="290">
        <f>SUM(E11:E46)</f>
        <v>389739974</v>
      </c>
      <c r="F48" s="297">
        <f>E48/'- 3 -'!D48*100</f>
        <v>18.232964262569908</v>
      </c>
      <c r="G48" s="290">
        <f>E48/'- 7 -'!E48</f>
        <v>2259.4268728623301</v>
      </c>
      <c r="H48" s="290">
        <f>SUM(H11:H46)</f>
        <v>10126498</v>
      </c>
      <c r="I48" s="297">
        <f>H48/'- 3 -'!D48*100</f>
        <v>0.47374169563367807</v>
      </c>
    </row>
    <row r="49" spans="1:9" ht="5.0999999999999996" customHeight="1">
      <c r="A49" s="20" t="s">
        <v>8</v>
      </c>
      <c r="B49" s="21"/>
      <c r="C49" s="70"/>
      <c r="D49" s="21"/>
      <c r="E49" s="21"/>
      <c r="F49" s="70"/>
      <c r="H49" s="21"/>
      <c r="I49" s="70"/>
    </row>
    <row r="50" spans="1:9" ht="14.1" customHeight="1">
      <c r="A50" s="287" t="s">
        <v>147</v>
      </c>
      <c r="B50" s="288">
        <f>SUM('- 18 -'!B50,'- 18 -'!E50,'- 19 -'!B50,'- 19 -'!E50,'- 19 -'!H50,'- 20 -'!B50)</f>
        <v>1837105</v>
      </c>
      <c r="C50" s="294">
        <f>B50/'- 3 -'!D50*100</f>
        <v>56.557161799344691</v>
      </c>
      <c r="D50" s="288">
        <f>B50/'- 7 -'!C50</f>
        <v>11040.294471153846</v>
      </c>
      <c r="E50" s="288">
        <f>SUM('- 21 -'!B50,'- 21 -'!E50,'- 21 -'!H50,'- 22 -'!B50,'- 22 -'!E50,'- 22 -'!H50)</f>
        <v>530769</v>
      </c>
      <c r="F50" s="294">
        <f>E50/'- 3 -'!D50*100</f>
        <v>16.340268090869266</v>
      </c>
      <c r="G50" s="288">
        <f>E50/'- 7 -'!E50</f>
        <v>3189.7175480769229</v>
      </c>
      <c r="H50" s="288">
        <f>SUM('- 23 -'!D50,'- 23 -'!B50)</f>
        <v>0</v>
      </c>
      <c r="I50" s="294">
        <f>H50/'- 3 -'!D50*100</f>
        <v>0</v>
      </c>
    </row>
    <row r="51" spans="1:9" ht="14.1" customHeight="1">
      <c r="A51" s="18" t="s">
        <v>643</v>
      </c>
      <c r="B51" s="19">
        <f>SUM('- 18 -'!B51,'- 18 -'!E51,'- 19 -'!B51,'- 19 -'!E51,'- 19 -'!H51,'- 20 -'!B51)</f>
        <v>5182885</v>
      </c>
      <c r="C51" s="69">
        <f>B51/'- 3 -'!D51*100</f>
        <v>23.245352900587022</v>
      </c>
      <c r="D51" s="19">
        <f>B51/'- 7 -'!C51</f>
        <v>6975.6191117092867</v>
      </c>
      <c r="E51" s="19">
        <f>SUM('- 21 -'!B51,'- 21 -'!E51,'- 21 -'!H51,'- 22 -'!B51,'- 22 -'!E51,'- 22 -'!H51)</f>
        <v>532308</v>
      </c>
      <c r="F51" s="69">
        <f>E51/'- 3 -'!D51*100</f>
        <v>2.3874130550466925</v>
      </c>
      <c r="G51" s="19">
        <f>E51/'- 7 -'!E51</f>
        <v>716.43068640646027</v>
      </c>
      <c r="H51" s="19">
        <f>SUM('- 23 -'!D51,'- 23 -'!B51)</f>
        <v>2787011</v>
      </c>
      <c r="I51" s="69">
        <f>H51/'- 3 -'!D51*100</f>
        <v>12.499805462173661</v>
      </c>
    </row>
    <row r="52" spans="1:9" ht="50.1" customHeight="1"/>
  </sheetData>
  <mergeCells count="5">
    <mergeCell ref="D8:D9"/>
    <mergeCell ref="G8:G9"/>
    <mergeCell ref="B7:D7"/>
    <mergeCell ref="E6:G7"/>
    <mergeCell ref="H6:I7"/>
  </mergeCells>
  <phoneticPr fontId="6" type="noConversion"/>
  <pageMargins left="0.5" right="0.5" top="0.6" bottom="0.2" header="0.3" footer="0.5"/>
  <pageSetup scale="89" firstPageNumber="14" orientation="portrait" r:id="rId1"/>
  <headerFooter alignWithMargins="0">
    <oddHeader>&amp;C&amp;"Arial,Regular"&amp;11&amp;A</oddHeader>
  </headerFooter>
</worksheet>
</file>

<file path=xl/worksheets/sheet12.xml><?xml version="1.0" encoding="utf-8"?>
<worksheet xmlns="http://schemas.openxmlformats.org/spreadsheetml/2006/main" xmlns:r="http://schemas.openxmlformats.org/officeDocument/2006/relationships">
  <sheetPr codeName="Sheet11">
    <pageSetUpPr fitToPage="1"/>
  </sheetPr>
  <dimension ref="A1:I52"/>
  <sheetViews>
    <sheetView showGridLines="0" showZeros="0" workbookViewId="0"/>
  </sheetViews>
  <sheetFormatPr defaultColWidth="15.83203125" defaultRowHeight="12"/>
  <cols>
    <col min="1" max="1" width="32.83203125" style="1" customWidth="1"/>
    <col min="2" max="2" width="18.83203125" style="1" customWidth="1"/>
    <col min="3" max="3" width="9.83203125" style="1" customWidth="1"/>
    <col min="4" max="4" width="16.83203125" style="1" customWidth="1"/>
    <col min="5" max="5" width="8.83203125" style="1" customWidth="1"/>
    <col min="6" max="6" width="9.83203125" style="1" customWidth="1"/>
    <col min="7" max="7" width="16.83203125" style="1" customWidth="1"/>
    <col min="8" max="8" width="8.83203125" style="1" customWidth="1"/>
    <col min="9" max="9" width="9.83203125" style="1" customWidth="1"/>
    <col min="10" max="16384" width="15.83203125" style="1"/>
  </cols>
  <sheetData>
    <row r="1" spans="1:9" ht="6.95" customHeight="1">
      <c r="A1" s="6"/>
      <c r="B1" s="7"/>
      <c r="C1" s="7"/>
      <c r="D1" s="7"/>
      <c r="E1" s="7"/>
      <c r="F1" s="7"/>
      <c r="G1" s="7"/>
      <c r="H1" s="7"/>
      <c r="I1" s="7"/>
    </row>
    <row r="2" spans="1:9" ht="15.95" customHeight="1">
      <c r="A2" s="133"/>
      <c r="B2" s="8" t="s">
        <v>264</v>
      </c>
      <c r="C2" s="9"/>
      <c r="D2" s="9"/>
      <c r="E2" s="9"/>
      <c r="F2" s="9"/>
      <c r="G2" s="72"/>
      <c r="H2" s="80"/>
      <c r="I2" s="134" t="s">
        <v>9</v>
      </c>
    </row>
    <row r="3" spans="1:9" ht="15.95" customHeight="1">
      <c r="A3" s="546"/>
      <c r="B3" s="10" t="str">
        <f>OPYEAR</f>
        <v>OPERATING FUND 2014/2015 ACTUAL</v>
      </c>
      <c r="C3" s="11"/>
      <c r="D3" s="11"/>
      <c r="E3" s="11"/>
      <c r="F3" s="11"/>
      <c r="G3" s="74"/>
      <c r="H3" s="65"/>
      <c r="I3" s="65"/>
    </row>
    <row r="4" spans="1:9" ht="15.95" customHeight="1">
      <c r="B4" s="7"/>
      <c r="C4" s="7"/>
      <c r="D4" s="7"/>
      <c r="E4" s="7"/>
      <c r="F4" s="7"/>
      <c r="G4" s="7"/>
      <c r="H4" s="7"/>
      <c r="I4" s="7"/>
    </row>
    <row r="5" spans="1:9" ht="15.95" customHeight="1">
      <c r="B5" s="7"/>
      <c r="C5" s="7"/>
      <c r="D5" s="7"/>
      <c r="E5" s="7"/>
      <c r="F5" s="7"/>
      <c r="G5" s="7"/>
      <c r="H5" s="7"/>
      <c r="I5" s="7"/>
    </row>
    <row r="6" spans="1:9" ht="15.95" customHeight="1">
      <c r="B6" s="631" t="s">
        <v>497</v>
      </c>
      <c r="C6" s="632"/>
      <c r="D6" s="631" t="s">
        <v>498</v>
      </c>
      <c r="E6" s="639"/>
      <c r="F6" s="632"/>
      <c r="G6" s="631" t="s">
        <v>499</v>
      </c>
      <c r="H6" s="639"/>
      <c r="I6" s="632"/>
    </row>
    <row r="7" spans="1:9" ht="15.95" customHeight="1">
      <c r="B7" s="633"/>
      <c r="C7" s="634"/>
      <c r="D7" s="633"/>
      <c r="E7" s="640"/>
      <c r="F7" s="634"/>
      <c r="G7" s="633"/>
      <c r="H7" s="640"/>
      <c r="I7" s="634"/>
    </row>
    <row r="8" spans="1:9" ht="15.95" customHeight="1">
      <c r="A8" s="66"/>
      <c r="B8" s="13" t="s">
        <v>8</v>
      </c>
      <c r="C8" s="137"/>
      <c r="D8" s="136"/>
      <c r="E8" s="138"/>
      <c r="F8" s="605" t="s">
        <v>331</v>
      </c>
      <c r="G8" s="136"/>
      <c r="H8" s="138"/>
      <c r="I8" s="605" t="s">
        <v>331</v>
      </c>
    </row>
    <row r="9" spans="1:9" ht="15.95" customHeight="1">
      <c r="A9" s="34" t="s">
        <v>43</v>
      </c>
      <c r="B9" s="76" t="s">
        <v>44</v>
      </c>
      <c r="C9" s="76" t="s">
        <v>45</v>
      </c>
      <c r="D9" s="76" t="s">
        <v>44</v>
      </c>
      <c r="E9" s="76" t="s">
        <v>45</v>
      </c>
      <c r="F9" s="586"/>
      <c r="G9" s="76" t="s">
        <v>44</v>
      </c>
      <c r="H9" s="76" t="s">
        <v>45</v>
      </c>
      <c r="I9" s="586"/>
    </row>
    <row r="10" spans="1:9" ht="5.0999999999999996" customHeight="1">
      <c r="A10" s="5"/>
    </row>
    <row r="11" spans="1:9" ht="14.1" customHeight="1">
      <c r="A11" s="287" t="s">
        <v>111</v>
      </c>
      <c r="B11" s="288">
        <f>SUM('- 24 -'!H11,'- 24 -'!F11,'- 24 -'!D11,'- 24 -'!B11)</f>
        <v>18760</v>
      </c>
      <c r="C11" s="294">
        <f>B11/'- 3 -'!D11*100</f>
        <v>0.10730266719196928</v>
      </c>
      <c r="D11" s="288">
        <f>SUM('- 25 -'!B11,'- 25 -'!E11,'- 25 -'!H11,'- 26 -'!B11)</f>
        <v>642821</v>
      </c>
      <c r="E11" s="294">
        <f>D11/'- 3 -'!D11*100</f>
        <v>3.6767808010132663</v>
      </c>
      <c r="F11" s="288">
        <f>D11/'- 7 -'!E11</f>
        <v>402.01438398999375</v>
      </c>
      <c r="G11" s="288">
        <f>SUM('- 27 -'!B11,'- 27 -'!E11,'- 27 -'!H11,'- 28 -'!B11,'- 28 -'!E11)</f>
        <v>349330</v>
      </c>
      <c r="H11" s="294">
        <f>G11/'- 3 -'!D11*100</f>
        <v>1.9980831945719952</v>
      </c>
      <c r="I11" s="288">
        <f>G11/'- 7 -'!E11</f>
        <v>218.46779237023139</v>
      </c>
    </row>
    <row r="12" spans="1:9" ht="14.1" customHeight="1">
      <c r="A12" s="18" t="s">
        <v>112</v>
      </c>
      <c r="B12" s="19">
        <f>SUM('- 24 -'!H12,'- 24 -'!F12,'- 24 -'!D12,'- 24 -'!B12)</f>
        <v>61984</v>
      </c>
      <c r="C12" s="69">
        <f>B12/'- 3 -'!D12*100</f>
        <v>0.19574043499572699</v>
      </c>
      <c r="D12" s="19">
        <f>SUM('- 25 -'!B12,'- 25 -'!E12,'- 25 -'!H12,'- 26 -'!B12)</f>
        <v>1111167</v>
      </c>
      <c r="E12" s="69">
        <f>D12/'- 3 -'!D12*100</f>
        <v>3.50897508926331</v>
      </c>
      <c r="F12" s="19">
        <f>D12/'- 7 -'!E12</f>
        <v>520.74561814603067</v>
      </c>
      <c r="G12" s="19">
        <f>SUM('- 27 -'!B12,'- 27 -'!E12,'- 27 -'!H12,'- 28 -'!B12,'- 28 -'!E12)</f>
        <v>739286</v>
      </c>
      <c r="H12" s="69">
        <f>G12/'- 3 -'!D12*100</f>
        <v>2.3346051114198993</v>
      </c>
      <c r="I12" s="19">
        <f>G12/'- 7 -'!E12</f>
        <v>346.46452338550944</v>
      </c>
    </row>
    <row r="13" spans="1:9" ht="14.1" customHeight="1">
      <c r="A13" s="287" t="s">
        <v>113</v>
      </c>
      <c r="B13" s="288">
        <f>SUM('- 24 -'!H13,'- 24 -'!F13,'- 24 -'!D13,'- 24 -'!B13)</f>
        <v>241746</v>
      </c>
      <c r="C13" s="294">
        <f>B13/'- 3 -'!D13*100</f>
        <v>0.27949750754045882</v>
      </c>
      <c r="D13" s="288">
        <f>SUM('- 25 -'!B13,'- 25 -'!E13,'- 25 -'!H13,'- 26 -'!B13)</f>
        <v>2619630</v>
      </c>
      <c r="E13" s="294">
        <f>D13/'- 3 -'!D13*100</f>
        <v>3.0287163207590289</v>
      </c>
      <c r="F13" s="288">
        <f>D13/'- 7 -'!E13</f>
        <v>325.17750744786497</v>
      </c>
      <c r="G13" s="288">
        <f>SUM('- 27 -'!B13,'- 27 -'!E13,'- 27 -'!H13,'- 28 -'!B13,'- 28 -'!E13)</f>
        <v>2484418</v>
      </c>
      <c r="H13" s="294">
        <f>G13/'- 3 -'!D13*100</f>
        <v>2.8723893619280223</v>
      </c>
      <c r="I13" s="288">
        <f>G13/'- 7 -'!E13</f>
        <v>308.39349553128102</v>
      </c>
    </row>
    <row r="14" spans="1:9" ht="14.1" customHeight="1">
      <c r="A14" s="18" t="s">
        <v>365</v>
      </c>
      <c r="B14" s="19">
        <f>SUM('- 24 -'!H14,'- 24 -'!F14,'- 24 -'!D14,'- 24 -'!B14)</f>
        <v>946651</v>
      </c>
      <c r="C14" s="69">
        <f>B14/'- 3 -'!D14*100</f>
        <v>1.2219071370660184</v>
      </c>
      <c r="D14" s="19">
        <f>SUM('- 25 -'!B14,'- 25 -'!E14,'- 25 -'!H14,'- 26 -'!B14)</f>
        <v>2905200</v>
      </c>
      <c r="E14" s="69">
        <f>D14/'- 3 -'!D14*100</f>
        <v>3.7499401728875759</v>
      </c>
      <c r="F14" s="19">
        <f>D14/'- 7 -'!E14</f>
        <v>554.4274809160305</v>
      </c>
      <c r="G14" s="19">
        <f>SUM('- 27 -'!B14,'- 27 -'!E14,'- 27 -'!H14,'- 28 -'!B14,'- 28 -'!E14)</f>
        <v>2713855</v>
      </c>
      <c r="H14" s="69">
        <f>G14/'- 3 -'!D14*100</f>
        <v>3.5029581054288217</v>
      </c>
      <c r="I14" s="19">
        <f>G14/'- 7 -'!E14</f>
        <v>517.91125954198469</v>
      </c>
    </row>
    <row r="15" spans="1:9" ht="14.1" customHeight="1">
      <c r="A15" s="287" t="s">
        <v>114</v>
      </c>
      <c r="B15" s="288">
        <f>SUM('- 24 -'!H15,'- 24 -'!F15,'- 24 -'!D15,'- 24 -'!B15)</f>
        <v>57901</v>
      </c>
      <c r="C15" s="294">
        <f>B15/'- 3 -'!D15*100</f>
        <v>0.29455221104672791</v>
      </c>
      <c r="D15" s="288">
        <f>SUM('- 25 -'!B15,'- 25 -'!E15,'- 25 -'!H15,'- 26 -'!B15)</f>
        <v>916453</v>
      </c>
      <c r="E15" s="294">
        <f>D15/'- 3 -'!D15*100</f>
        <v>4.6621519053281792</v>
      </c>
      <c r="F15" s="288">
        <f>D15/'- 7 -'!E15</f>
        <v>630.94870912220313</v>
      </c>
      <c r="G15" s="288">
        <f>SUM('- 27 -'!B15,'- 27 -'!E15,'- 27 -'!H15,'- 28 -'!B15,'- 28 -'!E15)</f>
        <v>643754</v>
      </c>
      <c r="H15" s="294">
        <f>G15/'- 3 -'!D15*100</f>
        <v>3.2748858235639324</v>
      </c>
      <c r="I15" s="288">
        <f>G15/'- 7 -'!E15</f>
        <v>443.20413080895008</v>
      </c>
    </row>
    <row r="16" spans="1:9" ht="14.1" customHeight="1">
      <c r="A16" s="18" t="s">
        <v>115</v>
      </c>
      <c r="B16" s="19">
        <f>SUM('- 24 -'!H16,'- 24 -'!F16,'- 24 -'!D16,'- 24 -'!B16)</f>
        <v>11767</v>
      </c>
      <c r="C16" s="69">
        <f>B16/'- 3 -'!D16*100</f>
        <v>8.6417918877023853E-2</v>
      </c>
      <c r="D16" s="19">
        <f>SUM('- 25 -'!B16,'- 25 -'!E16,'- 25 -'!H16,'- 26 -'!B16)</f>
        <v>670780</v>
      </c>
      <c r="E16" s="69">
        <f>D16/'- 3 -'!D16*100</f>
        <v>4.9262693655417742</v>
      </c>
      <c r="F16" s="19">
        <f>D16/'- 7 -'!E16</f>
        <v>734.37705276987083</v>
      </c>
      <c r="G16" s="19">
        <f>SUM('- 27 -'!B16,'- 27 -'!E16,'- 27 -'!H16,'- 28 -'!B16,'- 28 -'!E16)</f>
        <v>298631</v>
      </c>
      <c r="H16" s="69">
        <f>G16/'- 3 -'!D16*100</f>
        <v>2.1931732414519005</v>
      </c>
      <c r="I16" s="19">
        <f>G16/'- 7 -'!E16</f>
        <v>326.94438362163345</v>
      </c>
    </row>
    <row r="17" spans="1:9" ht="14.1" customHeight="1">
      <c r="A17" s="287" t="s">
        <v>116</v>
      </c>
      <c r="B17" s="288">
        <f>SUM('- 24 -'!H17,'- 24 -'!F17,'- 24 -'!D17,'- 24 -'!B17)</f>
        <v>345839</v>
      </c>
      <c r="C17" s="294">
        <f>B17/'- 3 -'!D17*100</f>
        <v>1.991774862903823</v>
      </c>
      <c r="D17" s="288">
        <f>SUM('- 25 -'!B17,'- 25 -'!E17,'- 25 -'!H17,'- 26 -'!B17)</f>
        <v>729696</v>
      </c>
      <c r="E17" s="294">
        <f>D17/'- 3 -'!D17*100</f>
        <v>4.2025050684320391</v>
      </c>
      <c r="F17" s="288">
        <f>D17/'- 7 -'!E17</f>
        <v>546.17964071856284</v>
      </c>
      <c r="G17" s="288">
        <f>SUM('- 27 -'!B17,'- 27 -'!E17,'- 27 -'!H17,'- 28 -'!B17,'- 28 -'!E17)</f>
        <v>751604</v>
      </c>
      <c r="H17" s="294">
        <f>G17/'- 3 -'!D17*100</f>
        <v>4.3286788189243124</v>
      </c>
      <c r="I17" s="288">
        <f>G17/'- 7 -'!E17</f>
        <v>562.57784431137725</v>
      </c>
    </row>
    <row r="18" spans="1:9" ht="14.1" customHeight="1">
      <c r="A18" s="18" t="s">
        <v>117</v>
      </c>
      <c r="B18" s="19">
        <f>SUM('- 24 -'!H18,'- 24 -'!F18,'- 24 -'!D18,'- 24 -'!B18)</f>
        <v>2372596</v>
      </c>
      <c r="C18" s="69">
        <f>B18/'- 3 -'!D18*100</f>
        <v>1.9419779457690571</v>
      </c>
      <c r="D18" s="19">
        <f>SUM('- 25 -'!B18,'- 25 -'!E18,'- 25 -'!H18,'- 26 -'!B18)</f>
        <v>7063909</v>
      </c>
      <c r="E18" s="69">
        <f>D18/'- 3 -'!D18*100</f>
        <v>5.7818336914163027</v>
      </c>
      <c r="F18" s="19">
        <f>D18/'- 7 -'!E18</f>
        <v>1164.0729565428037</v>
      </c>
      <c r="G18" s="19">
        <f>SUM('- 27 -'!B18,'- 27 -'!E18,'- 27 -'!H18,'- 28 -'!B18,'- 28 -'!E18)</f>
        <v>6293442</v>
      </c>
      <c r="H18" s="69">
        <f>G18/'- 3 -'!D18*100</f>
        <v>5.1512038151361237</v>
      </c>
      <c r="I18" s="19">
        <f>G18/'- 7 -'!E18</f>
        <v>1037.1064570297629</v>
      </c>
    </row>
    <row r="19" spans="1:9" ht="14.1" customHeight="1">
      <c r="A19" s="287" t="s">
        <v>118</v>
      </c>
      <c r="B19" s="288">
        <f>SUM('- 24 -'!H19,'- 24 -'!F19,'- 24 -'!D19,'- 24 -'!B19)</f>
        <v>59786</v>
      </c>
      <c r="C19" s="294">
        <f>B19/'- 3 -'!D19*100</f>
        <v>0.13880092815952677</v>
      </c>
      <c r="D19" s="288">
        <f>SUM('- 25 -'!B19,'- 25 -'!E19,'- 25 -'!H19,'- 26 -'!B19)</f>
        <v>1385361</v>
      </c>
      <c r="E19" s="294">
        <f>D19/'- 3 -'!D19*100</f>
        <v>3.2162946615597319</v>
      </c>
      <c r="F19" s="288">
        <f>D19/'- 7 -'!E19</f>
        <v>328.65062984840932</v>
      </c>
      <c r="G19" s="288">
        <f>SUM('- 27 -'!B19,'- 27 -'!E19,'- 27 -'!H19,'- 28 -'!B19,'- 28 -'!E19)</f>
        <v>1059933</v>
      </c>
      <c r="H19" s="294">
        <f>G19/'- 3 -'!D19*100</f>
        <v>2.4607714880893803</v>
      </c>
      <c r="I19" s="288">
        <f>G19/'- 7 -'!E19</f>
        <v>251.44900718810047</v>
      </c>
    </row>
    <row r="20" spans="1:9" ht="14.1" customHeight="1">
      <c r="A20" s="18" t="s">
        <v>119</v>
      </c>
      <c r="B20" s="19">
        <f>SUM('- 24 -'!H20,'- 24 -'!F20,'- 24 -'!D20,'- 24 -'!B20)</f>
        <v>175024</v>
      </c>
      <c r="C20" s="69">
        <f>B20/'- 3 -'!D20*100</f>
        <v>0.23443827291066721</v>
      </c>
      <c r="D20" s="19">
        <f>SUM('- 25 -'!B20,'- 25 -'!E20,'- 25 -'!H20,'- 26 -'!B20)</f>
        <v>2140097</v>
      </c>
      <c r="E20" s="69">
        <f>D20/'- 3 -'!D20*100</f>
        <v>2.8665819804215431</v>
      </c>
      <c r="F20" s="19">
        <f>D20/'- 7 -'!E20</f>
        <v>290.34011667344998</v>
      </c>
      <c r="G20" s="19">
        <f>SUM('- 27 -'!B20,'- 27 -'!E20,'- 27 -'!H20,'- 28 -'!B20,'- 28 -'!E20)</f>
        <v>2074076</v>
      </c>
      <c r="H20" s="69">
        <f>G20/'- 3 -'!D20*100</f>
        <v>2.7781492556761647</v>
      </c>
      <c r="I20" s="19">
        <f>G20/'- 7 -'!E20</f>
        <v>281.38325871659202</v>
      </c>
    </row>
    <row r="21" spans="1:9" ht="14.1" customHeight="1">
      <c r="A21" s="287" t="s">
        <v>120</v>
      </c>
      <c r="B21" s="288">
        <f>SUM('- 24 -'!H21,'- 24 -'!F21,'- 24 -'!D21,'- 24 -'!B21)</f>
        <v>258159</v>
      </c>
      <c r="C21" s="294">
        <f>B21/'- 3 -'!D21*100</f>
        <v>0.74160596807818635</v>
      </c>
      <c r="D21" s="288">
        <f>SUM('- 25 -'!B21,'- 25 -'!E21,'- 25 -'!H21,'- 26 -'!B21)</f>
        <v>1353349</v>
      </c>
      <c r="E21" s="294">
        <f>D21/'- 3 -'!D21*100</f>
        <v>3.8877269252384981</v>
      </c>
      <c r="F21" s="288">
        <f>D21/'- 7 -'!E21</f>
        <v>505.54688083675757</v>
      </c>
      <c r="G21" s="288">
        <f>SUM('- 27 -'!B21,'- 27 -'!E21,'- 27 -'!H21,'- 28 -'!B21,'- 28 -'!E21)</f>
        <v>1552111</v>
      </c>
      <c r="H21" s="294">
        <f>G21/'- 3 -'!D21*100</f>
        <v>4.4587048319826224</v>
      </c>
      <c r="I21" s="288">
        <f>G21/'- 7 -'!E21</f>
        <v>579.79491968621596</v>
      </c>
    </row>
    <row r="22" spans="1:9" ht="14.1" customHeight="1">
      <c r="A22" s="18" t="s">
        <v>121</v>
      </c>
      <c r="B22" s="19">
        <f>SUM('- 24 -'!H22,'- 24 -'!F22,'- 24 -'!D22,'- 24 -'!B22)</f>
        <v>55393</v>
      </c>
      <c r="C22" s="69">
        <f>B22/'- 3 -'!D22*100</f>
        <v>0.28499183786216353</v>
      </c>
      <c r="D22" s="19">
        <f>SUM('- 25 -'!B22,'- 25 -'!E22,'- 25 -'!H22,'- 26 -'!B22)</f>
        <v>790204</v>
      </c>
      <c r="E22" s="69">
        <f>D22/'- 3 -'!D22*100</f>
        <v>4.0655261539550676</v>
      </c>
      <c r="F22" s="19">
        <f>D22/'- 7 -'!E22</f>
        <v>515.83262615053195</v>
      </c>
      <c r="G22" s="19">
        <f>SUM('- 27 -'!B22,'- 27 -'!E22,'- 27 -'!H22,'- 28 -'!B22,'- 28 -'!E22)</f>
        <v>468522</v>
      </c>
      <c r="H22" s="69">
        <f>G22/'- 3 -'!D22*100</f>
        <v>2.4105021547642584</v>
      </c>
      <c r="I22" s="19">
        <f>G22/'- 7 -'!E22</f>
        <v>305.84372348064494</v>
      </c>
    </row>
    <row r="23" spans="1:9" ht="14.1" customHeight="1">
      <c r="A23" s="287" t="s">
        <v>122</v>
      </c>
      <c r="B23" s="288">
        <f>SUM('- 24 -'!H23,'- 24 -'!F23,'- 24 -'!D23,'- 24 -'!B23)</f>
        <v>277672</v>
      </c>
      <c r="C23" s="294">
        <f>B23/'- 3 -'!D23*100</f>
        <v>1.7091603366369761</v>
      </c>
      <c r="D23" s="288">
        <f>SUM('- 25 -'!B23,'- 25 -'!E23,'- 25 -'!H23,'- 26 -'!B23)</f>
        <v>670708</v>
      </c>
      <c r="E23" s="294">
        <f>D23/'- 3 -'!D23*100</f>
        <v>4.1284231433674012</v>
      </c>
      <c r="F23" s="288">
        <f>D23/'- 7 -'!E23</f>
        <v>597.77896613190728</v>
      </c>
      <c r="G23" s="288">
        <f>SUM('- 27 -'!B23,'- 27 -'!E23,'- 27 -'!H23,'- 28 -'!B23,'- 28 -'!E23)</f>
        <v>494236</v>
      </c>
      <c r="H23" s="294">
        <f>G23/'- 3 -'!D23*100</f>
        <v>3.0421813079392686</v>
      </c>
      <c r="I23" s="288">
        <f>G23/'- 7 -'!E23</f>
        <v>440.49554367201426</v>
      </c>
    </row>
    <row r="24" spans="1:9" ht="14.1" customHeight="1">
      <c r="A24" s="18" t="s">
        <v>123</v>
      </c>
      <c r="B24" s="19">
        <f>SUM('- 24 -'!H24,'- 24 -'!F24,'- 24 -'!D24,'- 24 -'!B24)</f>
        <v>506447</v>
      </c>
      <c r="C24" s="69">
        <f>B24/'- 3 -'!D24*100</f>
        <v>0.93402822469460578</v>
      </c>
      <c r="D24" s="19">
        <f>SUM('- 25 -'!B24,'- 25 -'!E24,'- 25 -'!H24,'- 26 -'!B24)</f>
        <v>1973888</v>
      </c>
      <c r="E24" s="69">
        <f>D24/'- 3 -'!D24*100</f>
        <v>3.6403949562066442</v>
      </c>
      <c r="F24" s="19">
        <f>D24/'- 7 -'!E24</f>
        <v>487.72899112945072</v>
      </c>
      <c r="G24" s="19">
        <f>SUM('- 27 -'!B24,'- 27 -'!E24,'- 27 -'!H24,'- 28 -'!B24,'- 28 -'!E24)</f>
        <v>1476843</v>
      </c>
      <c r="H24" s="69">
        <f>G24/'- 3 -'!D24*100</f>
        <v>2.7237066177559663</v>
      </c>
      <c r="I24" s="19">
        <f>G24/'- 7 -'!E24</f>
        <v>364.91388895752516</v>
      </c>
    </row>
    <row r="25" spans="1:9" ht="14.1" customHeight="1">
      <c r="A25" s="287" t="s">
        <v>124</v>
      </c>
      <c r="B25" s="288">
        <f>SUM('- 24 -'!H25,'- 24 -'!F25,'- 24 -'!D25,'- 24 -'!B25)</f>
        <v>1247893</v>
      </c>
      <c r="C25" s="294">
        <f>B25/'- 3 -'!D25*100</f>
        <v>0.7811074859316457</v>
      </c>
      <c r="D25" s="288">
        <f>SUM('- 25 -'!B25,'- 25 -'!E25,'- 25 -'!H25,'- 26 -'!B25)</f>
        <v>5708283</v>
      </c>
      <c r="E25" s="294">
        <f>D25/'- 3 -'!D25*100</f>
        <v>3.573048797546226</v>
      </c>
      <c r="F25" s="288">
        <f>D25/'- 7 -'!E25</f>
        <v>410.84814199036987</v>
      </c>
      <c r="G25" s="288">
        <f>SUM('- 27 -'!B25,'- 27 -'!E25,'- 27 -'!H25,'- 28 -'!B25,'- 28 -'!E25)</f>
        <v>7129188</v>
      </c>
      <c r="H25" s="294">
        <f>G25/'- 3 -'!D25*100</f>
        <v>4.4624516007494694</v>
      </c>
      <c r="I25" s="288">
        <f>G25/'- 7 -'!E25</f>
        <v>513.1164036015806</v>
      </c>
    </row>
    <row r="26" spans="1:9" ht="14.1" customHeight="1">
      <c r="A26" s="18" t="s">
        <v>125</v>
      </c>
      <c r="B26" s="19">
        <f>SUM('- 24 -'!H26,'- 24 -'!F26,'- 24 -'!D26,'- 24 -'!B26)</f>
        <v>102146</v>
      </c>
      <c r="C26" s="69">
        <f>B26/'- 3 -'!D26*100</f>
        <v>0.26255897140917717</v>
      </c>
      <c r="D26" s="19">
        <f>SUM('- 25 -'!B26,'- 25 -'!E26,'- 25 -'!H26,'- 26 -'!B26)</f>
        <v>1362464</v>
      </c>
      <c r="E26" s="69">
        <f>D26/'- 3 -'!D26*100</f>
        <v>3.5021160537077636</v>
      </c>
      <c r="F26" s="19">
        <f>D26/'- 7 -'!E26</f>
        <v>438.44376508447306</v>
      </c>
      <c r="G26" s="19">
        <f>SUM('- 27 -'!B26,'- 27 -'!E26,'- 27 -'!H26,'- 28 -'!B26,'- 28 -'!E26)</f>
        <v>1196020</v>
      </c>
      <c r="H26" s="69">
        <f>G26/'- 3 -'!D26*100</f>
        <v>3.0742836820316417</v>
      </c>
      <c r="I26" s="19">
        <f>G26/'- 7 -'!E26</f>
        <v>384.88173773129523</v>
      </c>
    </row>
    <row r="27" spans="1:9" ht="14.1" customHeight="1">
      <c r="A27" s="287" t="s">
        <v>126</v>
      </c>
      <c r="B27" s="288">
        <f>SUM('- 24 -'!H27,'- 24 -'!F27,'- 24 -'!D27,'- 24 -'!B27)</f>
        <v>45416</v>
      </c>
      <c r="C27" s="294">
        <f>B27/'- 3 -'!D27*100</f>
        <v>0.11630325186873047</v>
      </c>
      <c r="D27" s="288">
        <f>SUM('- 25 -'!B27,'- 25 -'!E27,'- 25 -'!H27,'- 26 -'!B27)</f>
        <v>1882636</v>
      </c>
      <c r="E27" s="294">
        <f>D27/'- 3 -'!D27*100</f>
        <v>4.8211354783587117</v>
      </c>
      <c r="F27" s="288">
        <f>D27/'- 7 -'!E27</f>
        <v>658.84024496937877</v>
      </c>
      <c r="G27" s="288">
        <f>SUM('- 27 -'!B27,'- 27 -'!E27,'- 27 -'!H27,'- 28 -'!B27,'- 28 -'!E27)</f>
        <v>1720044</v>
      </c>
      <c r="H27" s="294">
        <f>G27/'- 3 -'!D27*100</f>
        <v>4.4047628711753264</v>
      </c>
      <c r="I27" s="288">
        <f>G27/'- 7 -'!E27</f>
        <v>601.94015748031495</v>
      </c>
    </row>
    <row r="28" spans="1:9" ht="14.1" customHeight="1">
      <c r="A28" s="18" t="s">
        <v>127</v>
      </c>
      <c r="B28" s="19">
        <f>SUM('- 24 -'!H28,'- 24 -'!F28,'- 24 -'!D28,'- 24 -'!B28)</f>
        <v>98752</v>
      </c>
      <c r="C28" s="69">
        <f>B28/'- 3 -'!D28*100</f>
        <v>0.35911600703089441</v>
      </c>
      <c r="D28" s="19">
        <f>SUM('- 25 -'!B28,'- 25 -'!E28,'- 25 -'!H28,'- 26 -'!B28)</f>
        <v>1139909</v>
      </c>
      <c r="E28" s="69">
        <f>D28/'- 3 -'!D28*100</f>
        <v>4.1453293954409016</v>
      </c>
      <c r="F28" s="19">
        <f>D28/'- 7 -'!E28</f>
        <v>569.66966516741627</v>
      </c>
      <c r="G28" s="19">
        <f>SUM('- 27 -'!B28,'- 27 -'!E28,'- 27 -'!H28,'- 28 -'!B28,'- 28 -'!E28)</f>
        <v>731242</v>
      </c>
      <c r="H28" s="69">
        <f>G28/'- 3 -'!D28*100</f>
        <v>2.6591938108927953</v>
      </c>
      <c r="I28" s="19">
        <f>G28/'- 7 -'!E28</f>
        <v>365.43828085957023</v>
      </c>
    </row>
    <row r="29" spans="1:9" ht="14.1" customHeight="1">
      <c r="A29" s="287" t="s">
        <v>128</v>
      </c>
      <c r="B29" s="288">
        <f>SUM('- 24 -'!H29,'- 24 -'!F29,'- 24 -'!D29,'- 24 -'!B29)</f>
        <v>1256434</v>
      </c>
      <c r="C29" s="294">
        <f>B29/'- 3 -'!D29*100</f>
        <v>0.86125699991436333</v>
      </c>
      <c r="D29" s="288">
        <f>SUM('- 25 -'!B29,'- 25 -'!E29,'- 25 -'!H29,'- 26 -'!B29)</f>
        <v>4599218</v>
      </c>
      <c r="E29" s="294">
        <f>D29/'- 3 -'!D29*100</f>
        <v>3.1526595878750001</v>
      </c>
      <c r="F29" s="288">
        <f>D29/'- 7 -'!E29</f>
        <v>369.79529154472067</v>
      </c>
      <c r="G29" s="288">
        <f>SUM('- 27 -'!B29,'- 27 -'!E29,'- 27 -'!H29,'- 28 -'!B29,'- 28 -'!E29)</f>
        <v>5747220</v>
      </c>
      <c r="H29" s="294">
        <f>G29/'- 3 -'!D29*100</f>
        <v>3.9395889119904646</v>
      </c>
      <c r="I29" s="288">
        <f>G29/'- 7 -'!E29</f>
        <v>462.09918631203163</v>
      </c>
    </row>
    <row r="30" spans="1:9" ht="14.1" customHeight="1">
      <c r="A30" s="18" t="s">
        <v>129</v>
      </c>
      <c r="B30" s="19">
        <f>SUM('- 24 -'!H30,'- 24 -'!F30,'- 24 -'!D30,'- 24 -'!B30)</f>
        <v>13615</v>
      </c>
      <c r="C30" s="69">
        <f>B30/'- 3 -'!D30*100</f>
        <v>0.10013896625989822</v>
      </c>
      <c r="D30" s="19">
        <f>SUM('- 25 -'!B30,'- 25 -'!E30,'- 25 -'!H30,'- 26 -'!B30)</f>
        <v>513694</v>
      </c>
      <c r="E30" s="69">
        <f>D30/'- 3 -'!D30*100</f>
        <v>3.7782435647383159</v>
      </c>
      <c r="F30" s="19">
        <f>D30/'- 7 -'!E30</f>
        <v>492.27982750359365</v>
      </c>
      <c r="G30" s="19">
        <f>SUM('- 27 -'!B30,'- 27 -'!E30,'- 27 -'!H30,'- 28 -'!B30,'- 28 -'!E30)</f>
        <v>519208</v>
      </c>
      <c r="H30" s="69">
        <f>G30/'- 3 -'!D30*100</f>
        <v>3.818799294445042</v>
      </c>
      <c r="I30" s="19">
        <f>G30/'- 7 -'!E30</f>
        <v>497.56396741734545</v>
      </c>
    </row>
    <row r="31" spans="1:9" ht="14.1" customHeight="1">
      <c r="A31" s="287" t="s">
        <v>130</v>
      </c>
      <c r="B31" s="288">
        <f>SUM('- 24 -'!H31,'- 24 -'!F31,'- 24 -'!D31,'- 24 -'!B31)</f>
        <v>64784</v>
      </c>
      <c r="C31" s="294">
        <f>B31/'- 3 -'!D31*100</f>
        <v>0.18326182801014357</v>
      </c>
      <c r="D31" s="288">
        <f>SUM('- 25 -'!B31,'- 25 -'!E31,'- 25 -'!H31,'- 26 -'!B31)</f>
        <v>1174315</v>
      </c>
      <c r="E31" s="294">
        <f>D31/'- 3 -'!D31*100</f>
        <v>3.3219176580595784</v>
      </c>
      <c r="F31" s="288">
        <f>D31/'- 7 -'!E31</f>
        <v>361.55018472906403</v>
      </c>
      <c r="G31" s="288">
        <f>SUM('- 27 -'!B31,'- 27 -'!E31,'- 27 -'!H31,'- 28 -'!B31,'- 28 -'!E31)</f>
        <v>1198575</v>
      </c>
      <c r="H31" s="294">
        <f>G31/'- 3 -'!D31*100</f>
        <v>3.3905446639179089</v>
      </c>
      <c r="I31" s="288">
        <f>G31/'- 7 -'!E31</f>
        <v>369.01939655172413</v>
      </c>
    </row>
    <row r="32" spans="1:9" ht="14.1" customHeight="1">
      <c r="A32" s="18" t="s">
        <v>131</v>
      </c>
      <c r="B32" s="19">
        <f>SUM('- 24 -'!H32,'- 24 -'!F32,'- 24 -'!D32,'- 24 -'!B32)</f>
        <v>35028</v>
      </c>
      <c r="C32" s="69">
        <f>B32/'- 3 -'!D32*100</f>
        <v>0.13265417687019079</v>
      </c>
      <c r="D32" s="19">
        <f>SUM('- 25 -'!B32,'- 25 -'!E32,'- 25 -'!H32,'- 26 -'!B32)</f>
        <v>1069718</v>
      </c>
      <c r="E32" s="69">
        <f>D32/'- 3 -'!D32*100</f>
        <v>4.0511179848471723</v>
      </c>
      <c r="F32" s="19">
        <f>D32/'- 7 -'!E32</f>
        <v>510.84909264565425</v>
      </c>
      <c r="G32" s="19">
        <f>SUM('- 27 -'!B32,'- 27 -'!E32,'- 27 -'!H32,'- 28 -'!B32,'- 28 -'!E32)</f>
        <v>534384</v>
      </c>
      <c r="H32" s="69">
        <f>G32/'- 3 -'!D32*100</f>
        <v>2.0237601248315644</v>
      </c>
      <c r="I32" s="19">
        <f>G32/'- 7 -'!E32</f>
        <v>255.19770773638967</v>
      </c>
    </row>
    <row r="33" spans="1:9" ht="14.1" customHeight="1">
      <c r="A33" s="287" t="s">
        <v>132</v>
      </c>
      <c r="B33" s="288">
        <f>SUM('- 24 -'!H33,'- 24 -'!F33,'- 24 -'!D33,'- 24 -'!B33)</f>
        <v>34918</v>
      </c>
      <c r="C33" s="294">
        <f>B33/'- 3 -'!D33*100</f>
        <v>0.13250164687882313</v>
      </c>
      <c r="D33" s="288">
        <f>SUM('- 25 -'!B33,'- 25 -'!E33,'- 25 -'!H33,'- 26 -'!B33)</f>
        <v>921466</v>
      </c>
      <c r="E33" s="294">
        <f>D33/'- 3 -'!D33*100</f>
        <v>3.4966424922057855</v>
      </c>
      <c r="F33" s="288">
        <f>D33/'- 7 -'!E33</f>
        <v>459.2404684774483</v>
      </c>
      <c r="G33" s="288">
        <f>SUM('- 27 -'!B33,'- 27 -'!E33,'- 27 -'!H33,'- 28 -'!B33,'- 28 -'!E33)</f>
        <v>770680</v>
      </c>
      <c r="H33" s="294">
        <f>G33/'- 3 -'!D33*100</f>
        <v>2.9244621460728393</v>
      </c>
      <c r="I33" s="288">
        <f>G33/'- 7 -'!E33</f>
        <v>384.09170196860202</v>
      </c>
    </row>
    <row r="34" spans="1:9" ht="14.1" customHeight="1">
      <c r="A34" s="18" t="s">
        <v>133</v>
      </c>
      <c r="B34" s="19">
        <f>SUM('- 24 -'!H34,'- 24 -'!F34,'- 24 -'!D34,'- 24 -'!B34)</f>
        <v>48608</v>
      </c>
      <c r="C34" s="69">
        <f>B34/'- 3 -'!D34*100</f>
        <v>0.18337579645467678</v>
      </c>
      <c r="D34" s="19">
        <f>SUM('- 25 -'!B34,'- 25 -'!E34,'- 25 -'!H34,'- 26 -'!B34)</f>
        <v>1041383</v>
      </c>
      <c r="E34" s="69">
        <f>D34/'- 3 -'!D34*100</f>
        <v>3.9286627106517575</v>
      </c>
      <c r="F34" s="19">
        <f>D34/'- 7 -'!E34</f>
        <v>523.10826016194824</v>
      </c>
      <c r="G34" s="19">
        <f>SUM('- 27 -'!B34,'- 27 -'!E34,'- 27 -'!H34,'- 28 -'!B34,'- 28 -'!E34)</f>
        <v>733748</v>
      </c>
      <c r="H34" s="69">
        <f>G34/'- 3 -'!D34*100</f>
        <v>2.7680962783292085</v>
      </c>
      <c r="I34" s="19">
        <f>G34/'- 7 -'!E34</f>
        <v>368.57682493118205</v>
      </c>
    </row>
    <row r="35" spans="1:9" ht="14.1" customHeight="1">
      <c r="A35" s="287" t="s">
        <v>134</v>
      </c>
      <c r="B35" s="288">
        <f>SUM('- 24 -'!H35,'- 24 -'!F35,'- 24 -'!D35,'- 24 -'!B35)</f>
        <v>1455300</v>
      </c>
      <c r="C35" s="294">
        <f>B35/'- 3 -'!D35*100</f>
        <v>0.83277556502245575</v>
      </c>
      <c r="D35" s="288">
        <f>SUM('- 25 -'!B35,'- 25 -'!E35,'- 25 -'!H35,'- 26 -'!B35)</f>
        <v>5205263</v>
      </c>
      <c r="E35" s="294">
        <f>D35/'- 3 -'!D35*100</f>
        <v>2.9786407173197849</v>
      </c>
      <c r="F35" s="288">
        <f>D35/'- 7 -'!E35</f>
        <v>334.76512959032738</v>
      </c>
      <c r="G35" s="288">
        <f>SUM('- 27 -'!B35,'- 27 -'!E35,'- 27 -'!H35,'- 28 -'!B35,'- 28 -'!E35)</f>
        <v>7269968</v>
      </c>
      <c r="H35" s="294">
        <f>G35/'- 3 -'!D35*100</f>
        <v>4.1601399772522312</v>
      </c>
      <c r="I35" s="288">
        <f>G35/'- 7 -'!E35</f>
        <v>467.55212553861986</v>
      </c>
    </row>
    <row r="36" spans="1:9" ht="14.1" customHeight="1">
      <c r="A36" s="18" t="s">
        <v>135</v>
      </c>
      <c r="B36" s="19">
        <f>SUM('- 24 -'!H36,'- 24 -'!F36,'- 24 -'!D36,'- 24 -'!B36)</f>
        <v>35539</v>
      </c>
      <c r="C36" s="69">
        <f>B36/'- 3 -'!D36*100</f>
        <v>0.16275710415364703</v>
      </c>
      <c r="D36" s="19">
        <f>SUM('- 25 -'!B36,'- 25 -'!E36,'- 25 -'!H36,'- 26 -'!B36)</f>
        <v>922962</v>
      </c>
      <c r="E36" s="69">
        <f>D36/'- 3 -'!D36*100</f>
        <v>4.2268668888786509</v>
      </c>
      <c r="F36" s="19">
        <f>D36/'- 7 -'!E36</f>
        <v>559.71012734990904</v>
      </c>
      <c r="G36" s="19">
        <f>SUM('- 27 -'!B36,'- 27 -'!E36,'- 27 -'!H36,'- 28 -'!B36,'- 28 -'!E36)</f>
        <v>751935</v>
      </c>
      <c r="H36" s="69">
        <f>G36/'- 3 -'!D36*100</f>
        <v>3.4436186474513235</v>
      </c>
      <c r="I36" s="19">
        <f>G36/'- 7 -'!E36</f>
        <v>455.99454214675563</v>
      </c>
    </row>
    <row r="37" spans="1:9" ht="14.1" customHeight="1">
      <c r="A37" s="287" t="s">
        <v>136</v>
      </c>
      <c r="B37" s="288">
        <f>SUM('- 24 -'!H37,'- 24 -'!F37,'- 24 -'!D37,'- 24 -'!B37)</f>
        <v>197053</v>
      </c>
      <c r="C37" s="294">
        <f>B37/'- 3 -'!D37*100</f>
        <v>0.43718048372612939</v>
      </c>
      <c r="D37" s="288">
        <f>SUM('- 25 -'!B37,'- 25 -'!E37,'- 25 -'!H37,'- 26 -'!B37)</f>
        <v>1622228</v>
      </c>
      <c r="E37" s="294">
        <f>D37/'- 3 -'!D37*100</f>
        <v>3.5990643215483722</v>
      </c>
      <c r="F37" s="288">
        <f>D37/'- 7 -'!E37</f>
        <v>410.37895269415634</v>
      </c>
      <c r="G37" s="288">
        <f>SUM('- 27 -'!B37,'- 27 -'!E37,'- 27 -'!H37,'- 28 -'!B37,'- 28 -'!E37)</f>
        <v>1501912</v>
      </c>
      <c r="H37" s="294">
        <f>G37/'- 3 -'!D37*100</f>
        <v>3.3321320389645344</v>
      </c>
      <c r="I37" s="288">
        <f>G37/'- 7 -'!E37</f>
        <v>379.94232228687071</v>
      </c>
    </row>
    <row r="38" spans="1:9" ht="14.1" customHeight="1">
      <c r="A38" s="18" t="s">
        <v>137</v>
      </c>
      <c r="B38" s="19">
        <f>SUM('- 24 -'!H38,'- 24 -'!F38,'- 24 -'!D38,'- 24 -'!B38)</f>
        <v>1776701</v>
      </c>
      <c r="C38" s="69">
        <f>B38/'- 3 -'!D38*100</f>
        <v>1.4556825811155658</v>
      </c>
      <c r="D38" s="19">
        <f>SUM('- 25 -'!B38,'- 25 -'!E38,'- 25 -'!H38,'- 26 -'!B38)</f>
        <v>3615834</v>
      </c>
      <c r="E38" s="69">
        <f>D38/'- 3 -'!D38*100</f>
        <v>2.9625168050253934</v>
      </c>
      <c r="F38" s="19">
        <f>D38/'- 7 -'!E38</f>
        <v>343.19826874341521</v>
      </c>
      <c r="G38" s="19">
        <f>SUM('- 27 -'!B38,'- 27 -'!E38,'- 27 -'!H38,'- 28 -'!B38,'- 28 -'!E38)</f>
        <v>4473639</v>
      </c>
      <c r="H38" s="69">
        <f>G38/'- 3 -'!D38*100</f>
        <v>3.6653316267054836</v>
      </c>
      <c r="I38" s="19">
        <f>G38/'- 7 -'!E38</f>
        <v>424.61715880292718</v>
      </c>
    </row>
    <row r="39" spans="1:9" ht="14.1" customHeight="1">
      <c r="A39" s="287" t="s">
        <v>138</v>
      </c>
      <c r="B39" s="288">
        <f>SUM('- 24 -'!H39,'- 24 -'!F39,'- 24 -'!D39,'- 24 -'!B39)</f>
        <v>148637</v>
      </c>
      <c r="C39" s="294">
        <f>B39/'- 3 -'!D39*100</f>
        <v>0.736183380720977</v>
      </c>
      <c r="D39" s="288">
        <f>SUM('- 25 -'!B39,'- 25 -'!E39,'- 25 -'!H39,'- 26 -'!B39)</f>
        <v>831823</v>
      </c>
      <c r="E39" s="294">
        <f>D39/'- 3 -'!D39*100</f>
        <v>4.1199315668471863</v>
      </c>
      <c r="F39" s="288">
        <f>D39/'- 7 -'!E39</f>
        <v>537.87455544778527</v>
      </c>
      <c r="G39" s="288">
        <f>SUM('- 27 -'!B39,'- 27 -'!E39,'- 27 -'!H39,'- 28 -'!B39,'- 28 -'!E39)</f>
        <v>539039</v>
      </c>
      <c r="H39" s="294">
        <f>G39/'- 3 -'!D39*100</f>
        <v>2.6698033017381588</v>
      </c>
      <c r="I39" s="288">
        <f>G39/'- 7 -'!E39</f>
        <v>348.55415454251533</v>
      </c>
    </row>
    <row r="40" spans="1:9" ht="14.1" customHeight="1">
      <c r="A40" s="18" t="s">
        <v>139</v>
      </c>
      <c r="B40" s="19">
        <f>SUM('- 24 -'!H40,'- 24 -'!F40,'- 24 -'!D40,'- 24 -'!B40)</f>
        <v>1068570</v>
      </c>
      <c r="C40" s="69">
        <f>B40/'- 3 -'!D40*100</f>
        <v>1.0929028592055825</v>
      </c>
      <c r="D40" s="19">
        <f>SUM('- 25 -'!B40,'- 25 -'!E40,'- 25 -'!H40,'- 26 -'!B40)</f>
        <v>3769210</v>
      </c>
      <c r="E40" s="69">
        <f>D40/'- 3 -'!D40*100</f>
        <v>3.8550402743351149</v>
      </c>
      <c r="F40" s="19">
        <f>D40/'- 7 -'!E40</f>
        <v>478.04707911625189</v>
      </c>
      <c r="G40" s="19">
        <f>SUM('- 27 -'!B40,'- 27 -'!E40,'- 27 -'!H40,'- 28 -'!B40,'- 28 -'!E40)</f>
        <v>3558897</v>
      </c>
      <c r="H40" s="69">
        <f>G40/'- 3 -'!D40*100</f>
        <v>3.6399381481027637</v>
      </c>
      <c r="I40" s="19">
        <f>G40/'- 7 -'!E40</f>
        <v>451.37318316718665</v>
      </c>
    </row>
    <row r="41" spans="1:9" ht="14.1" customHeight="1">
      <c r="A41" s="287" t="s">
        <v>140</v>
      </c>
      <c r="B41" s="288">
        <f>SUM('- 24 -'!H41,'- 24 -'!F41,'- 24 -'!D41,'- 24 -'!B41)</f>
        <v>294284</v>
      </c>
      <c r="C41" s="294">
        <f>B41/'- 3 -'!D41*100</f>
        <v>0.49254078971619336</v>
      </c>
      <c r="D41" s="288">
        <f>SUM('- 25 -'!B41,'- 25 -'!E41,'- 25 -'!H41,'- 26 -'!B41)</f>
        <v>1995509</v>
      </c>
      <c r="E41" s="294">
        <f>D41/'- 3 -'!D41*100</f>
        <v>3.3398675386557586</v>
      </c>
      <c r="F41" s="288">
        <f>D41/'- 7 -'!E41</f>
        <v>458.15842038801514</v>
      </c>
      <c r="G41" s="288">
        <f>SUM('- 27 -'!B41,'- 27 -'!E41,'- 27 -'!H41,'- 28 -'!B41,'- 28 -'!E41)</f>
        <v>1314759</v>
      </c>
      <c r="H41" s="294">
        <f>G41/'- 3 -'!D41*100</f>
        <v>2.2005016791482808</v>
      </c>
      <c r="I41" s="288">
        <f>G41/'- 7 -'!E41</f>
        <v>301.86178395132589</v>
      </c>
    </row>
    <row r="42" spans="1:9" ht="14.1" customHeight="1">
      <c r="A42" s="18" t="s">
        <v>141</v>
      </c>
      <c r="B42" s="19">
        <f>SUM('- 24 -'!H42,'- 24 -'!F42,'- 24 -'!D42,'- 24 -'!B42)</f>
        <v>222133</v>
      </c>
      <c r="C42" s="69">
        <f>B42/'- 3 -'!D42*100</f>
        <v>1.1162769147473552</v>
      </c>
      <c r="D42" s="19">
        <f>SUM('- 25 -'!B42,'- 25 -'!E42,'- 25 -'!H42,'- 26 -'!B42)</f>
        <v>849567</v>
      </c>
      <c r="E42" s="69">
        <f>D42/'- 3 -'!D42*100</f>
        <v>4.2692982565902691</v>
      </c>
      <c r="F42" s="19">
        <f>D42/'- 7 -'!E42</f>
        <v>602.78629203916557</v>
      </c>
      <c r="G42" s="19">
        <f>SUM('- 27 -'!B42,'- 27 -'!E42,'- 27 -'!H42,'- 28 -'!B42,'- 28 -'!E42)</f>
        <v>423344</v>
      </c>
      <c r="H42" s="69">
        <f>G42/'- 3 -'!D42*100</f>
        <v>2.1274152611129562</v>
      </c>
      <c r="I42" s="19">
        <f>G42/'- 7 -'!E42</f>
        <v>300.37178941393501</v>
      </c>
    </row>
    <row r="43" spans="1:9" ht="14.1" customHeight="1">
      <c r="A43" s="287" t="s">
        <v>142</v>
      </c>
      <c r="B43" s="288">
        <f>SUM('- 24 -'!H43,'- 24 -'!F43,'- 24 -'!D43,'- 24 -'!B43)</f>
        <v>13261</v>
      </c>
      <c r="C43" s="294">
        <f>B43/'- 3 -'!D43*100</f>
        <v>0.10353249500196704</v>
      </c>
      <c r="D43" s="288">
        <f>SUM('- 25 -'!B43,'- 25 -'!E43,'- 25 -'!H43,'- 26 -'!B43)</f>
        <v>552080</v>
      </c>
      <c r="E43" s="294">
        <f>D43/'- 3 -'!D43*100</f>
        <v>4.3102495920885273</v>
      </c>
      <c r="F43" s="288">
        <f>D43/'- 7 -'!E43</f>
        <v>573.15490588955913</v>
      </c>
      <c r="G43" s="288">
        <f>SUM('- 27 -'!B43,'- 27 -'!E43,'- 27 -'!H43,'- 28 -'!B43,'- 28 -'!E43)</f>
        <v>452017</v>
      </c>
      <c r="H43" s="294">
        <f>G43/'- 3 -'!D43*100</f>
        <v>3.5290285644600057</v>
      </c>
      <c r="I43" s="288">
        <f>G43/'- 7 -'!E43</f>
        <v>469.27213645754387</v>
      </c>
    </row>
    <row r="44" spans="1:9" ht="14.1" customHeight="1">
      <c r="A44" s="18" t="s">
        <v>143</v>
      </c>
      <c r="B44" s="19">
        <f>SUM('- 24 -'!H44,'- 24 -'!F44,'- 24 -'!D44,'- 24 -'!B44)</f>
        <v>10038</v>
      </c>
      <c r="C44" s="69">
        <f>B44/'- 3 -'!D44*100</f>
        <v>9.5211031200535409E-2</v>
      </c>
      <c r="D44" s="19">
        <f>SUM('- 25 -'!B44,'- 25 -'!E44,'- 25 -'!H44,'- 26 -'!B44)</f>
        <v>383613</v>
      </c>
      <c r="E44" s="69">
        <f>D44/'- 3 -'!D44*100</f>
        <v>3.6385922805270963</v>
      </c>
      <c r="F44" s="19">
        <f>D44/'- 7 -'!E44</f>
        <v>551.9611510791367</v>
      </c>
      <c r="G44" s="19">
        <f>SUM('- 27 -'!B44,'- 27 -'!E44,'- 27 -'!H44,'- 28 -'!B44,'- 28 -'!E44)</f>
        <v>260360</v>
      </c>
      <c r="H44" s="69">
        <f>G44/'- 3 -'!D44*100</f>
        <v>2.4695301936014546</v>
      </c>
      <c r="I44" s="19">
        <f>G44/'- 7 -'!E44</f>
        <v>374.61870503597123</v>
      </c>
    </row>
    <row r="45" spans="1:9" ht="14.1" customHeight="1">
      <c r="A45" s="287" t="s">
        <v>144</v>
      </c>
      <c r="B45" s="288">
        <f>SUM('- 24 -'!H45,'- 24 -'!F45,'- 24 -'!D45,'- 24 -'!B45)</f>
        <v>51706</v>
      </c>
      <c r="C45" s="294">
        <f>B45/'- 3 -'!D45*100</f>
        <v>0.29610228579900744</v>
      </c>
      <c r="D45" s="288">
        <f>SUM('- 25 -'!B45,'- 25 -'!E45,'- 25 -'!H45,'- 26 -'!B45)</f>
        <v>715850</v>
      </c>
      <c r="E45" s="294">
        <f>D45/'- 3 -'!D45*100</f>
        <v>4.0994240763009993</v>
      </c>
      <c r="F45" s="288">
        <f>D45/'- 7 -'!E45</f>
        <v>445.45737398879902</v>
      </c>
      <c r="G45" s="288">
        <f>SUM('- 27 -'!B45,'- 27 -'!E45,'- 27 -'!H45,'- 28 -'!B45,'- 28 -'!E45)</f>
        <v>549146</v>
      </c>
      <c r="H45" s="294">
        <f>G45/'- 3 -'!D45*100</f>
        <v>3.1447682249135833</v>
      </c>
      <c r="I45" s="288">
        <f>G45/'- 7 -'!E45</f>
        <v>341.72121966397015</v>
      </c>
    </row>
    <row r="46" spans="1:9" ht="14.1" customHeight="1">
      <c r="A46" s="18" t="s">
        <v>145</v>
      </c>
      <c r="B46" s="19">
        <f>SUM('- 24 -'!H46,'- 24 -'!F46,'- 24 -'!D46,'- 24 -'!B46)</f>
        <v>8592275</v>
      </c>
      <c r="C46" s="69">
        <f>B46/'- 3 -'!D46*100</f>
        <v>2.336530667521286</v>
      </c>
      <c r="D46" s="19">
        <f>SUM('- 25 -'!B46,'- 25 -'!E46,'- 25 -'!H46,'- 26 -'!B46)</f>
        <v>8962186</v>
      </c>
      <c r="E46" s="69">
        <f>D46/'- 3 -'!D46*100</f>
        <v>2.4371220005213896</v>
      </c>
      <c r="F46" s="19">
        <f>D46/'- 7 -'!E46</f>
        <v>299.69856875334403</v>
      </c>
      <c r="G46" s="19">
        <f>SUM('- 27 -'!B46,'- 27 -'!E46,'- 27 -'!H46,'- 28 -'!B46,'- 28 -'!E46)</f>
        <v>9946066</v>
      </c>
      <c r="H46" s="69">
        <f>G46/'- 3 -'!D46*100</f>
        <v>2.7046723050869259</v>
      </c>
      <c r="I46" s="19">
        <f>G46/'- 7 -'!E46</f>
        <v>332.59985286249332</v>
      </c>
    </row>
    <row r="47" spans="1:9" ht="5.0999999999999996" customHeight="1">
      <c r="A47"/>
      <c r="B47"/>
      <c r="C47"/>
      <c r="D47"/>
      <c r="E47"/>
      <c r="F47"/>
      <c r="G47"/>
      <c r="H47"/>
      <c r="I47"/>
    </row>
    <row r="48" spans="1:9" ht="14.1" customHeight="1">
      <c r="A48" s="289" t="s">
        <v>146</v>
      </c>
      <c r="B48" s="290">
        <f>SUM(B11:B46)</f>
        <v>22202816</v>
      </c>
      <c r="C48" s="297">
        <f>B48/'- 3 -'!D48*100</f>
        <v>1.0387006149295204</v>
      </c>
      <c r="D48" s="290">
        <f>SUM(D11:D46)</f>
        <v>73812474</v>
      </c>
      <c r="E48" s="297">
        <f>D48/'- 3 -'!D48*100</f>
        <v>3.4531233395470755</v>
      </c>
      <c r="F48" s="290">
        <f>D48/'- 7 -'!E48</f>
        <v>427.91065436888454</v>
      </c>
      <c r="G48" s="290">
        <f>SUM(G11:G46)</f>
        <v>72721432</v>
      </c>
      <c r="H48" s="297">
        <f>G48/'- 3 -'!D48*100</f>
        <v>3.4020817961539338</v>
      </c>
      <c r="I48" s="290">
        <f>G48/'- 7 -'!E48</f>
        <v>421.58559207434695</v>
      </c>
    </row>
    <row r="49" spans="1:9" ht="5.0999999999999996" customHeight="1">
      <c r="A49"/>
      <c r="B49"/>
      <c r="C49"/>
      <c r="D49"/>
      <c r="E49"/>
      <c r="F49"/>
      <c r="G49"/>
      <c r="H49"/>
      <c r="I49"/>
    </row>
    <row r="50" spans="1:9" ht="14.1" customHeight="1">
      <c r="A50" s="18" t="s">
        <v>147</v>
      </c>
      <c r="B50" s="19">
        <f>SUM('- 24 -'!H50,'- 24 -'!F50,'- 24 -'!D50,'- 24 -'!B50)</f>
        <v>65710</v>
      </c>
      <c r="C50" s="69">
        <f>B50/'- 3 -'!D50*100</f>
        <v>2.0229497507409424</v>
      </c>
      <c r="D50" s="19">
        <f>SUM('- 25 -'!B50,'- 25 -'!E50,'- 25 -'!H50,'- 26 -'!B50)</f>
        <v>174231</v>
      </c>
      <c r="E50" s="69">
        <f>D50/'- 3 -'!D50*100</f>
        <v>5.3638800490236669</v>
      </c>
      <c r="F50" s="19">
        <f>D50/'- 7 -'!E50</f>
        <v>1047.0612980769231</v>
      </c>
      <c r="G50" s="19">
        <f>SUM('- 27 -'!B50,'- 27 -'!E50,'- 27 -'!H50,'- 28 -'!B50,'- 28 -'!E50)</f>
        <v>66385</v>
      </c>
      <c r="H50" s="69">
        <f>G50/'- 3 -'!D50*100</f>
        <v>2.043730318108925</v>
      </c>
      <c r="I50" s="19">
        <f>G50/'- 7 -'!E50</f>
        <v>398.94831730769232</v>
      </c>
    </row>
    <row r="51" spans="1:9" ht="14.1" customHeight="1">
      <c r="A51" s="287" t="s">
        <v>643</v>
      </c>
      <c r="B51" s="288">
        <f>SUM('- 24 -'!H51,'- 24 -'!F51,'- 24 -'!D51,'- 24 -'!B51)</f>
        <v>7648807</v>
      </c>
      <c r="C51" s="294">
        <f>B51/'- 3 -'!D51*100</f>
        <v>34.305067155354656</v>
      </c>
      <c r="D51" s="288">
        <f>SUM('- 25 -'!B51,'- 25 -'!E51,'- 25 -'!H51,'- 26 -'!B51)</f>
        <v>3176678</v>
      </c>
      <c r="E51" s="294">
        <f>D51/'- 3 -'!D51*100</f>
        <v>14.247470503692631</v>
      </c>
      <c r="F51" s="288">
        <f>D51/'- 7 -'!E51</f>
        <v>4275.4751009421261</v>
      </c>
      <c r="G51" s="288">
        <f>SUM('- 27 -'!B51,'- 27 -'!E51,'- 27 -'!H51,'- 28 -'!B51,'- 28 -'!E51)</f>
        <v>250937</v>
      </c>
      <c r="H51" s="294">
        <f>G51/'- 3 -'!D51*100</f>
        <v>1.1254579487707341</v>
      </c>
      <c r="I51" s="288">
        <f>G51/'- 7 -'!E51</f>
        <v>337.7348586810229</v>
      </c>
    </row>
    <row r="52" spans="1:9" ht="50.1" customHeight="1"/>
  </sheetData>
  <mergeCells count="5">
    <mergeCell ref="F8:F9"/>
    <mergeCell ref="I8:I9"/>
    <mergeCell ref="B6:C7"/>
    <mergeCell ref="D6:F7"/>
    <mergeCell ref="G6:I7"/>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13.xml><?xml version="1.0" encoding="utf-8"?>
<worksheet xmlns="http://schemas.openxmlformats.org/spreadsheetml/2006/main" xmlns:r="http://schemas.openxmlformats.org/officeDocument/2006/relationships">
  <sheetPr codeName="Sheet12">
    <pageSetUpPr fitToPage="1"/>
  </sheetPr>
  <dimension ref="A1:J52"/>
  <sheetViews>
    <sheetView showGridLines="0" showZeros="0" workbookViewId="0"/>
  </sheetViews>
  <sheetFormatPr defaultColWidth="15.83203125" defaultRowHeight="12"/>
  <cols>
    <col min="1" max="1" width="32.83203125" style="1" customWidth="1"/>
    <col min="2" max="2" width="15.83203125" style="1"/>
    <col min="3" max="3" width="7.83203125" style="1" customWidth="1"/>
    <col min="4" max="4" width="9.83203125" style="1" customWidth="1"/>
    <col min="5" max="5" width="15.83203125" style="1"/>
    <col min="6" max="6" width="7.83203125" style="1" customWidth="1"/>
    <col min="7" max="7" width="9.83203125" style="1" customWidth="1"/>
    <col min="8" max="8" width="14.83203125" style="1" customWidth="1"/>
    <col min="9" max="9" width="7.83203125" style="1" customWidth="1"/>
    <col min="10" max="10" width="9.83203125" style="1" customWidth="1"/>
    <col min="11" max="16384" width="15.83203125" style="1"/>
  </cols>
  <sheetData>
    <row r="1" spans="1:10" ht="6.95" customHeight="1">
      <c r="A1" s="6"/>
      <c r="B1" s="7"/>
      <c r="C1" s="7"/>
      <c r="D1" s="7"/>
      <c r="E1" s="7"/>
      <c r="F1" s="7"/>
      <c r="G1" s="7"/>
      <c r="H1" s="7"/>
      <c r="I1" s="7"/>
      <c r="J1" s="7"/>
    </row>
    <row r="2" spans="1:10" ht="15.95" customHeight="1">
      <c r="A2" s="133"/>
      <c r="B2" s="8" t="s">
        <v>264</v>
      </c>
      <c r="C2" s="9"/>
      <c r="D2" s="9"/>
      <c r="E2" s="9"/>
      <c r="F2" s="9"/>
      <c r="G2" s="9"/>
      <c r="H2" s="72"/>
      <c r="I2" s="72"/>
      <c r="J2" s="134" t="s">
        <v>10</v>
      </c>
    </row>
    <row r="3" spans="1:10" ht="15.95" customHeight="1">
      <c r="A3" s="546"/>
      <c r="B3" s="10" t="str">
        <f>OPYEAR</f>
        <v>OPERATING FUND 2014/2015 ACTUAL</v>
      </c>
      <c r="C3" s="11"/>
      <c r="D3" s="11"/>
      <c r="E3" s="11"/>
      <c r="F3" s="11"/>
      <c r="G3" s="11"/>
      <c r="H3" s="74"/>
      <c r="I3" s="74"/>
      <c r="J3" s="65"/>
    </row>
    <row r="4" spans="1:10" ht="15.95" customHeight="1">
      <c r="B4" s="7"/>
      <c r="C4" s="7"/>
      <c r="D4" s="7"/>
      <c r="E4" s="7"/>
      <c r="F4" s="7"/>
      <c r="G4" s="7"/>
      <c r="H4" s="7"/>
      <c r="I4" s="7"/>
      <c r="J4" s="7"/>
    </row>
    <row r="5" spans="1:10" ht="15.95" customHeight="1">
      <c r="B5" s="7"/>
      <c r="C5" s="7"/>
      <c r="D5" s="7"/>
      <c r="E5" s="7"/>
      <c r="F5" s="7"/>
      <c r="G5" s="7"/>
      <c r="H5" s="7"/>
      <c r="I5" s="7"/>
      <c r="J5" s="7"/>
    </row>
    <row r="6" spans="1:10" ht="15.95" customHeight="1">
      <c r="B6" s="631" t="s">
        <v>500</v>
      </c>
      <c r="C6" s="639"/>
      <c r="D6" s="632"/>
      <c r="E6" s="631" t="s">
        <v>501</v>
      </c>
      <c r="F6" s="639"/>
      <c r="G6" s="632"/>
      <c r="H6" s="312" t="s">
        <v>8</v>
      </c>
      <c r="I6" s="315"/>
      <c r="J6" s="313"/>
    </row>
    <row r="7" spans="1:10" ht="15.95" customHeight="1">
      <c r="B7" s="633"/>
      <c r="C7" s="640"/>
      <c r="D7" s="634"/>
      <c r="E7" s="633"/>
      <c r="F7" s="640"/>
      <c r="G7" s="634"/>
      <c r="H7" s="636" t="s">
        <v>31</v>
      </c>
      <c r="I7" s="638"/>
      <c r="J7" s="637"/>
    </row>
    <row r="8" spans="1:10" ht="15.95" customHeight="1">
      <c r="A8" s="66"/>
      <c r="B8" s="136"/>
      <c r="C8" s="137"/>
      <c r="D8" s="605" t="s">
        <v>331</v>
      </c>
      <c r="E8" s="136"/>
      <c r="F8" s="138"/>
      <c r="G8" s="605" t="s">
        <v>331</v>
      </c>
      <c r="H8" s="136"/>
      <c r="I8" s="138"/>
      <c r="J8" s="605" t="s">
        <v>331</v>
      </c>
    </row>
    <row r="9" spans="1:10" ht="15.95" customHeight="1">
      <c r="A9" s="34" t="s">
        <v>43</v>
      </c>
      <c r="B9" s="76" t="s">
        <v>44</v>
      </c>
      <c r="C9" s="76" t="s">
        <v>45</v>
      </c>
      <c r="D9" s="586"/>
      <c r="E9" s="76" t="s">
        <v>44</v>
      </c>
      <c r="F9" s="76" t="s">
        <v>45</v>
      </c>
      <c r="G9" s="586"/>
      <c r="H9" s="76" t="s">
        <v>44</v>
      </c>
      <c r="I9" s="76" t="s">
        <v>45</v>
      </c>
      <c r="J9" s="586"/>
    </row>
    <row r="10" spans="1:10" ht="5.0999999999999996" customHeight="1">
      <c r="A10" s="5"/>
    </row>
    <row r="11" spans="1:10" ht="14.1" customHeight="1">
      <c r="A11" s="287" t="s">
        <v>111</v>
      </c>
      <c r="B11" s="288">
        <f>SUM('- 30 -'!D11,'- 30 -'!B11,'- 29 -'!F11,'- 29 -'!D11,'- 29 -'!B11)</f>
        <v>1200348</v>
      </c>
      <c r="C11" s="294">
        <f>B11/'- 3 -'!D11*100</f>
        <v>6.8657005308393355</v>
      </c>
      <c r="D11" s="288">
        <f>B11/'- 7 -'!E11</f>
        <v>750.68667917448408</v>
      </c>
      <c r="E11" s="288">
        <f>SUM('- 32 -'!D11,'- 32 -'!B11,'- 31 -'!F11,'- 31 -'!D11,'- 31 -'!B11)</f>
        <v>1851446</v>
      </c>
      <c r="F11" s="294">
        <f>E11/'- 3 -'!D11*100</f>
        <v>10.589823771956436</v>
      </c>
      <c r="G11" s="288">
        <f>E11/'- 7 -'!E11</f>
        <v>1157.8774233896186</v>
      </c>
      <c r="H11" s="288">
        <f>SUM('- 33 -'!B11,'- 33 -'!D11,'- 33 -'!F11)</f>
        <v>294727</v>
      </c>
      <c r="I11" s="294">
        <f>H11/'- 3 -'!D11*100</f>
        <v>1.6857672277978426</v>
      </c>
      <c r="J11" s="288">
        <f>H11/'- 7 -'!E11</f>
        <v>184.31957473420889</v>
      </c>
    </row>
    <row r="12" spans="1:10" ht="14.1" customHeight="1">
      <c r="A12" s="18" t="s">
        <v>112</v>
      </c>
      <c r="B12" s="19">
        <f>SUM('- 30 -'!D12,'- 30 -'!B12,'- 29 -'!F12,'- 29 -'!D12,'- 29 -'!B12)</f>
        <v>2411728</v>
      </c>
      <c r="C12" s="69">
        <f>B12/'- 3 -'!D12*100</f>
        <v>7.6160410398066398</v>
      </c>
      <c r="D12" s="19">
        <f>B12/'- 7 -'!E12</f>
        <v>1130.2502577561161</v>
      </c>
      <c r="E12" s="19">
        <f>SUM('- 32 -'!D12,'- 32 -'!B12,'- 31 -'!F12,'- 31 -'!D12,'- 31 -'!B12)</f>
        <v>3290061</v>
      </c>
      <c r="F12" s="69">
        <f>E12/'- 3 -'!D12*100</f>
        <v>10.389745277853585</v>
      </c>
      <c r="G12" s="19">
        <f>E12/'- 7 -'!E12</f>
        <v>1541.8788077608026</v>
      </c>
      <c r="H12" s="19">
        <f>SUM('- 33 -'!B12,'- 33 -'!D12,'- 33 -'!F12)</f>
        <v>641195</v>
      </c>
      <c r="I12" s="69">
        <f>H12/'- 3 -'!D12*100</f>
        <v>2.0248417045864286</v>
      </c>
      <c r="J12" s="19">
        <f>H12/'- 7 -'!E12</f>
        <v>300.49442309494799</v>
      </c>
    </row>
    <row r="13" spans="1:10" ht="14.1" customHeight="1">
      <c r="A13" s="287" t="s">
        <v>113</v>
      </c>
      <c r="B13" s="288">
        <f>SUM('- 30 -'!D13,'- 30 -'!B13,'- 29 -'!F13,'- 29 -'!D13,'- 29 -'!B13)</f>
        <v>2213387</v>
      </c>
      <c r="C13" s="294">
        <f>B13/'- 3 -'!D13*100</f>
        <v>2.5590336540106291</v>
      </c>
      <c r="D13" s="288">
        <f>B13/'- 7 -'!E13</f>
        <v>274.75012413108243</v>
      </c>
      <c r="E13" s="288">
        <f>SUM('- 32 -'!D13,'- 32 -'!B13,'- 31 -'!F13,'- 31 -'!D13,'- 31 -'!B13)</f>
        <v>7224637</v>
      </c>
      <c r="F13" s="294">
        <f>E13/'- 3 -'!D13*100</f>
        <v>8.3528498274411067</v>
      </c>
      <c r="G13" s="288">
        <f>E13/'- 7 -'!E13</f>
        <v>896.80201092353525</v>
      </c>
      <c r="H13" s="288">
        <f>SUM('- 33 -'!B13,'- 33 -'!D13,'- 33 -'!F13)</f>
        <v>1536052</v>
      </c>
      <c r="I13" s="294">
        <f>H13/'- 3 -'!D13*100</f>
        <v>1.7759247534707372</v>
      </c>
      <c r="J13" s="288">
        <f>H13/'- 7 -'!E13</f>
        <v>190.67179741807348</v>
      </c>
    </row>
    <row r="14" spans="1:10" ht="14.1" customHeight="1">
      <c r="A14" s="18" t="s">
        <v>365</v>
      </c>
      <c r="B14" s="19">
        <f>SUM('- 30 -'!D14,'- 30 -'!B14,'- 29 -'!F14,'- 29 -'!D14,'- 29 -'!B14)</f>
        <v>8013703</v>
      </c>
      <c r="C14" s="69">
        <f>B14/'- 3 -'!D14*100</f>
        <v>10.343834095170621</v>
      </c>
      <c r="D14" s="19">
        <f>B14/'- 7 -'!E14</f>
        <v>1529.3326335877862</v>
      </c>
      <c r="E14" s="19">
        <f>SUM('- 32 -'!D14,'- 32 -'!B14,'- 31 -'!F14,'- 31 -'!D14,'- 31 -'!B14)</f>
        <v>7540382</v>
      </c>
      <c r="F14" s="69">
        <f>E14/'- 3 -'!D14*100</f>
        <v>9.7328863350951291</v>
      </c>
      <c r="G14" s="19">
        <f>E14/'- 7 -'!E14</f>
        <v>1439.0041984732825</v>
      </c>
      <c r="H14" s="19">
        <f>SUM('- 33 -'!B14,'- 33 -'!D14,'- 33 -'!F14)</f>
        <v>1242822</v>
      </c>
      <c r="I14" s="69">
        <f>H14/'- 3 -'!D14*100</f>
        <v>1.6041952862276208</v>
      </c>
      <c r="J14" s="19">
        <f>H14/'- 7 -'!E14</f>
        <v>237.1797709923664</v>
      </c>
    </row>
    <row r="15" spans="1:10" ht="14.1" customHeight="1">
      <c r="A15" s="287" t="s">
        <v>114</v>
      </c>
      <c r="B15" s="288">
        <f>SUM('- 30 -'!D15,'- 30 -'!B15,'- 29 -'!F15,'- 29 -'!D15,'- 29 -'!B15)</f>
        <v>1707197</v>
      </c>
      <c r="C15" s="294">
        <f>B15/'- 3 -'!D15*100</f>
        <v>8.6848007986449414</v>
      </c>
      <c r="D15" s="288">
        <f>B15/'- 7 -'!E15</f>
        <v>1175.3507745266782</v>
      </c>
      <c r="E15" s="288">
        <f>SUM('- 32 -'!D15,'- 32 -'!B15,'- 31 -'!F15,'- 31 -'!D15,'- 31 -'!B15)</f>
        <v>2470564</v>
      </c>
      <c r="F15" s="294">
        <f>E15/'- 3 -'!D15*100</f>
        <v>12.56817824791365</v>
      </c>
      <c r="G15" s="288">
        <f>E15/'- 7 -'!E15</f>
        <v>1700.9046471600689</v>
      </c>
      <c r="H15" s="288">
        <f>SUM('- 33 -'!B15,'- 33 -'!D15,'- 33 -'!F15)</f>
        <v>312198</v>
      </c>
      <c r="I15" s="294">
        <f>H15/'- 3 -'!D15*100</f>
        <v>1.5882041965487013</v>
      </c>
      <c r="J15" s="288">
        <f>H15/'- 7 -'!E15</f>
        <v>214.93838209982789</v>
      </c>
    </row>
    <row r="16" spans="1:10" ht="14.1" customHeight="1">
      <c r="A16" s="18" t="s">
        <v>115</v>
      </c>
      <c r="B16" s="19">
        <f>SUM('- 30 -'!D16,'- 30 -'!B16,'- 29 -'!F16,'- 29 -'!D16,'- 29 -'!B16)</f>
        <v>439407</v>
      </c>
      <c r="C16" s="69">
        <f>B16/'- 3 -'!D16*100</f>
        <v>3.2270449970252759</v>
      </c>
      <c r="D16" s="19">
        <f>B16/'- 7 -'!E16</f>
        <v>481.06744033282246</v>
      </c>
      <c r="E16" s="19">
        <f>SUM('- 32 -'!D16,'- 32 -'!B16,'- 31 -'!F16,'- 31 -'!D16,'- 31 -'!B16)</f>
        <v>2231478</v>
      </c>
      <c r="F16" s="69">
        <f>E16/'- 3 -'!D16*100</f>
        <v>16.388177511673614</v>
      </c>
      <c r="G16" s="19">
        <f>E16/'- 7 -'!E16</f>
        <v>2443.0457630829869</v>
      </c>
      <c r="H16" s="19">
        <f>SUM('- 33 -'!B16,'- 33 -'!D16,'- 33 -'!F16)</f>
        <v>218975</v>
      </c>
      <c r="I16" s="69">
        <f>H16/'- 3 -'!D16*100</f>
        <v>1.6081723282141838</v>
      </c>
      <c r="J16" s="19">
        <f>H16/'- 7 -'!E16</f>
        <v>239.73615064593827</v>
      </c>
    </row>
    <row r="17" spans="1:10" ht="14.1" customHeight="1">
      <c r="A17" s="287" t="s">
        <v>116</v>
      </c>
      <c r="B17" s="288">
        <f>SUM('- 30 -'!D17,'- 30 -'!B17,'- 29 -'!F17,'- 29 -'!D17,'- 29 -'!B17)</f>
        <v>1448392</v>
      </c>
      <c r="C17" s="294">
        <f>B17/'- 3 -'!D17*100</f>
        <v>8.3416583359048406</v>
      </c>
      <c r="D17" s="288">
        <f>B17/'- 7 -'!E17</f>
        <v>1084.1257485029939</v>
      </c>
      <c r="E17" s="288">
        <f>SUM('- 32 -'!D17,'- 32 -'!B17,'- 31 -'!F17,'- 31 -'!D17,'- 31 -'!B17)</f>
        <v>1959228</v>
      </c>
      <c r="F17" s="294">
        <f>E17/'- 3 -'!D17*100</f>
        <v>11.283692935433342</v>
      </c>
      <c r="G17" s="288">
        <f>E17/'- 7 -'!E17</f>
        <v>1466.4880239520958</v>
      </c>
      <c r="H17" s="288">
        <f>SUM('- 33 -'!B17,'- 33 -'!D17,'- 33 -'!F17)</f>
        <v>325513</v>
      </c>
      <c r="I17" s="294">
        <f>H17/'- 3 -'!D17*100</f>
        <v>1.8747122532404157</v>
      </c>
      <c r="J17" s="288">
        <f>H17/'- 7 -'!E17</f>
        <v>243.64745508982037</v>
      </c>
    </row>
    <row r="18" spans="1:10" ht="14.1" customHeight="1">
      <c r="A18" s="18" t="s">
        <v>117</v>
      </c>
      <c r="B18" s="19">
        <f>SUM('- 30 -'!D18,'- 30 -'!B18,'- 29 -'!F18,'- 29 -'!D18,'- 29 -'!B18)</f>
        <v>11202064</v>
      </c>
      <c r="C18" s="69">
        <f>B18/'- 3 -'!D18*100</f>
        <v>9.1689277209830529</v>
      </c>
      <c r="D18" s="19">
        <f>B18/'- 7 -'!E18</f>
        <v>1846.0061928688076</v>
      </c>
      <c r="E18" s="19">
        <f>SUM('- 32 -'!D18,'- 32 -'!B18,'- 31 -'!F18,'- 31 -'!D18,'- 31 -'!B18)</f>
        <v>21137444</v>
      </c>
      <c r="F18" s="69">
        <f>E18/'- 3 -'!D18*100</f>
        <v>17.301070252975425</v>
      </c>
      <c r="G18" s="19">
        <f>E18/'- 7 -'!E18</f>
        <v>3483.2734865126304</v>
      </c>
      <c r="H18" s="19">
        <f>SUM('- 33 -'!B18,'- 33 -'!D18,'- 33 -'!F18)</f>
        <v>1857184</v>
      </c>
      <c r="I18" s="69">
        <f>H18/'- 3 -'!D18*100</f>
        <v>1.5201114598672343</v>
      </c>
      <c r="J18" s="19">
        <f>H18/'- 7 -'!E18</f>
        <v>306.04834656335328</v>
      </c>
    </row>
    <row r="19" spans="1:10" ht="14.1" customHeight="1">
      <c r="A19" s="287" t="s">
        <v>118</v>
      </c>
      <c r="B19" s="288">
        <f>SUM('- 30 -'!D19,'- 30 -'!B19,'- 29 -'!F19,'- 29 -'!D19,'- 29 -'!B19)</f>
        <v>2542811</v>
      </c>
      <c r="C19" s="294">
        <f>B19/'- 3 -'!D19*100</f>
        <v>5.9034644721883787</v>
      </c>
      <c r="D19" s="288">
        <f>B19/'- 7 -'!E19</f>
        <v>603.2336962968235</v>
      </c>
      <c r="E19" s="288">
        <f>SUM('- 32 -'!D19,'- 32 -'!B19,'- 31 -'!F19,'- 31 -'!D19,'- 31 -'!B19)</f>
        <v>3988226</v>
      </c>
      <c r="F19" s="294">
        <f>E19/'- 3 -'!D19*100</f>
        <v>9.2591822585547927</v>
      </c>
      <c r="G19" s="288">
        <f>E19/'- 7 -'!E19</f>
        <v>946.13099897990651</v>
      </c>
      <c r="H19" s="288">
        <f>SUM('- 33 -'!B19,'- 33 -'!D19,'- 33 -'!F19)</f>
        <v>732711</v>
      </c>
      <c r="I19" s="294">
        <f>H19/'- 3 -'!D19*100</f>
        <v>1.7010833116899444</v>
      </c>
      <c r="J19" s="288">
        <f>H19/'- 7 -'!E19</f>
        <v>173.82179204327093</v>
      </c>
    </row>
    <row r="20" spans="1:10" ht="14.1" customHeight="1">
      <c r="A20" s="18" t="s">
        <v>119</v>
      </c>
      <c r="B20" s="19">
        <f>SUM('- 30 -'!D20,'- 30 -'!B20,'- 29 -'!F20,'- 29 -'!D20,'- 29 -'!B20)</f>
        <v>3516272</v>
      </c>
      <c r="C20" s="69">
        <f>B20/'- 3 -'!D20*100</f>
        <v>4.7099182670041682</v>
      </c>
      <c r="D20" s="19">
        <f>B20/'- 7 -'!E20</f>
        <v>477.04137837471171</v>
      </c>
      <c r="E20" s="19">
        <f>SUM('- 32 -'!D20,'- 32 -'!B20,'- 31 -'!F20,'- 31 -'!D20,'- 31 -'!B20)</f>
        <v>8352265</v>
      </c>
      <c r="F20" s="69">
        <f>E20/'- 3 -'!D20*100</f>
        <v>11.187554743876348</v>
      </c>
      <c r="G20" s="19">
        <f>E20/'- 7 -'!E20</f>
        <v>1133.1250847917515</v>
      </c>
      <c r="H20" s="19">
        <f>SUM('- 33 -'!B20,'- 33 -'!D20,'- 33 -'!F20)</f>
        <v>1365875</v>
      </c>
      <c r="I20" s="69">
        <f>H20/'- 3 -'!D20*100</f>
        <v>1.8295398117507176</v>
      </c>
      <c r="J20" s="19">
        <f>H20/'- 7 -'!E20</f>
        <v>185.30389363722696</v>
      </c>
    </row>
    <row r="21" spans="1:10" ht="14.1" customHeight="1">
      <c r="A21" s="287" t="s">
        <v>120</v>
      </c>
      <c r="B21" s="288">
        <f>SUM('- 30 -'!D21,'- 30 -'!B21,'- 29 -'!F21,'- 29 -'!D21,'- 29 -'!B21)</f>
        <v>2171542</v>
      </c>
      <c r="C21" s="294">
        <f>B21/'- 3 -'!D21*100</f>
        <v>6.2381265310620231</v>
      </c>
      <c r="D21" s="288">
        <f>B21/'- 7 -'!E21</f>
        <v>811.18490847964142</v>
      </c>
      <c r="E21" s="288">
        <f>SUM('- 32 -'!D21,'- 32 -'!B21,'- 31 -'!F21,'- 31 -'!D21,'- 31 -'!B21)</f>
        <v>3588124</v>
      </c>
      <c r="F21" s="294">
        <f>E21/'- 3 -'!D21*100</f>
        <v>10.307501085007976</v>
      </c>
      <c r="G21" s="288">
        <f>E21/'- 7 -'!E21</f>
        <v>1340.3526335450131</v>
      </c>
      <c r="H21" s="288">
        <f>SUM('- 33 -'!B21,'- 33 -'!D21,'- 33 -'!F21)</f>
        <v>638228</v>
      </c>
      <c r="I21" s="294">
        <f>H21/'- 3 -'!D21*100</f>
        <v>1.8334193028118513</v>
      </c>
      <c r="J21" s="288">
        <f>H21/'- 7 -'!E21</f>
        <v>238.41165483750467</v>
      </c>
    </row>
    <row r="22" spans="1:10" ht="14.1" customHeight="1">
      <c r="A22" s="18" t="s">
        <v>121</v>
      </c>
      <c r="B22" s="19">
        <f>SUM('- 30 -'!D22,'- 30 -'!B22,'- 29 -'!F22,'- 29 -'!D22,'- 29 -'!B22)</f>
        <v>596104</v>
      </c>
      <c r="C22" s="69">
        <f>B22/'- 3 -'!D22*100</f>
        <v>3.0668996897981176</v>
      </c>
      <c r="D22" s="19">
        <f>B22/'- 7 -'!E22</f>
        <v>389.1272276258241</v>
      </c>
      <c r="E22" s="19">
        <f>SUM('- 32 -'!D22,'- 32 -'!B22,'- 31 -'!F22,'- 31 -'!D22,'- 31 -'!B22)</f>
        <v>2433228</v>
      </c>
      <c r="F22" s="69">
        <f>E22/'- 3 -'!D22*100</f>
        <v>12.518731963563562</v>
      </c>
      <c r="G22" s="19">
        <f>E22/'- 7 -'!E22</f>
        <v>1588.3726091781448</v>
      </c>
      <c r="H22" s="19">
        <f>SUM('- 33 -'!B22,'- 33 -'!D22,'- 33 -'!F22)</f>
        <v>340189</v>
      </c>
      <c r="I22" s="69">
        <f>H22/'- 3 -'!D22*100</f>
        <v>1.7502407945135947</v>
      </c>
      <c r="J22" s="19">
        <f>H22/'- 7 -'!E22</f>
        <v>222.0699784581239</v>
      </c>
    </row>
    <row r="23" spans="1:10" ht="14.1" customHeight="1">
      <c r="A23" s="287" t="s">
        <v>122</v>
      </c>
      <c r="B23" s="288">
        <f>SUM('- 30 -'!D23,'- 30 -'!B23,'- 29 -'!F23,'- 29 -'!D23,'- 29 -'!B23)</f>
        <v>1654484</v>
      </c>
      <c r="C23" s="294">
        <f>B23/'- 3 -'!D23*100</f>
        <v>10.183880371087078</v>
      </c>
      <c r="D23" s="288">
        <f>B23/'- 7 -'!E23</f>
        <v>1474.584670231729</v>
      </c>
      <c r="E23" s="288">
        <f>SUM('- 32 -'!D23,'- 32 -'!B23,'- 31 -'!F23,'- 31 -'!D23,'- 31 -'!B23)</f>
        <v>1417946</v>
      </c>
      <c r="F23" s="294">
        <f>E23/'- 3 -'!D23*100</f>
        <v>8.7279130149710955</v>
      </c>
      <c r="G23" s="288">
        <f>E23/'- 7 -'!E23</f>
        <v>1263.7664884135472</v>
      </c>
      <c r="H23" s="288">
        <f>SUM('- 33 -'!B23,'- 33 -'!D23,'- 33 -'!F23)</f>
        <v>256334</v>
      </c>
      <c r="I23" s="294">
        <f>H23/'- 3 -'!D23*100</f>
        <v>1.5778180937635149</v>
      </c>
      <c r="J23" s="288">
        <f>H23/'- 7 -'!E23</f>
        <v>228.46167557932264</v>
      </c>
    </row>
    <row r="24" spans="1:10" ht="14.1" customHeight="1">
      <c r="A24" s="18" t="s">
        <v>123</v>
      </c>
      <c r="B24" s="19">
        <f>SUM('- 30 -'!D24,'- 30 -'!B24,'- 29 -'!F24,'- 29 -'!D24,'- 29 -'!B24)</f>
        <v>2410675</v>
      </c>
      <c r="C24" s="69">
        <f>B24/'- 3 -'!D24*100</f>
        <v>4.44595089035115</v>
      </c>
      <c r="D24" s="19">
        <f>B24/'- 7 -'!E24</f>
        <v>595.65491339477649</v>
      </c>
      <c r="E24" s="19">
        <f>SUM('- 32 -'!D24,'- 32 -'!B24,'- 31 -'!F24,'- 31 -'!D24,'- 31 -'!B24)</f>
        <v>6335805</v>
      </c>
      <c r="F24" s="69">
        <f>E24/'- 3 -'!D24*100</f>
        <v>11.684975320539378</v>
      </c>
      <c r="G24" s="19">
        <f>E24/'- 7 -'!E24</f>
        <v>1565.5172839811223</v>
      </c>
      <c r="H24" s="19">
        <f>SUM('- 33 -'!B24,'- 33 -'!D24,'- 33 -'!F24)</f>
        <v>957905</v>
      </c>
      <c r="I24" s="69">
        <f>H24/'- 3 -'!D24*100</f>
        <v>1.7666415371718784</v>
      </c>
      <c r="J24" s="19">
        <f>H24/'- 7 -'!E24</f>
        <v>236.68923426651182</v>
      </c>
    </row>
    <row r="25" spans="1:10" ht="14.1" customHeight="1">
      <c r="A25" s="287" t="s">
        <v>124</v>
      </c>
      <c r="B25" s="288">
        <f>SUM('- 30 -'!D25,'- 30 -'!B25,'- 29 -'!F25,'- 29 -'!D25,'- 29 -'!B25)</f>
        <v>3855472</v>
      </c>
      <c r="C25" s="294">
        <f>B25/'- 3 -'!D25*100</f>
        <v>2.4132982883948015</v>
      </c>
      <c r="D25" s="288">
        <f>B25/'- 7 -'!E25</f>
        <v>277.49386421379165</v>
      </c>
      <c r="E25" s="288">
        <f>SUM('- 32 -'!D25,'- 32 -'!B25,'- 31 -'!F25,'- 31 -'!D25,'- 31 -'!B25)</f>
        <v>17389519</v>
      </c>
      <c r="F25" s="294">
        <f>E25/'- 3 -'!D25*100</f>
        <v>10.884814216964585</v>
      </c>
      <c r="G25" s="288">
        <f>E25/'- 7 -'!E25</f>
        <v>1251.5937929595002</v>
      </c>
      <c r="H25" s="288">
        <f>SUM('- 33 -'!B25,'- 33 -'!D25,'- 33 -'!F25)</f>
        <v>2811156</v>
      </c>
      <c r="I25" s="294">
        <f>H25/'- 3 -'!D25*100</f>
        <v>1.759618008692782</v>
      </c>
      <c r="J25" s="288">
        <f>H25/'- 7 -'!E25</f>
        <v>202.33023125256409</v>
      </c>
    </row>
    <row r="26" spans="1:10" ht="14.1" customHeight="1">
      <c r="A26" s="18" t="s">
        <v>125</v>
      </c>
      <c r="B26" s="19">
        <f>SUM('- 30 -'!D26,'- 30 -'!B26,'- 29 -'!F26,'- 29 -'!D26,'- 29 -'!B26)</f>
        <v>3258166</v>
      </c>
      <c r="C26" s="69">
        <f>B26/'- 3 -'!D26*100</f>
        <v>8.3748821651396348</v>
      </c>
      <c r="D26" s="19">
        <f>B26/'- 7 -'!E26</f>
        <v>1048.4846339501207</v>
      </c>
      <c r="E26" s="19">
        <f>SUM('- 32 -'!D26,'- 32 -'!B26,'- 31 -'!F26,'- 31 -'!D26,'- 31 -'!B26)</f>
        <v>4971667</v>
      </c>
      <c r="F26" s="69">
        <f>E26/'- 3 -'!D26*100</f>
        <v>12.779313665820979</v>
      </c>
      <c r="G26" s="19">
        <f>E26/'- 7 -'!E26</f>
        <v>1599.8928399034594</v>
      </c>
      <c r="H26" s="19">
        <f>SUM('- 33 -'!B26,'- 33 -'!D26,'- 33 -'!F26)</f>
        <v>742787</v>
      </c>
      <c r="I26" s="69">
        <f>H26/'- 3 -'!D26*100</f>
        <v>1.9092807422327698</v>
      </c>
      <c r="J26" s="19">
        <f>H26/'- 7 -'!E26</f>
        <v>239.03041029766695</v>
      </c>
    </row>
    <row r="27" spans="1:10" ht="14.1" customHeight="1">
      <c r="A27" s="287" t="s">
        <v>126</v>
      </c>
      <c r="B27" s="288">
        <f>SUM('- 30 -'!D27,'- 30 -'!B27,'- 29 -'!F27,'- 29 -'!D27,'- 29 -'!B27)</f>
        <v>243044</v>
      </c>
      <c r="C27" s="294">
        <f>B27/'- 3 -'!D27*100</f>
        <v>0.6223975591682166</v>
      </c>
      <c r="D27" s="288">
        <f>B27/'- 7 -'!E27</f>
        <v>85.054768153980746</v>
      </c>
      <c r="E27" s="288">
        <f>SUM('- 32 -'!D27,'- 32 -'!B27,'- 31 -'!F27,'- 31 -'!D27,'- 31 -'!B27)</f>
        <v>4794510</v>
      </c>
      <c r="F27" s="294">
        <f>E27/'- 3 -'!D27*100</f>
        <v>12.277988024421942</v>
      </c>
      <c r="G27" s="288">
        <f>E27/'- 7 -'!E27</f>
        <v>1677.8687664041995</v>
      </c>
      <c r="H27" s="288">
        <f>SUM('- 33 -'!B27,'- 33 -'!D27,'- 33 -'!F27)</f>
        <v>654211</v>
      </c>
      <c r="I27" s="294">
        <f>H27/'- 3 -'!D27*100</f>
        <v>1.6753317489055404</v>
      </c>
      <c r="J27" s="288">
        <f>H27/'- 7 -'!E27</f>
        <v>228.94523184601925</v>
      </c>
    </row>
    <row r="28" spans="1:10" ht="14.1" customHeight="1">
      <c r="A28" s="18" t="s">
        <v>127</v>
      </c>
      <c r="B28" s="19">
        <f>SUM('- 30 -'!D28,'- 30 -'!B28,'- 29 -'!F28,'- 29 -'!D28,'- 29 -'!B28)</f>
        <v>2130028</v>
      </c>
      <c r="C28" s="69">
        <f>B28/'- 3 -'!D28*100</f>
        <v>7.745940843972801</v>
      </c>
      <c r="D28" s="19">
        <f>B28/'- 7 -'!E28</f>
        <v>1064.4817591204398</v>
      </c>
      <c r="E28" s="19">
        <f>SUM('- 32 -'!D28,'- 32 -'!B28,'- 31 -'!F28,'- 31 -'!D28,'- 31 -'!B28)</f>
        <v>3251160</v>
      </c>
      <c r="F28" s="69">
        <f>E28/'- 3 -'!D28*100</f>
        <v>11.822986850074559</v>
      </c>
      <c r="G28" s="19">
        <f>E28/'- 7 -'!E28</f>
        <v>1624.7676161919042</v>
      </c>
      <c r="H28" s="19">
        <f>SUM('- 33 -'!B28,'- 33 -'!D28,'- 33 -'!F28)</f>
        <v>468831</v>
      </c>
      <c r="I28" s="69">
        <f>H28/'- 3 -'!D28*100</f>
        <v>1.7049246262587217</v>
      </c>
      <c r="J28" s="19">
        <f>H28/'- 7 -'!E28</f>
        <v>234.29835082458771</v>
      </c>
    </row>
    <row r="29" spans="1:10" ht="14.1" customHeight="1">
      <c r="A29" s="287" t="s">
        <v>128</v>
      </c>
      <c r="B29" s="288">
        <f>SUM('- 30 -'!D29,'- 30 -'!B29,'- 29 -'!F29,'- 29 -'!D29,'- 29 -'!B29)</f>
        <v>2750768</v>
      </c>
      <c r="C29" s="294">
        <f>B29/'- 3 -'!D29*100</f>
        <v>1.8855890521431555</v>
      </c>
      <c r="D29" s="288">
        <f>B29/'- 7 -'!E29</f>
        <v>221.17261119866205</v>
      </c>
      <c r="E29" s="288">
        <f>SUM('- 32 -'!D29,'- 32 -'!B29,'- 31 -'!F29,'- 31 -'!D29,'- 31 -'!B29)</f>
        <v>17452849</v>
      </c>
      <c r="F29" s="294">
        <f>E29/'- 3 -'!D29*100</f>
        <v>11.963532003828609</v>
      </c>
      <c r="G29" s="288">
        <f>E29/'- 7 -'!E29</f>
        <v>1403.2779886148007</v>
      </c>
      <c r="H29" s="288">
        <f>SUM('- 33 -'!B29,'- 33 -'!D29,'- 33 -'!F29)</f>
        <v>2438672</v>
      </c>
      <c r="I29" s="294">
        <f>H29/'- 3 -'!D29*100</f>
        <v>1.671654325253185</v>
      </c>
      <c r="J29" s="288">
        <f>H29/'- 7 -'!E29</f>
        <v>196.07886019361271</v>
      </c>
    </row>
    <row r="30" spans="1:10" ht="14.1" customHeight="1">
      <c r="A30" s="18" t="s">
        <v>129</v>
      </c>
      <c r="B30" s="19">
        <f>SUM('- 30 -'!D30,'- 30 -'!B30,'- 29 -'!F30,'- 29 -'!D30,'- 29 -'!B30)</f>
        <v>1149044</v>
      </c>
      <c r="C30" s="69">
        <f>B30/'- 3 -'!D30*100</f>
        <v>8.4512727394152414</v>
      </c>
      <c r="D30" s="19">
        <f>B30/'- 7 -'!E30</f>
        <v>1101.144226161955</v>
      </c>
      <c r="E30" s="19">
        <f>SUM('- 32 -'!D30,'- 32 -'!B30,'- 31 -'!F30,'- 31 -'!D30,'- 31 -'!B30)</f>
        <v>1532131</v>
      </c>
      <c r="F30" s="69">
        <f>E30/'- 3 -'!D30*100</f>
        <v>11.268895667627186</v>
      </c>
      <c r="G30" s="19">
        <f>E30/'- 7 -'!E30</f>
        <v>1468.2616195495928</v>
      </c>
      <c r="H30" s="19">
        <f>SUM('- 33 -'!B30,'- 33 -'!D30,'- 33 -'!F30)</f>
        <v>223077</v>
      </c>
      <c r="I30" s="69">
        <f>H30/'- 3 -'!D30*100</f>
        <v>1.6407418418185322</v>
      </c>
      <c r="J30" s="19">
        <f>H30/'- 7 -'!E30</f>
        <v>213.7776712985146</v>
      </c>
    </row>
    <row r="31" spans="1:10" ht="14.1" customHeight="1">
      <c r="A31" s="287" t="s">
        <v>130</v>
      </c>
      <c r="B31" s="288">
        <f>SUM('- 30 -'!D31,'- 30 -'!B31,'- 29 -'!F31,'- 29 -'!D31,'- 29 -'!B31)</f>
        <v>1079280</v>
      </c>
      <c r="C31" s="294">
        <f>B31/'- 3 -'!D31*100</f>
        <v>3.0530814048960813</v>
      </c>
      <c r="D31" s="288">
        <f>B31/'- 7 -'!E31</f>
        <v>332.29064039408865</v>
      </c>
      <c r="E31" s="288">
        <f>SUM('- 32 -'!D31,'- 32 -'!B31,'- 31 -'!F31,'- 31 -'!D31,'- 31 -'!B31)</f>
        <v>3928881</v>
      </c>
      <c r="F31" s="294">
        <f>E31/'- 3 -'!D31*100</f>
        <v>11.114070049615968</v>
      </c>
      <c r="G31" s="288">
        <f>E31/'- 7 -'!E31</f>
        <v>1209.6308497536945</v>
      </c>
      <c r="H31" s="288">
        <f>SUM('- 33 -'!B31,'- 33 -'!D31,'- 33 -'!F31)</f>
        <v>629196</v>
      </c>
      <c r="I31" s="294">
        <f>H31/'- 3 -'!D31*100</f>
        <v>1.779877888624819</v>
      </c>
      <c r="J31" s="288">
        <f>H31/'- 7 -'!E31</f>
        <v>193.71798029556649</v>
      </c>
    </row>
    <row r="32" spans="1:10" ht="14.1" customHeight="1">
      <c r="A32" s="18" t="s">
        <v>131</v>
      </c>
      <c r="B32" s="19">
        <f>SUM('- 30 -'!D32,'- 30 -'!B32,'- 29 -'!F32,'- 29 -'!D32,'- 29 -'!B32)</f>
        <v>2046271</v>
      </c>
      <c r="C32" s="69">
        <f>B32/'- 3 -'!D32*100</f>
        <v>7.7494117608296849</v>
      </c>
      <c r="D32" s="19">
        <f>B32/'- 7 -'!E32</f>
        <v>977.20678127984718</v>
      </c>
      <c r="E32" s="19">
        <f>SUM('- 32 -'!D32,'- 32 -'!B32,'- 31 -'!F32,'- 31 -'!D32,'- 31 -'!B32)</f>
        <v>2655831</v>
      </c>
      <c r="F32" s="69">
        <f>E32/'- 3 -'!D32*100</f>
        <v>10.057870138498792</v>
      </c>
      <c r="G32" s="19">
        <f>E32/'- 7 -'!E32</f>
        <v>1268.3051575931231</v>
      </c>
      <c r="H32" s="19">
        <f>SUM('- 33 -'!B32,'- 33 -'!D32,'- 33 -'!F32)</f>
        <v>474157</v>
      </c>
      <c r="I32" s="69">
        <f>H32/'- 3 -'!D32*100</f>
        <v>1.7956750754321988</v>
      </c>
      <c r="J32" s="19">
        <f>H32/'- 7 -'!E32</f>
        <v>226.4360076408787</v>
      </c>
    </row>
    <row r="33" spans="1:10" ht="14.1" customHeight="1">
      <c r="A33" s="287" t="s">
        <v>132</v>
      </c>
      <c r="B33" s="288">
        <f>SUM('- 30 -'!D33,'- 30 -'!B33,'- 29 -'!F33,'- 29 -'!D33,'- 29 -'!B33)</f>
        <v>2386941</v>
      </c>
      <c r="C33" s="294">
        <f>B33/'- 3 -'!D33*100</f>
        <v>9.0576096426652413</v>
      </c>
      <c r="D33" s="288">
        <f>B33/'- 7 -'!E33</f>
        <v>1189.6042860702717</v>
      </c>
      <c r="E33" s="288">
        <f>SUM('- 32 -'!D33,'- 32 -'!B33,'- 31 -'!F33,'- 31 -'!D33,'- 31 -'!B33)</f>
        <v>3188067</v>
      </c>
      <c r="F33" s="294">
        <f>E33/'- 3 -'!D33*100</f>
        <v>12.097603753365856</v>
      </c>
      <c r="G33" s="288">
        <f>E33/'- 7 -'!E33</f>
        <v>1588.8696735609269</v>
      </c>
      <c r="H33" s="288">
        <f>SUM('- 33 -'!B33,'- 33 -'!D33,'- 33 -'!F33)</f>
        <v>424856</v>
      </c>
      <c r="I33" s="294">
        <f>H33/'- 3 -'!D33*100</f>
        <v>1.6121805282762265</v>
      </c>
      <c r="J33" s="288">
        <f>H33/'- 7 -'!E33</f>
        <v>211.73984550211813</v>
      </c>
    </row>
    <row r="34" spans="1:10" ht="14.1" customHeight="1">
      <c r="A34" s="18" t="s">
        <v>133</v>
      </c>
      <c r="B34" s="19">
        <f>SUM('- 30 -'!D34,'- 30 -'!B34,'- 29 -'!F34,'- 29 -'!D34,'- 29 -'!B34)</f>
        <v>2471277</v>
      </c>
      <c r="C34" s="69">
        <f>B34/'- 3 -'!D34*100</f>
        <v>9.3230000850708574</v>
      </c>
      <c r="D34" s="19">
        <f>B34/'- 7 -'!E34</f>
        <v>1241.373646245655</v>
      </c>
      <c r="E34" s="19">
        <f>SUM('- 32 -'!D34,'- 32 -'!B34,'- 31 -'!F34,'- 31 -'!D34,'- 31 -'!B34)</f>
        <v>2702147</v>
      </c>
      <c r="F34" s="69">
        <f>E34/'- 3 -'!D34*100</f>
        <v>10.193967212446827</v>
      </c>
      <c r="G34" s="19">
        <f>E34/'- 7 -'!E34</f>
        <v>1357.3444312724789</v>
      </c>
      <c r="H34" s="19">
        <f>SUM('- 33 -'!B34,'- 33 -'!D34,'- 33 -'!F34)</f>
        <v>476501</v>
      </c>
      <c r="I34" s="69">
        <f>H34/'- 3 -'!D34*100</f>
        <v>1.797620769964819</v>
      </c>
      <c r="J34" s="19">
        <f>H34/'- 7 -'!E34</f>
        <v>239.35632622716952</v>
      </c>
    </row>
    <row r="35" spans="1:10" ht="14.1" customHeight="1">
      <c r="A35" s="287" t="s">
        <v>134</v>
      </c>
      <c r="B35" s="288">
        <f>SUM('- 30 -'!D35,'- 30 -'!B35,'- 29 -'!F35,'- 29 -'!D35,'- 29 -'!B35)</f>
        <v>3990614</v>
      </c>
      <c r="C35" s="294">
        <f>B35/'- 3 -'!D35*100</f>
        <v>2.2835744029660701</v>
      </c>
      <c r="D35" s="288">
        <f>B35/'- 7 -'!E35</f>
        <v>256.64763007267351</v>
      </c>
      <c r="E35" s="288">
        <f>SUM('- 32 -'!D35,'- 32 -'!B35,'- 31 -'!F35,'- 31 -'!D35,'- 31 -'!B35)</f>
        <v>20325067</v>
      </c>
      <c r="F35" s="294">
        <f>E35/'- 3 -'!D35*100</f>
        <v>11.630742221565498</v>
      </c>
      <c r="G35" s="288">
        <f>E35/'- 7 -'!E35</f>
        <v>1307.1623255514824</v>
      </c>
      <c r="H35" s="288">
        <f>SUM('- 33 -'!B35,'- 33 -'!D35,'- 33 -'!F35)</f>
        <v>3000757</v>
      </c>
      <c r="I35" s="294">
        <f>H35/'- 3 -'!D35*100</f>
        <v>1.7171422429534042</v>
      </c>
      <c r="J35" s="288">
        <f>H35/'- 7 -'!E35</f>
        <v>192.98713743649108</v>
      </c>
    </row>
    <row r="36" spans="1:10" ht="14.1" customHeight="1">
      <c r="A36" s="18" t="s">
        <v>135</v>
      </c>
      <c r="B36" s="19">
        <f>SUM('- 30 -'!D36,'- 30 -'!B36,'- 29 -'!F36,'- 29 -'!D36,'- 29 -'!B36)</f>
        <v>1509700</v>
      </c>
      <c r="C36" s="69">
        <f>B36/'- 3 -'!D36*100</f>
        <v>6.9139368057840951</v>
      </c>
      <c r="D36" s="19">
        <f>B36/'- 7 -'!E36</f>
        <v>915.5245603395997</v>
      </c>
      <c r="E36" s="19">
        <f>SUM('- 32 -'!D36,'- 32 -'!B36,'- 31 -'!F36,'- 31 -'!D36,'- 31 -'!B36)</f>
        <v>2467493</v>
      </c>
      <c r="F36" s="69">
        <f>E36/'- 3 -'!D36*100</f>
        <v>11.300318388232505</v>
      </c>
      <c r="G36" s="19">
        <f>E36/'- 7 -'!E36</f>
        <v>1496.3571861734385</v>
      </c>
      <c r="H36" s="19">
        <f>SUM('- 33 -'!B36,'- 33 -'!D36,'- 33 -'!F36)</f>
        <v>390916</v>
      </c>
      <c r="I36" s="69">
        <f>H36/'- 3 -'!D36*100</f>
        <v>1.7902686099025602</v>
      </c>
      <c r="J36" s="19">
        <f>H36/'- 7 -'!E36</f>
        <v>237.06246209824135</v>
      </c>
    </row>
    <row r="37" spans="1:10" ht="14.1" customHeight="1">
      <c r="A37" s="287" t="s">
        <v>136</v>
      </c>
      <c r="B37" s="288">
        <f>SUM('- 30 -'!D37,'- 30 -'!B37,'- 29 -'!F37,'- 29 -'!D37,'- 29 -'!B37)</f>
        <v>3002112</v>
      </c>
      <c r="C37" s="294">
        <f>B37/'- 3 -'!D37*100</f>
        <v>6.6604658460415109</v>
      </c>
      <c r="D37" s="288">
        <f>B37/'- 7 -'!E37</f>
        <v>759.45155578041988</v>
      </c>
      <c r="E37" s="288">
        <f>SUM('- 32 -'!D37,'- 32 -'!B37,'- 31 -'!F37,'- 31 -'!D37,'- 31 -'!B37)</f>
        <v>4618770</v>
      </c>
      <c r="F37" s="294">
        <f>E37/'- 3 -'!D37*100</f>
        <v>10.247172602394963</v>
      </c>
      <c r="G37" s="288">
        <f>E37/'- 7 -'!E37</f>
        <v>1168.4214520617252</v>
      </c>
      <c r="H37" s="288">
        <f>SUM('- 33 -'!B37,'- 33 -'!D37,'- 33 -'!F37)</f>
        <v>790811</v>
      </c>
      <c r="I37" s="294">
        <f>H37/'- 3 -'!D37*100</f>
        <v>1.7544880591310159</v>
      </c>
      <c r="J37" s="288">
        <f>H37/'- 7 -'!E37</f>
        <v>200.05337718188719</v>
      </c>
    </row>
    <row r="38" spans="1:10" ht="14.1" customHeight="1">
      <c r="A38" s="18" t="s">
        <v>137</v>
      </c>
      <c r="B38" s="19">
        <f>SUM('- 30 -'!D38,'- 30 -'!B38,'- 29 -'!F38,'- 29 -'!D38,'- 29 -'!B38)</f>
        <v>3791253</v>
      </c>
      <c r="C38" s="69">
        <f>B38/'- 3 -'!D38*100</f>
        <v>3.1062406970571486</v>
      </c>
      <c r="D38" s="19">
        <f>B38/'- 7 -'!E38</f>
        <v>359.84823030268512</v>
      </c>
      <c r="E38" s="19">
        <f>SUM('- 32 -'!D38,'- 32 -'!B38,'- 31 -'!F38,'- 31 -'!D38,'- 31 -'!B38)</f>
        <v>11551194</v>
      </c>
      <c r="F38" s="69">
        <f>E38/'- 3 -'!D38*100</f>
        <v>9.4640977276911755</v>
      </c>
      <c r="G38" s="19">
        <f>E38/'- 7 -'!E38</f>
        <v>1096.3860018793246</v>
      </c>
      <c r="H38" s="19">
        <f>SUM('- 33 -'!B38,'- 33 -'!D38,'- 33 -'!F38)</f>
        <v>2086230</v>
      </c>
      <c r="I38" s="69">
        <f>H38/'- 3 -'!D38*100</f>
        <v>1.7092851702119418</v>
      </c>
      <c r="J38" s="19">
        <f>H38/'- 7 -'!E38</f>
        <v>198.01531934280587</v>
      </c>
    </row>
    <row r="39" spans="1:10" ht="14.1" customHeight="1">
      <c r="A39" s="287" t="s">
        <v>138</v>
      </c>
      <c r="B39" s="288">
        <f>SUM('- 30 -'!D39,'- 30 -'!B39,'- 29 -'!F39,'- 29 -'!D39,'- 29 -'!B39)</f>
        <v>1935216</v>
      </c>
      <c r="C39" s="294">
        <f>B39/'- 3 -'!D39*100</f>
        <v>9.5849206947484547</v>
      </c>
      <c r="D39" s="288">
        <f>B39/'- 7 -'!E39</f>
        <v>1251.3520853540251</v>
      </c>
      <c r="E39" s="288">
        <f>SUM('- 32 -'!D39,'- 32 -'!B39,'- 31 -'!F39,'- 31 -'!D39,'- 31 -'!B39)</f>
        <v>2103424</v>
      </c>
      <c r="F39" s="294">
        <f>E39/'- 3 -'!D39*100</f>
        <v>10.418037173850658</v>
      </c>
      <c r="G39" s="288">
        <f>E39/'- 7 -'!E39</f>
        <v>1360.1189783381831</v>
      </c>
      <c r="H39" s="288">
        <f>SUM('- 33 -'!B39,'- 33 -'!D39,'- 33 -'!F39)</f>
        <v>408149</v>
      </c>
      <c r="I39" s="294">
        <f>H39/'- 3 -'!D39*100</f>
        <v>2.0215189398190629</v>
      </c>
      <c r="J39" s="288">
        <f>H39/'- 7 -'!E39</f>
        <v>263.91787908179759</v>
      </c>
    </row>
    <row r="40" spans="1:10" ht="14.1" customHeight="1">
      <c r="A40" s="18" t="s">
        <v>139</v>
      </c>
      <c r="B40" s="19">
        <f>SUM('- 30 -'!D40,'- 30 -'!B40,'- 29 -'!F40,'- 29 -'!D40,'- 29 -'!B40)</f>
        <v>1991278</v>
      </c>
      <c r="C40" s="69">
        <f>B40/'- 3 -'!D40*100</f>
        <v>2.0366222331463302</v>
      </c>
      <c r="D40" s="19">
        <f>B40/'- 7 -'!E40</f>
        <v>252.55282449331608</v>
      </c>
      <c r="E40" s="19">
        <f>SUM('- 32 -'!D40,'- 32 -'!B40,'- 31 -'!F40,'- 31 -'!D40,'- 31 -'!B40)</f>
        <v>10195050</v>
      </c>
      <c r="F40" s="69">
        <f>E40/'- 3 -'!D40*100</f>
        <v>10.427205793484633</v>
      </c>
      <c r="G40" s="19">
        <f>E40/'- 7 -'!E40</f>
        <v>1293.0332546990335</v>
      </c>
      <c r="H40" s="19">
        <f>SUM('- 33 -'!B40,'- 33 -'!D40,'- 33 -'!F40)</f>
        <v>1666397</v>
      </c>
      <c r="I40" s="69">
        <f>H40/'- 3 -'!D40*100</f>
        <v>1.7043432305526125</v>
      </c>
      <c r="J40" s="19">
        <f>H40/'- 7 -'!E40</f>
        <v>211.34832458209672</v>
      </c>
    </row>
    <row r="41" spans="1:10" ht="14.1" customHeight="1">
      <c r="A41" s="287" t="s">
        <v>140</v>
      </c>
      <c r="B41" s="288">
        <f>SUM('- 30 -'!D41,'- 30 -'!B41,'- 29 -'!F41,'- 29 -'!D41,'- 29 -'!B41)</f>
        <v>4852730</v>
      </c>
      <c r="C41" s="294">
        <f>B41/'- 3 -'!D41*100</f>
        <v>8.1219755966327192</v>
      </c>
      <c r="D41" s="288">
        <f>B41/'- 7 -'!E41</f>
        <v>1114.1614051199633</v>
      </c>
      <c r="E41" s="288">
        <f>SUM('- 32 -'!D41,'- 32 -'!B41,'- 31 -'!F41,'- 31 -'!D41,'- 31 -'!B41)</f>
        <v>6532240</v>
      </c>
      <c r="F41" s="294">
        <f>E41/'- 3 -'!D41*100</f>
        <v>10.932958122819137</v>
      </c>
      <c r="G41" s="288">
        <f>E41/'- 7 -'!E41</f>
        <v>1499.7681092871082</v>
      </c>
      <c r="H41" s="288">
        <f>SUM('- 33 -'!B41,'- 33 -'!D41,'- 33 -'!F41)</f>
        <v>1081988</v>
      </c>
      <c r="I41" s="294">
        <f>H41/'- 3 -'!D41*100</f>
        <v>1.8109147081847625</v>
      </c>
      <c r="J41" s="288">
        <f>H41/'- 7 -'!E41</f>
        <v>248.41878085179658</v>
      </c>
    </row>
    <row r="42" spans="1:10" ht="14.1" customHeight="1">
      <c r="A42" s="18" t="s">
        <v>141</v>
      </c>
      <c r="B42" s="19">
        <f>SUM('- 30 -'!D42,'- 30 -'!B42,'- 29 -'!F42,'- 29 -'!D42,'- 29 -'!B42)</f>
        <v>1555308</v>
      </c>
      <c r="C42" s="69">
        <f>B42/'- 3 -'!D42*100</f>
        <v>7.8158329276689171</v>
      </c>
      <c r="D42" s="19">
        <f>B42/'- 7 -'!E42</f>
        <v>1103.5249042145592</v>
      </c>
      <c r="E42" s="19">
        <f>SUM('- 32 -'!D42,'- 32 -'!B42,'- 31 -'!F42,'- 31 -'!D42,'- 31 -'!B42)</f>
        <v>2326593</v>
      </c>
      <c r="F42" s="69">
        <f>E42/'- 3 -'!D42*100</f>
        <v>11.691743486617447</v>
      </c>
      <c r="G42" s="19">
        <f>E42/'- 7 -'!E42</f>
        <v>1650.7684120902511</v>
      </c>
      <c r="H42" s="19">
        <f>SUM('- 33 -'!B42,'- 33 -'!D42,'- 33 -'!F42)</f>
        <v>314847</v>
      </c>
      <c r="I42" s="69">
        <f>H42/'- 3 -'!D42*100</f>
        <v>1.5821892189699889</v>
      </c>
      <c r="J42" s="19">
        <f>H42/'- 7 -'!E42</f>
        <v>223.39080459770113</v>
      </c>
    </row>
    <row r="43" spans="1:10" ht="14.1" customHeight="1">
      <c r="A43" s="287" t="s">
        <v>142</v>
      </c>
      <c r="B43" s="288">
        <f>SUM('- 30 -'!D43,'- 30 -'!B43,'- 29 -'!F43,'- 29 -'!D43,'- 29 -'!B43)</f>
        <v>1094330</v>
      </c>
      <c r="C43" s="294">
        <f>B43/'- 3 -'!D43*100</f>
        <v>8.5437535069378328</v>
      </c>
      <c r="D43" s="288">
        <f>B43/'- 7 -'!E43</f>
        <v>1136.1045648495167</v>
      </c>
      <c r="E43" s="288">
        <f>SUM('- 32 -'!D43,'- 32 -'!B43,'- 31 -'!F43,'- 31 -'!D43,'- 31 -'!B43)</f>
        <v>986872</v>
      </c>
      <c r="F43" s="294">
        <f>E43/'- 3 -'!D43*100</f>
        <v>7.7047975573170362</v>
      </c>
      <c r="G43" s="288">
        <f>E43/'- 7 -'!E43</f>
        <v>1024.5445013132896</v>
      </c>
      <c r="H43" s="288">
        <f>SUM('- 33 -'!B43,'- 33 -'!D43,'- 33 -'!F43)</f>
        <v>253170</v>
      </c>
      <c r="I43" s="294">
        <f>H43/'- 3 -'!D43*100</f>
        <v>1.9765720352649119</v>
      </c>
      <c r="J43" s="288">
        <f>H43/'- 7 -'!E43</f>
        <v>262.83442168537107</v>
      </c>
    </row>
    <row r="44" spans="1:10" ht="14.1" customHeight="1">
      <c r="A44" s="18" t="s">
        <v>143</v>
      </c>
      <c r="B44" s="19">
        <f>SUM('- 30 -'!D44,'- 30 -'!B44,'- 29 -'!F44,'- 29 -'!D44,'- 29 -'!B44)</f>
        <v>1068819</v>
      </c>
      <c r="C44" s="69">
        <f>B44/'- 3 -'!D44*100</f>
        <v>10.13781222920154</v>
      </c>
      <c r="D44" s="19">
        <f>B44/'- 7 -'!E44</f>
        <v>1537.8690647482015</v>
      </c>
      <c r="E44" s="19">
        <f>SUM('- 32 -'!D44,'- 32 -'!B44,'- 31 -'!F44,'- 31 -'!D44,'- 31 -'!B44)</f>
        <v>1076537</v>
      </c>
      <c r="F44" s="69">
        <f>E44/'- 3 -'!D44*100</f>
        <v>10.211017921451564</v>
      </c>
      <c r="G44" s="19">
        <f>E44/'- 7 -'!E44</f>
        <v>1548.9741007194245</v>
      </c>
      <c r="H44" s="19">
        <f>SUM('- 33 -'!B44,'- 33 -'!D44,'- 33 -'!F44)</f>
        <v>166916</v>
      </c>
      <c r="I44" s="69">
        <f>H44/'- 3 -'!D44*100</f>
        <v>1.5832082570102182</v>
      </c>
      <c r="J44" s="19">
        <f>H44/'- 7 -'!E44</f>
        <v>240.16690647482014</v>
      </c>
    </row>
    <row r="45" spans="1:10" ht="14.1" customHeight="1">
      <c r="A45" s="287" t="s">
        <v>144</v>
      </c>
      <c r="B45" s="288">
        <f>SUM('- 30 -'!D45,'- 30 -'!B45,'- 29 -'!F45,'- 29 -'!D45,'- 29 -'!B45)</f>
        <v>758430</v>
      </c>
      <c r="C45" s="294">
        <f>B45/'- 3 -'!D45*100</f>
        <v>4.3432649328615867</v>
      </c>
      <c r="D45" s="288">
        <f>B45/'- 7 -'!E45</f>
        <v>471.95395146235222</v>
      </c>
      <c r="E45" s="288">
        <f>SUM('- 32 -'!D45,'- 32 -'!B45,'- 31 -'!F45,'- 31 -'!D45,'- 31 -'!B45)</f>
        <v>1752155</v>
      </c>
      <c r="F45" s="294">
        <f>E45/'- 3 -'!D45*100</f>
        <v>10.033982527640116</v>
      </c>
      <c r="G45" s="288">
        <f>E45/'- 7 -'!E45</f>
        <v>1090.3266957062849</v>
      </c>
      <c r="H45" s="288">
        <f>SUM('- 33 -'!B45,'- 33 -'!D45,'- 33 -'!F45)</f>
        <v>313769</v>
      </c>
      <c r="I45" s="294">
        <f>H45/'- 3 -'!D45*100</f>
        <v>1.7968459775049079</v>
      </c>
      <c r="J45" s="288">
        <f>H45/'- 7 -'!E45</f>
        <v>195.2514001244555</v>
      </c>
    </row>
    <row r="46" spans="1:10" ht="14.1" customHeight="1">
      <c r="A46" s="18" t="s">
        <v>145</v>
      </c>
      <c r="B46" s="19">
        <f>SUM('- 30 -'!D46,'- 30 -'!B46,'- 29 -'!F46,'- 29 -'!D46,'- 29 -'!B46)</f>
        <v>6103084</v>
      </c>
      <c r="C46" s="69">
        <f>B46/'- 3 -'!D46*100</f>
        <v>1.6596353040909981</v>
      </c>
      <c r="D46" s="19">
        <f>B46/'- 7 -'!E46</f>
        <v>204.08921883360085</v>
      </c>
      <c r="E46" s="19">
        <f>SUM('- 32 -'!D46,'- 32 -'!B46,'- 31 -'!F46,'- 31 -'!D46,'- 31 -'!B46)</f>
        <v>43807802</v>
      </c>
      <c r="F46" s="69">
        <f>E46/'- 3 -'!D46*100</f>
        <v>11.912825514744387</v>
      </c>
      <c r="G46" s="19">
        <f>E46/'- 7 -'!E46</f>
        <v>1464.9478999464955</v>
      </c>
      <c r="H46" s="19">
        <f>SUM('- 33 -'!B46,'- 33 -'!D46,'- 33 -'!F46)</f>
        <v>6425959</v>
      </c>
      <c r="I46" s="69">
        <f>H46/'- 3 -'!D46*100</f>
        <v>1.7474359551730378</v>
      </c>
      <c r="J46" s="19">
        <f>H46/'- 7 -'!E46</f>
        <v>214.88626939539861</v>
      </c>
    </row>
    <row r="47" spans="1:10" ht="5.0999999999999996" customHeight="1">
      <c r="A47" s="20"/>
      <c r="B47" s="21"/>
      <c r="C47"/>
      <c r="D47"/>
      <c r="E47"/>
      <c r="F47"/>
      <c r="G47"/>
      <c r="H47"/>
      <c r="I47"/>
      <c r="J47"/>
    </row>
    <row r="48" spans="1:10" ht="14.1" customHeight="1">
      <c r="A48" s="289" t="s">
        <v>146</v>
      </c>
      <c r="B48" s="290">
        <f>SUM(B11:B46)</f>
        <v>94551279</v>
      </c>
      <c r="C48" s="297">
        <f>B48/'- 3 -'!D48*100</f>
        <v>4.4233340329295459</v>
      </c>
      <c r="D48" s="290">
        <f>B48/'- 7 -'!E48</f>
        <v>548.13905395319728</v>
      </c>
      <c r="E48" s="290">
        <f>SUM(E11:E46)</f>
        <v>243430793</v>
      </c>
      <c r="F48" s="297">
        <f>E48/'- 3 -'!D48*100</f>
        <v>11.388272297616698</v>
      </c>
      <c r="G48" s="290">
        <f>E48/'- 7 -'!E48</f>
        <v>1411.2334173511983</v>
      </c>
      <c r="H48" s="290">
        <f>SUM(H11:H46)</f>
        <v>36963261</v>
      </c>
      <c r="I48" s="297">
        <f>H48/'- 3 -'!D48*100</f>
        <v>1.7292293883127419</v>
      </c>
      <c r="J48" s="290">
        <f>H48/'- 7 -'!E48</f>
        <v>214.28591056462719</v>
      </c>
    </row>
    <row r="49" spans="1:10" ht="5.0999999999999996" customHeight="1">
      <c r="A49" s="20" t="s">
        <v>8</v>
      </c>
      <c r="B49" s="21"/>
      <c r="C49"/>
      <c r="D49"/>
      <c r="E49"/>
      <c r="F49"/>
      <c r="G49"/>
      <c r="H49"/>
      <c r="I49"/>
      <c r="J49"/>
    </row>
    <row r="50" spans="1:10" ht="14.1" customHeight="1">
      <c r="A50" s="287" t="s">
        <v>147</v>
      </c>
      <c r="B50" s="288">
        <f>SUM('- 30 -'!D50,'- 30 -'!B50,'- 29 -'!F50,'- 29 -'!D50,'- 29 -'!B50)</f>
        <v>46218</v>
      </c>
      <c r="C50" s="294">
        <f>B50/'- 3 -'!D50*100</f>
        <v>1.422868537205066</v>
      </c>
      <c r="D50" s="288">
        <f>B50/'- 7 -'!E50</f>
        <v>277.75240384615381</v>
      </c>
      <c r="E50" s="288">
        <f>SUM('- 32 -'!D50,'- 32 -'!B50,'- 31 -'!F50,'- 31 -'!D50,'- 31 -'!B50)</f>
        <v>491751</v>
      </c>
      <c r="F50" s="294">
        <f>E50/'- 3 -'!D50*100</f>
        <v>15.13905893892268</v>
      </c>
      <c r="G50" s="288">
        <f>E50/'- 7 -'!E50</f>
        <v>2955.234375</v>
      </c>
      <c r="H50" s="288">
        <f>SUM('- 33 -'!B50,'- 33 -'!D50,'- 33 -'!F50)</f>
        <v>36058</v>
      </c>
      <c r="I50" s="294">
        <f>H50/'- 3 -'!D50*100</f>
        <v>1.1100825157847649</v>
      </c>
      <c r="J50" s="288">
        <f>H50/'- 7 -'!E50</f>
        <v>216.69471153846152</v>
      </c>
    </row>
    <row r="51" spans="1:10" ht="14.1" customHeight="1">
      <c r="A51" s="18" t="s">
        <v>643</v>
      </c>
      <c r="B51" s="19">
        <f>SUM('- 30 -'!D51,'- 30 -'!B51,'- 29 -'!F51,'- 29 -'!D51,'- 29 -'!B51)</f>
        <v>0</v>
      </c>
      <c r="C51" s="69">
        <f>B51/'- 3 -'!D51*100</f>
        <v>0</v>
      </c>
      <c r="D51" s="19">
        <f>B51/'- 7 -'!E51</f>
        <v>0</v>
      </c>
      <c r="E51" s="19">
        <f>SUM('- 32 -'!D51,'- 32 -'!B51,'- 31 -'!F51,'- 31 -'!D51,'- 31 -'!B51)</f>
        <v>2448477</v>
      </c>
      <c r="F51" s="69">
        <f>E51/'- 3 -'!D51*100</f>
        <v>10.981473047148569</v>
      </c>
      <c r="G51" s="19">
        <f>E51/'- 7 -'!E51</f>
        <v>3295.3930013458948</v>
      </c>
      <c r="H51" s="19">
        <f>SUM('- 33 -'!B51,'- 33 -'!D51,'- 33 -'!F51)</f>
        <v>269332</v>
      </c>
      <c r="I51" s="69">
        <f>H51/'- 3 -'!D51*100</f>
        <v>1.2079599272260342</v>
      </c>
      <c r="J51" s="19">
        <f>H51/'- 7 -'!E51</f>
        <v>362.49259757738895</v>
      </c>
    </row>
    <row r="52" spans="1:10" ht="50.1" customHeight="1"/>
  </sheetData>
  <mergeCells count="6">
    <mergeCell ref="D8:D9"/>
    <mergeCell ref="G8:G9"/>
    <mergeCell ref="J8:J9"/>
    <mergeCell ref="B6:D7"/>
    <mergeCell ref="E6:G7"/>
    <mergeCell ref="H7:J7"/>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14.xml><?xml version="1.0" encoding="utf-8"?>
<worksheet xmlns="http://schemas.openxmlformats.org/spreadsheetml/2006/main" xmlns:r="http://schemas.openxmlformats.org/officeDocument/2006/relationships">
  <sheetPr codeName="Sheet13">
    <pageSetUpPr fitToPage="1"/>
  </sheetPr>
  <dimension ref="A1:G52"/>
  <sheetViews>
    <sheetView showGridLines="0" showZeros="0" workbookViewId="0"/>
  </sheetViews>
  <sheetFormatPr defaultColWidth="15.83203125" defaultRowHeight="12"/>
  <cols>
    <col min="1" max="1" width="33.83203125" style="1" customWidth="1"/>
    <col min="2" max="2" width="21.83203125" style="1" customWidth="1"/>
    <col min="3" max="3" width="12.83203125" style="1" customWidth="1"/>
    <col min="4" max="4" width="15.33203125" style="1" customWidth="1"/>
    <col min="5" max="5" width="20.83203125" style="1" customWidth="1"/>
    <col min="6" max="6" width="12.83203125" style="1" customWidth="1"/>
    <col min="7" max="7" width="15.33203125" style="1" customWidth="1"/>
    <col min="8" max="16384" width="15.83203125" style="1"/>
  </cols>
  <sheetData>
    <row r="1" spans="1:7" ht="6.95" customHeight="1">
      <c r="A1" s="6"/>
      <c r="B1" s="88"/>
      <c r="C1" s="88"/>
      <c r="D1" s="88"/>
      <c r="E1" s="88"/>
      <c r="F1" s="88"/>
      <c r="G1" s="88"/>
    </row>
    <row r="2" spans="1:7" ht="15.95" customHeight="1">
      <c r="A2" s="133"/>
      <c r="B2" s="89" t="s">
        <v>266</v>
      </c>
      <c r="C2" s="200"/>
      <c r="D2" s="90"/>
      <c r="E2" s="90"/>
      <c r="F2" s="90"/>
      <c r="G2" s="398" t="s">
        <v>418</v>
      </c>
    </row>
    <row r="3" spans="1:7" ht="15.95" customHeight="1">
      <c r="A3" s="546"/>
      <c r="B3" s="201" t="str">
        <f>OPYEAR</f>
        <v>OPERATING FUND 2014/2015 ACTUAL</v>
      </c>
      <c r="C3" s="93"/>
      <c r="D3" s="202"/>
      <c r="E3" s="93"/>
      <c r="F3" s="93"/>
      <c r="G3" s="95"/>
    </row>
    <row r="4" spans="1:7" ht="15.95" customHeight="1">
      <c r="B4" s="88"/>
      <c r="C4" s="88"/>
      <c r="D4" s="88"/>
      <c r="E4" s="88"/>
      <c r="F4" s="88"/>
      <c r="G4" s="88"/>
    </row>
    <row r="5" spans="1:7" ht="15.95" customHeight="1">
      <c r="B5" s="187" t="s">
        <v>14</v>
      </c>
      <c r="C5" s="174"/>
      <c r="D5" s="175"/>
      <c r="E5" s="175"/>
      <c r="F5" s="175"/>
      <c r="G5" s="176"/>
    </row>
    <row r="6" spans="1:7" ht="15.95" customHeight="1">
      <c r="B6" s="312"/>
      <c r="C6" s="315"/>
      <c r="D6" s="313"/>
      <c r="E6" s="631" t="s">
        <v>504</v>
      </c>
      <c r="F6" s="639"/>
      <c r="G6" s="632"/>
    </row>
    <row r="7" spans="1:7" ht="15.95" customHeight="1">
      <c r="B7" s="636" t="s">
        <v>20</v>
      </c>
      <c r="C7" s="638"/>
      <c r="D7" s="637"/>
      <c r="E7" s="633"/>
      <c r="F7" s="640"/>
      <c r="G7" s="634"/>
    </row>
    <row r="8" spans="1:7" ht="15.95" customHeight="1">
      <c r="A8" s="66"/>
      <c r="B8" s="136"/>
      <c r="C8" s="137"/>
      <c r="D8" s="584" t="s">
        <v>502</v>
      </c>
      <c r="E8" s="136"/>
      <c r="F8" s="138"/>
      <c r="G8" s="584" t="s">
        <v>503</v>
      </c>
    </row>
    <row r="9" spans="1:7" ht="15.95" customHeight="1">
      <c r="A9" s="34" t="s">
        <v>43</v>
      </c>
      <c r="B9" s="76" t="s">
        <v>44</v>
      </c>
      <c r="C9" s="76" t="s">
        <v>45</v>
      </c>
      <c r="D9" s="586"/>
      <c r="E9" s="76" t="s">
        <v>44</v>
      </c>
      <c r="F9" s="76" t="s">
        <v>45</v>
      </c>
      <c r="G9" s="586"/>
    </row>
    <row r="10" spans="1:7" ht="5.0999999999999996" customHeight="1">
      <c r="A10" s="5"/>
    </row>
    <row r="11" spans="1:7" ht="14.1" customHeight="1">
      <c r="A11" s="287" t="s">
        <v>111</v>
      </c>
      <c r="B11" s="288">
        <v>1107260</v>
      </c>
      <c r="C11" s="294">
        <f>B11/'- 3 -'!D11*100</f>
        <v>6.3332596628454096</v>
      </c>
      <c r="D11" s="288">
        <f>B11/'- 7 -'!C11</f>
        <v>692.4702939337086</v>
      </c>
      <c r="E11" s="288">
        <v>0</v>
      </c>
      <c r="F11" s="294">
        <f>E11/'- 3 -'!D11*100</f>
        <v>0</v>
      </c>
      <c r="G11" s="288" t="str">
        <f>IF('- 7 -'!B11=0,"",E11/'- 7 -'!B11)</f>
        <v/>
      </c>
    </row>
    <row r="12" spans="1:7" ht="14.1" customHeight="1">
      <c r="A12" s="18" t="s">
        <v>112</v>
      </c>
      <c r="B12" s="19">
        <v>2496167</v>
      </c>
      <c r="C12" s="69">
        <f>B12/'- 3 -'!D12*100</f>
        <v>7.8826925400422523</v>
      </c>
      <c r="D12" s="19">
        <f>B12/'- 7 -'!C12</f>
        <v>1169.8223826038056</v>
      </c>
      <c r="E12" s="19">
        <v>1217564</v>
      </c>
      <c r="F12" s="69">
        <f>E12/'- 3 -'!D12*100</f>
        <v>3.8449681691265067</v>
      </c>
      <c r="G12" s="19">
        <f>IF('- 7 -'!B12=0,"",E12/'- 7 -'!B12)</f>
        <v>7303.9232153569292</v>
      </c>
    </row>
    <row r="13" spans="1:7" ht="14.1" customHeight="1">
      <c r="A13" s="287" t="s">
        <v>113</v>
      </c>
      <c r="B13" s="288">
        <v>6151732</v>
      </c>
      <c r="C13" s="294">
        <f>B13/'- 3 -'!D13*100</f>
        <v>7.112397975796422</v>
      </c>
      <c r="D13" s="288">
        <f>B13/'- 7 -'!C13</f>
        <v>763.6211519364449</v>
      </c>
      <c r="E13" s="288">
        <v>3248132</v>
      </c>
      <c r="F13" s="294">
        <f>E13/'- 3 -'!D13*100</f>
        <v>3.7553663686778913</v>
      </c>
      <c r="G13" s="288">
        <f>IF('- 7 -'!B13=0,"",E13/'- 7 -'!B13)</f>
        <v>8264.9669211195924</v>
      </c>
    </row>
    <row r="14" spans="1:7" ht="14.1" customHeight="1">
      <c r="A14" s="18" t="s">
        <v>365</v>
      </c>
      <c r="B14" s="19">
        <v>5488970</v>
      </c>
      <c r="C14" s="69">
        <f>B14/'- 3 -'!D14*100</f>
        <v>7.0849886791872221</v>
      </c>
      <c r="D14" s="19">
        <f>B14/'- 7 -'!C14</f>
        <v>1047.5133587786258</v>
      </c>
      <c r="E14" s="19">
        <v>0</v>
      </c>
      <c r="F14" s="69">
        <f>E14/'- 3 -'!D14*100</f>
        <v>0</v>
      </c>
      <c r="G14" s="19" t="str">
        <f>IF('- 7 -'!B14=0,"",E14/'- 7 -'!B14)</f>
        <v/>
      </c>
    </row>
    <row r="15" spans="1:7" ht="14.1" customHeight="1">
      <c r="A15" s="287" t="s">
        <v>114</v>
      </c>
      <c r="B15" s="288">
        <v>1574611</v>
      </c>
      <c r="C15" s="294">
        <f>B15/'- 3 -'!D15*100</f>
        <v>8.0103133208148254</v>
      </c>
      <c r="D15" s="288">
        <f>B15/'- 7 -'!C15</f>
        <v>1084.0695352839932</v>
      </c>
      <c r="E15" s="288">
        <v>119898</v>
      </c>
      <c r="F15" s="294">
        <f>E15/'- 3 -'!D15*100</f>
        <v>0.60994146906064806</v>
      </c>
      <c r="G15" s="288">
        <f>IF('- 7 -'!B15=0,"",E15/'- 7 -'!B15)</f>
        <v>5994.9</v>
      </c>
    </row>
    <row r="16" spans="1:7" ht="14.1" customHeight="1">
      <c r="A16" s="18" t="s">
        <v>115</v>
      </c>
      <c r="B16" s="19">
        <v>1084165</v>
      </c>
      <c r="C16" s="69">
        <f>B16/'- 3 -'!D16*100</f>
        <v>7.9622064263880823</v>
      </c>
      <c r="D16" s="19">
        <f>B16/'- 7 -'!C16</f>
        <v>1186.9553317276111</v>
      </c>
      <c r="E16" s="19">
        <v>36346</v>
      </c>
      <c r="F16" s="69">
        <f>E16/'- 3 -'!D16*100</f>
        <v>0.26692833173317831</v>
      </c>
      <c r="G16" s="19">
        <f>IF('- 7 -'!B16=0,"",E16/'- 7 -'!B16)</f>
        <v>3634.6</v>
      </c>
    </row>
    <row r="17" spans="1:7" ht="14.1" customHeight="1">
      <c r="A17" s="287" t="s">
        <v>116</v>
      </c>
      <c r="B17" s="288">
        <v>741032</v>
      </c>
      <c r="C17" s="294">
        <f>B17/'- 3 -'!D17*100</f>
        <v>4.2677919789478516</v>
      </c>
      <c r="D17" s="288">
        <f>B17/'- 7 -'!C17</f>
        <v>554.66467065868267</v>
      </c>
      <c r="E17" s="288">
        <v>182629</v>
      </c>
      <c r="F17" s="294">
        <f>E17/'- 3 -'!D17*100</f>
        <v>1.0518069143077049</v>
      </c>
      <c r="G17" s="288">
        <f>IF('- 7 -'!B17=0,"",E17/'- 7 -'!B17)</f>
        <v>6593.1046931407946</v>
      </c>
    </row>
    <row r="18" spans="1:7" ht="14.1" customHeight="1">
      <c r="A18" s="18" t="s">
        <v>117</v>
      </c>
      <c r="B18" s="19">
        <v>7036531</v>
      </c>
      <c r="C18" s="69">
        <f>B18/'- 3 -'!D18*100</f>
        <v>5.7594247047201836</v>
      </c>
      <c r="D18" s="19">
        <f>B18/'- 7 -'!C18</f>
        <v>1159.5612917684941</v>
      </c>
      <c r="E18" s="19">
        <v>371751.87</v>
      </c>
      <c r="F18" s="69">
        <f>E18/'- 3 -'!D18*100</f>
        <v>0.30428017784671541</v>
      </c>
      <c r="G18" s="19">
        <f>IF('- 7 -'!B18=0,"",E18/'- 7 -'!B18)</f>
        <v>9067.1187804878045</v>
      </c>
    </row>
    <row r="19" spans="1:7" ht="14.1" customHeight="1">
      <c r="A19" s="287" t="s">
        <v>118</v>
      </c>
      <c r="B19" s="288">
        <v>2759720</v>
      </c>
      <c r="C19" s="294">
        <f>B19/'- 3 -'!D19*100</f>
        <v>6.4070467577762216</v>
      </c>
      <c r="D19" s="288">
        <f>B19/'- 7 -'!C19</f>
        <v>654.69124380233905</v>
      </c>
      <c r="E19" s="288">
        <v>1678053</v>
      </c>
      <c r="F19" s="294">
        <f>E19/'- 3 -'!D19*100</f>
        <v>3.8958169789060713</v>
      </c>
      <c r="G19" s="288">
        <f>IF('- 7 -'!B19=0,"",E19/'- 7 -'!B19)</f>
        <v>11994.660471765546</v>
      </c>
    </row>
    <row r="20" spans="1:7" ht="14.1" customHeight="1">
      <c r="A20" s="18" t="s">
        <v>119</v>
      </c>
      <c r="B20" s="19">
        <v>5481188</v>
      </c>
      <c r="C20" s="69">
        <f>B20/'- 3 -'!D20*100</f>
        <v>7.3418516787336259</v>
      </c>
      <c r="D20" s="19">
        <f>B20/'- 7 -'!C20</f>
        <v>743.61524894858223</v>
      </c>
      <c r="E20" s="19">
        <v>2680043</v>
      </c>
      <c r="F20" s="69">
        <f>E20/'- 3 -'!D20*100</f>
        <v>3.5898199803816802</v>
      </c>
      <c r="G20" s="19">
        <f>IF('- 7 -'!B20=0,"",E20/'- 7 -'!B20)</f>
        <v>6213.8720148388593</v>
      </c>
    </row>
    <row r="21" spans="1:7" ht="14.1" customHeight="1">
      <c r="A21" s="287" t="s">
        <v>120</v>
      </c>
      <c r="B21" s="288">
        <v>2928740</v>
      </c>
      <c r="C21" s="294">
        <f>B21/'- 3 -'!D21*100</f>
        <v>8.4133075467030292</v>
      </c>
      <c r="D21" s="288">
        <f>B21/'- 7 -'!C21</f>
        <v>1094.0381023533807</v>
      </c>
      <c r="E21" s="288">
        <v>0</v>
      </c>
      <c r="F21" s="294">
        <f>E21/'- 3 -'!D21*100</f>
        <v>0</v>
      </c>
      <c r="G21" s="288" t="str">
        <f>IF('- 7 -'!B21=0,"",E21/'- 7 -'!B21)</f>
        <v/>
      </c>
    </row>
    <row r="22" spans="1:7" ht="14.1" customHeight="1">
      <c r="A22" s="18" t="s">
        <v>121</v>
      </c>
      <c r="B22" s="19">
        <v>1382676</v>
      </c>
      <c r="C22" s="69">
        <f>B22/'- 3 -'!D22*100</f>
        <v>7.1137395412399549</v>
      </c>
      <c r="D22" s="19">
        <f>B22/'- 7 -'!C22</f>
        <v>902.58894183693451</v>
      </c>
      <c r="E22" s="19">
        <v>0</v>
      </c>
      <c r="F22" s="69">
        <f>E22/'- 3 -'!D22*100</f>
        <v>0</v>
      </c>
      <c r="G22" s="19" t="str">
        <f>IF('- 7 -'!B22=0,"",E22/'- 7 -'!B22)</f>
        <v/>
      </c>
    </row>
    <row r="23" spans="1:7" ht="14.1" customHeight="1">
      <c r="A23" s="287" t="s">
        <v>122</v>
      </c>
      <c r="B23" s="288">
        <v>1032750</v>
      </c>
      <c r="C23" s="294">
        <f>B23/'- 3 -'!D23*100</f>
        <v>6.356907926120881</v>
      </c>
      <c r="D23" s="288">
        <f>B23/'- 7 -'!C23</f>
        <v>920.4545454545455</v>
      </c>
      <c r="E23" s="288">
        <v>266915</v>
      </c>
      <c r="F23" s="294">
        <f>E23/'- 3 -'!D23*100</f>
        <v>1.6429475469383246</v>
      </c>
      <c r="G23" s="288">
        <f>IF('- 7 -'!B23=0,"",E23/'- 7 -'!B23)</f>
        <v>11605</v>
      </c>
    </row>
    <row r="24" spans="1:7" ht="14.1" customHeight="1">
      <c r="A24" s="18" t="s">
        <v>123</v>
      </c>
      <c r="B24" s="19">
        <v>4250404</v>
      </c>
      <c r="C24" s="69">
        <f>B24/'- 3 -'!D24*100</f>
        <v>7.8389195757006185</v>
      </c>
      <c r="D24" s="19">
        <f>B24/'- 7 -'!C24</f>
        <v>1050.2344888932817</v>
      </c>
      <c r="E24" s="19">
        <v>1746674</v>
      </c>
      <c r="F24" s="69">
        <f>E24/'- 3 -'!D24*100</f>
        <v>3.2213495495880635</v>
      </c>
      <c r="G24" s="19">
        <f>IF('- 7 -'!B24=0,"",E24/'- 7 -'!B24)</f>
        <v>5831.9666110183643</v>
      </c>
    </row>
    <row r="25" spans="1:7" ht="14.1" customHeight="1">
      <c r="A25" s="287" t="s">
        <v>124</v>
      </c>
      <c r="B25" s="288">
        <v>13610019</v>
      </c>
      <c r="C25" s="294">
        <f>B25/'- 3 -'!D25*100</f>
        <v>8.5190699239213057</v>
      </c>
      <c r="D25" s="288">
        <f>B25/'- 7 -'!C25</f>
        <v>979.56793988728873</v>
      </c>
      <c r="E25" s="288">
        <v>1088737</v>
      </c>
      <c r="F25" s="294">
        <f>E25/'- 3 -'!D25*100</f>
        <v>0.68148520819554415</v>
      </c>
      <c r="G25" s="288">
        <f>IF('- 7 -'!B25=0,"",E25/'- 7 -'!B25)</f>
        <v>11821.248642779588</v>
      </c>
    </row>
    <row r="26" spans="1:7" ht="14.1" customHeight="1">
      <c r="A26" s="18" t="s">
        <v>125</v>
      </c>
      <c r="B26" s="19">
        <v>3096829</v>
      </c>
      <c r="C26" s="69">
        <f>B26/'- 3 -'!D26*100</f>
        <v>7.9601769709054766</v>
      </c>
      <c r="D26" s="19">
        <f>B26/'- 7 -'!C26</f>
        <v>996.56604987932417</v>
      </c>
      <c r="E26" s="19">
        <v>768194</v>
      </c>
      <c r="F26" s="69">
        <f>E26/'- 3 -'!D26*100</f>
        <v>1.9745876146173267</v>
      </c>
      <c r="G26" s="19">
        <f>IF('- 7 -'!B26=0,"",E26/'- 7 -'!B26)</f>
        <v>6455.411764705882</v>
      </c>
    </row>
    <row r="27" spans="1:7" ht="14.1" customHeight="1">
      <c r="A27" s="287" t="s">
        <v>126</v>
      </c>
      <c r="B27" s="288">
        <v>2689911</v>
      </c>
      <c r="C27" s="294">
        <f>B27/'- 3 -'!D27*100</f>
        <v>6.8884401210469566</v>
      </c>
      <c r="D27" s="288">
        <f>B27/'- 7 -'!C27</f>
        <v>941.35118110236226</v>
      </c>
      <c r="E27" s="288">
        <v>868687</v>
      </c>
      <c r="F27" s="294">
        <f>E27/'- 3 -'!D27*100</f>
        <v>2.224571141361896</v>
      </c>
      <c r="G27" s="288">
        <f>IF('- 7 -'!B27=0,"",E27/'- 7 -'!B27)</f>
        <v>7062.4959349593491</v>
      </c>
    </row>
    <row r="28" spans="1:7" ht="14.1" customHeight="1">
      <c r="A28" s="18" t="s">
        <v>127</v>
      </c>
      <c r="B28" s="19">
        <v>1933681</v>
      </c>
      <c r="C28" s="69">
        <f>B28/'- 3 -'!D28*100</f>
        <v>7.0319163114823695</v>
      </c>
      <c r="D28" s="19">
        <f>B28/'- 7 -'!C28</f>
        <v>966.35732133933038</v>
      </c>
      <c r="E28" s="19">
        <v>0</v>
      </c>
      <c r="F28" s="69">
        <f>E28/'- 3 -'!D28*100</f>
        <v>0</v>
      </c>
      <c r="G28" s="19" t="str">
        <f>IF('- 7 -'!B28=0,"",E28/'- 7 -'!B28)</f>
        <v/>
      </c>
    </row>
    <row r="29" spans="1:7" ht="14.1" customHeight="1">
      <c r="A29" s="287" t="s">
        <v>128</v>
      </c>
      <c r="B29" s="288">
        <v>11565207</v>
      </c>
      <c r="C29" s="294">
        <f>B29/'- 3 -'!D29*100</f>
        <v>7.9276869968566546</v>
      </c>
      <c r="D29" s="288">
        <f>B29/'- 7 -'!C29</f>
        <v>929.88831891422501</v>
      </c>
      <c r="E29" s="288">
        <v>0</v>
      </c>
      <c r="F29" s="294">
        <f>E29/'- 3 -'!D29*100</f>
        <v>0</v>
      </c>
      <c r="G29" s="288" t="str">
        <f>IF('- 7 -'!B29=0,"",E29/'- 7 -'!B29)</f>
        <v/>
      </c>
    </row>
    <row r="30" spans="1:7" ht="14.1" customHeight="1">
      <c r="A30" s="18" t="s">
        <v>129</v>
      </c>
      <c r="B30" s="19">
        <v>916328</v>
      </c>
      <c r="C30" s="69">
        <f>B30/'- 3 -'!D30*100</f>
        <v>6.7396355986044831</v>
      </c>
      <c r="D30" s="19">
        <f>B30/'- 7 -'!C30</f>
        <v>878.1293723047437</v>
      </c>
      <c r="E30" s="19">
        <v>115821</v>
      </c>
      <c r="F30" s="69">
        <f>E30/'- 3 -'!D30*100</f>
        <v>0.85186891011293975</v>
      </c>
      <c r="G30" s="19">
        <f>IF('- 7 -'!B30=0,"",E30/'- 7 -'!B30)</f>
        <v>4354.1729323308273</v>
      </c>
    </row>
    <row r="31" spans="1:7" ht="14.1" customHeight="1">
      <c r="A31" s="287" t="s">
        <v>130</v>
      </c>
      <c r="B31" s="288">
        <v>2902776</v>
      </c>
      <c r="C31" s="294">
        <f>B31/'- 3 -'!D31*100</f>
        <v>8.2114107814270874</v>
      </c>
      <c r="D31" s="288">
        <f>B31/'- 7 -'!C31</f>
        <v>893.71182266009851</v>
      </c>
      <c r="E31" s="288">
        <v>877553</v>
      </c>
      <c r="F31" s="294">
        <f>E31/'- 3 -'!D31*100</f>
        <v>2.4824334242372426</v>
      </c>
      <c r="G31" s="288">
        <f>IF('- 7 -'!B31=0,"",E31/'- 7 -'!B31)</f>
        <v>11546.75</v>
      </c>
    </row>
    <row r="32" spans="1:7" ht="14.1" customHeight="1">
      <c r="A32" s="18" t="s">
        <v>131</v>
      </c>
      <c r="B32" s="19">
        <v>2068216</v>
      </c>
      <c r="C32" s="69">
        <f>B32/'- 3 -'!D32*100</f>
        <v>7.8325194435810932</v>
      </c>
      <c r="D32" s="19">
        <f>B32/'- 7 -'!C32</f>
        <v>987.6867239732569</v>
      </c>
      <c r="E32" s="19">
        <v>271889</v>
      </c>
      <c r="F32" s="69">
        <f>E32/'- 3 -'!D32*100</f>
        <v>1.0296680225836277</v>
      </c>
      <c r="G32" s="19">
        <f>IF('- 7 -'!B32=0,"",E32/'- 7 -'!B32)</f>
        <v>6865.8838383838383</v>
      </c>
    </row>
    <row r="33" spans="1:7" ht="14.1" customHeight="1">
      <c r="A33" s="287" t="s">
        <v>132</v>
      </c>
      <c r="B33" s="288">
        <v>2274605</v>
      </c>
      <c r="C33" s="294">
        <f>B33/'- 3 -'!D33*100</f>
        <v>8.6313336530959806</v>
      </c>
      <c r="D33" s="288">
        <f>B33/'- 7 -'!C33</f>
        <v>1133.6182407176675</v>
      </c>
      <c r="E33" s="288">
        <v>218843</v>
      </c>
      <c r="F33" s="294">
        <f>E33/'- 3 -'!D33*100</f>
        <v>0.83043295457650179</v>
      </c>
      <c r="G33" s="288">
        <f>IF('- 7 -'!B33=0,"",E33/'- 7 -'!B33)</f>
        <v>3647.3833333333332</v>
      </c>
    </row>
    <row r="34" spans="1:7" ht="14.1" customHeight="1">
      <c r="A34" s="18" t="s">
        <v>133</v>
      </c>
      <c r="B34" s="19">
        <v>2193359</v>
      </c>
      <c r="C34" s="69">
        <f>B34/'- 3 -'!D34*100</f>
        <v>8.2745423291646087</v>
      </c>
      <c r="D34" s="19">
        <f>B34/'- 7 -'!C34</f>
        <v>1101.7696759026703</v>
      </c>
      <c r="E34" s="19">
        <v>339502</v>
      </c>
      <c r="F34" s="69">
        <f>E34/'- 3 -'!D34*100</f>
        <v>1.2807860773526101</v>
      </c>
      <c r="G34" s="19">
        <f>IF('- 7 -'!B34=0,"",E34/'- 7 -'!B34)</f>
        <v>14857.855579868708</v>
      </c>
    </row>
    <row r="35" spans="1:7" ht="14.1" customHeight="1">
      <c r="A35" s="287" t="s">
        <v>134</v>
      </c>
      <c r="B35" s="288">
        <v>12245535</v>
      </c>
      <c r="C35" s="294">
        <f>B35/'- 3 -'!D35*100</f>
        <v>7.007340293154166</v>
      </c>
      <c r="D35" s="288">
        <f>B35/'- 7 -'!C35</f>
        <v>787.54485819023728</v>
      </c>
      <c r="E35" s="288">
        <v>3817731</v>
      </c>
      <c r="F35" s="294">
        <f>E35/'- 3 -'!D35*100</f>
        <v>2.1846444654907886</v>
      </c>
      <c r="G35" s="288">
        <f>IF('- 7 -'!B35=0,"",E35/'- 7 -'!B35)</f>
        <v>5010.1456692913389</v>
      </c>
    </row>
    <row r="36" spans="1:7" ht="14.1" customHeight="1">
      <c r="A36" s="18" t="s">
        <v>135</v>
      </c>
      <c r="B36" s="19">
        <v>1698506</v>
      </c>
      <c r="C36" s="69">
        <f>B36/'- 3 -'!D36*100</f>
        <v>7.7786071062099209</v>
      </c>
      <c r="D36" s="19">
        <f>B36/'- 7 -'!C36</f>
        <v>1030.0218314129775</v>
      </c>
      <c r="E36" s="19">
        <v>181122</v>
      </c>
      <c r="F36" s="69">
        <f>E36/'- 3 -'!D36*100</f>
        <v>0.82948007030352167</v>
      </c>
      <c r="G36" s="19">
        <f>IF('- 7 -'!B36=0,"",E36/'- 7 -'!B36)</f>
        <v>13618.195488721803</v>
      </c>
    </row>
    <row r="37" spans="1:7" ht="14.1" customHeight="1">
      <c r="A37" s="287" t="s">
        <v>136</v>
      </c>
      <c r="B37" s="288">
        <v>3881403</v>
      </c>
      <c r="C37" s="294">
        <f>B37/'- 3 -'!D37*100</f>
        <v>8.611255048520194</v>
      </c>
      <c r="D37" s="288">
        <f>B37/'- 7 -'!C37</f>
        <v>981.88793321527953</v>
      </c>
      <c r="E37" s="288">
        <v>0</v>
      </c>
      <c r="F37" s="294">
        <f>E37/'- 3 -'!D37*100</f>
        <v>0</v>
      </c>
      <c r="G37" s="288" t="str">
        <f>IF('- 7 -'!B37=0,"",E37/'- 7 -'!B37)</f>
        <v/>
      </c>
    </row>
    <row r="38" spans="1:7" ht="14.1" customHeight="1">
      <c r="A38" s="18" t="s">
        <v>137</v>
      </c>
      <c r="B38" s="19">
        <v>9466220</v>
      </c>
      <c r="C38" s="69">
        <f>B38/'- 3 -'!D38*100</f>
        <v>7.755841620513408</v>
      </c>
      <c r="D38" s="19">
        <f>B38/'- 7 -'!C38</f>
        <v>898.48989625748641</v>
      </c>
      <c r="E38" s="19">
        <v>885207</v>
      </c>
      <c r="F38" s="69">
        <f>E38/'- 3 -'!D38*100</f>
        <v>0.725265765360388</v>
      </c>
      <c r="G38" s="19">
        <f>IF('- 7 -'!B38=0,"",E38/'- 7 -'!B38)</f>
        <v>4939.7712053571431</v>
      </c>
    </row>
    <row r="39" spans="1:7" ht="14.1" customHeight="1">
      <c r="A39" s="287" t="s">
        <v>138</v>
      </c>
      <c r="B39" s="288">
        <v>1402243</v>
      </c>
      <c r="C39" s="294">
        <f>B39/'- 3 -'!D39*100</f>
        <v>6.9451616510850256</v>
      </c>
      <c r="D39" s="288">
        <f>B39/'- 7 -'!C39</f>
        <v>906.72033624312962</v>
      </c>
      <c r="E39" s="288">
        <v>207686</v>
      </c>
      <c r="F39" s="294">
        <f>E39/'- 3 -'!D39*100</f>
        <v>1.0286468484187439</v>
      </c>
      <c r="G39" s="288">
        <f>IF('- 7 -'!B39=0,"",E39/'- 7 -'!B39)</f>
        <v>5769.0555555555557</v>
      </c>
    </row>
    <row r="40" spans="1:7" ht="14.1" customHeight="1">
      <c r="A40" s="18" t="s">
        <v>139</v>
      </c>
      <c r="B40" s="19">
        <v>7910032</v>
      </c>
      <c r="C40" s="69">
        <f>B40/'- 3 -'!D40*100</f>
        <v>8.0901546826203727</v>
      </c>
      <c r="D40" s="19">
        <f>B40/'- 7 -'!C40</f>
        <v>1003.2255282449331</v>
      </c>
      <c r="E40" s="19">
        <v>2015606</v>
      </c>
      <c r="F40" s="69">
        <f>E40/'- 3 -'!D40*100</f>
        <v>2.0615042163189381</v>
      </c>
      <c r="G40" s="19">
        <f>IF('- 7 -'!B40=0,"",E40/'- 7 -'!B40)</f>
        <v>7504.1176470588225</v>
      </c>
    </row>
    <row r="41" spans="1:7" ht="14.1" customHeight="1">
      <c r="A41" s="287" t="s">
        <v>140</v>
      </c>
      <c r="B41" s="288">
        <v>4004295</v>
      </c>
      <c r="C41" s="294">
        <f>B41/'- 3 -'!D41*100</f>
        <v>6.7019566865905196</v>
      </c>
      <c r="D41" s="288">
        <f>B41/'- 7 -'!C41</f>
        <v>919.36517047411314</v>
      </c>
      <c r="E41" s="288">
        <v>0</v>
      </c>
      <c r="F41" s="294">
        <f>E41/'- 3 -'!D41*100</f>
        <v>0</v>
      </c>
      <c r="G41" s="288" t="str">
        <f>IF('- 7 -'!B41=0,"",E41/'- 7 -'!B41)</f>
        <v/>
      </c>
    </row>
    <row r="42" spans="1:7" ht="14.1" customHeight="1">
      <c r="A42" s="18" t="s">
        <v>141</v>
      </c>
      <c r="B42" s="19">
        <v>1560876</v>
      </c>
      <c r="C42" s="69">
        <f>B42/'- 3 -'!D42*100</f>
        <v>7.8438135962832751</v>
      </c>
      <c r="D42" s="19">
        <f>B42/'- 7 -'!C42</f>
        <v>1107.47552149851</v>
      </c>
      <c r="E42" s="19">
        <v>1172737</v>
      </c>
      <c r="F42" s="69">
        <f>E42/'- 3 -'!D42*100</f>
        <v>5.8933127458327617</v>
      </c>
      <c r="G42" s="19">
        <f>IF('- 7 -'!B42=0,"",E42/'- 7 -'!B42)</f>
        <v>7389.6471329552624</v>
      </c>
    </row>
    <row r="43" spans="1:7" ht="14.1" customHeight="1">
      <c r="A43" s="287" t="s">
        <v>142</v>
      </c>
      <c r="B43" s="288">
        <v>678350</v>
      </c>
      <c r="C43" s="294">
        <f>B43/'- 3 -'!D43*100</f>
        <v>5.296076312840988</v>
      </c>
      <c r="D43" s="288">
        <f>B43/'- 7 -'!C43</f>
        <v>704.24509203409366</v>
      </c>
      <c r="E43" s="288">
        <v>122825</v>
      </c>
      <c r="F43" s="294">
        <f>E43/'- 3 -'!D43*100</f>
        <v>0.95893060090616111</v>
      </c>
      <c r="G43" s="288">
        <f>IF('- 7 -'!B43=0,"",E43/'- 7 -'!B43)</f>
        <v>4366.3348738002132</v>
      </c>
    </row>
    <row r="44" spans="1:7" ht="14.1" customHeight="1">
      <c r="A44" s="18" t="s">
        <v>143</v>
      </c>
      <c r="B44" s="19">
        <v>649043</v>
      </c>
      <c r="C44" s="69">
        <f>B44/'- 3 -'!D44*100</f>
        <v>6.1562117277833339</v>
      </c>
      <c r="D44" s="19">
        <f>B44/'- 7 -'!C44</f>
        <v>933.8748201438849</v>
      </c>
      <c r="E44" s="19">
        <v>0</v>
      </c>
      <c r="F44" s="69">
        <f>E44/'- 3 -'!D44*100</f>
        <v>0</v>
      </c>
      <c r="G44" s="19" t="str">
        <f>IF('- 7 -'!B44=0,"",E44/'- 7 -'!B44)</f>
        <v/>
      </c>
    </row>
    <row r="45" spans="1:7" ht="14.1" customHeight="1">
      <c r="A45" s="287" t="s">
        <v>144</v>
      </c>
      <c r="B45" s="288">
        <v>1181520</v>
      </c>
      <c r="C45" s="294">
        <f>B45/'- 3 -'!D45*100</f>
        <v>6.7661542706309374</v>
      </c>
      <c r="D45" s="288">
        <f>B45/'- 7 -'!C45</f>
        <v>735.23335407591787</v>
      </c>
      <c r="E45" s="288">
        <v>302765</v>
      </c>
      <c r="F45" s="294">
        <f>E45/'- 3 -'!D45*100</f>
        <v>1.733829895175347</v>
      </c>
      <c r="G45" s="288">
        <f>IF('- 7 -'!B45=0,"",E45/'- 7 -'!B45)</f>
        <v>9174.69696969697</v>
      </c>
    </row>
    <row r="46" spans="1:7" ht="14.1" customHeight="1">
      <c r="A46" s="18" t="s">
        <v>145</v>
      </c>
      <c r="B46" s="19">
        <v>28863212</v>
      </c>
      <c r="C46" s="69">
        <f>B46/'- 3 -'!D46*100</f>
        <v>7.8488851906123109</v>
      </c>
      <c r="D46" s="19">
        <f>B46/'- 7 -'!C46</f>
        <v>965.19569288389516</v>
      </c>
      <c r="E46" s="19">
        <v>5192210</v>
      </c>
      <c r="F46" s="69">
        <f>E46/'- 3 -'!D46*100</f>
        <v>1.4119378042731052</v>
      </c>
      <c r="G46" s="19">
        <f>IF('- 7 -'!B46=0,"",E46/'- 7 -'!B46)</f>
        <v>7371.1101646791594</v>
      </c>
    </row>
    <row r="47" spans="1:7" ht="5.0999999999999996" customHeight="1">
      <c r="A47" s="20"/>
      <c r="B47" s="21"/>
      <c r="C47"/>
      <c r="D47" s="21"/>
      <c r="E47" s="21"/>
      <c r="F47"/>
      <c r="G47" s="21"/>
    </row>
    <row r="48" spans="1:7" ht="14.1" customHeight="1">
      <c r="A48" s="289" t="s">
        <v>146</v>
      </c>
      <c r="B48" s="290">
        <f>SUM(B11:B46)</f>
        <v>160308112</v>
      </c>
      <c r="C48" s="297">
        <f>B48/'- 3 -'!D48*100</f>
        <v>7.4995952996498474</v>
      </c>
      <c r="D48" s="290">
        <f>B48/'- 7 -'!C48</f>
        <v>929.34900280622526</v>
      </c>
      <c r="E48" s="290">
        <f>SUM(E11:E46)</f>
        <v>29995120.870000001</v>
      </c>
      <c r="F48" s="297">
        <f>E48/'- 3 -'!D48*100</f>
        <v>1.4032431963834808</v>
      </c>
      <c r="G48" s="290">
        <f>E48/'- 7 -'!B48</f>
        <v>6984.4131137387139</v>
      </c>
    </row>
    <row r="49" spans="1:7" ht="5.0999999999999996" customHeight="1">
      <c r="A49" s="20" t="s">
        <v>8</v>
      </c>
      <c r="B49" s="21"/>
      <c r="C49"/>
      <c r="D49" s="21"/>
      <c r="E49" s="21"/>
      <c r="F49"/>
    </row>
    <row r="50" spans="1:7" ht="14.1" customHeight="1">
      <c r="A50" s="18" t="s">
        <v>147</v>
      </c>
      <c r="B50" s="19">
        <v>197375</v>
      </c>
      <c r="C50" s="69">
        <f>B50/'- 3 -'!D50*100</f>
        <v>6.076391828526762</v>
      </c>
      <c r="D50" s="19">
        <f>B50/'- 7 -'!C50</f>
        <v>1186.1478365384614</v>
      </c>
      <c r="E50" s="19">
        <v>0</v>
      </c>
      <c r="F50" s="69">
        <f>E50/'- 3 -'!D50*100</f>
        <v>0</v>
      </c>
      <c r="G50" s="19" t="str">
        <f>IF('- 7 -'!B50=0,"",E50/'- 7 -'!B50)</f>
        <v/>
      </c>
    </row>
    <row r="51" spans="1:7" ht="14.1" customHeight="1">
      <c r="A51" s="287" t="s">
        <v>643</v>
      </c>
      <c r="B51" s="288">
        <v>975439</v>
      </c>
      <c r="C51" s="294">
        <f>B51/'- 3 -'!D51*100</f>
        <v>4.3748653091850782</v>
      </c>
      <c r="D51" s="288">
        <f>B51/'- 7 -'!C51</f>
        <v>1312.8384925975774</v>
      </c>
      <c r="E51" s="288">
        <v>4047766</v>
      </c>
      <c r="F51" s="294">
        <f>E51/'- 3 -'!D51*100</f>
        <v>18.154319289159904</v>
      </c>
      <c r="G51" s="288">
        <f>IF('- 7 -'!B51=0,"",E51/'- 7 -'!B51)</f>
        <v>6041.4417910447764</v>
      </c>
    </row>
    <row r="52" spans="1:7" ht="50.1" customHeight="1">
      <c r="B52" s="84"/>
      <c r="C52" s="84"/>
      <c r="D52" s="84"/>
      <c r="E52" s="84"/>
      <c r="F52" s="84"/>
      <c r="G52" s="84"/>
    </row>
  </sheetData>
  <mergeCells count="4">
    <mergeCell ref="D8:D9"/>
    <mergeCell ref="G8:G9"/>
    <mergeCell ref="B7:D7"/>
    <mergeCell ref="E6:G7"/>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15.xml><?xml version="1.0" encoding="utf-8"?>
<worksheet xmlns="http://schemas.openxmlformats.org/spreadsheetml/2006/main" xmlns:r="http://schemas.openxmlformats.org/officeDocument/2006/relationships">
  <sheetPr codeName="Sheet14">
    <pageSetUpPr fitToPage="1"/>
  </sheetPr>
  <dimension ref="A1:J53"/>
  <sheetViews>
    <sheetView showGridLines="0" showZeros="0" workbookViewId="0"/>
  </sheetViews>
  <sheetFormatPr defaultColWidth="15.83203125" defaultRowHeight="12"/>
  <cols>
    <col min="1" max="1" width="32.83203125" style="1" customWidth="1"/>
    <col min="2" max="2" width="16.83203125" style="1" customWidth="1"/>
    <col min="3" max="3" width="7.83203125" style="1" customWidth="1"/>
    <col min="4" max="4" width="9.83203125" style="1" customWidth="1"/>
    <col min="5" max="5" width="14.83203125" style="1" customWidth="1"/>
    <col min="6" max="6" width="7.83203125" style="1" customWidth="1"/>
    <col min="7" max="7" width="9.83203125" style="1" customWidth="1"/>
    <col min="8" max="8" width="14.83203125" style="1" customWidth="1"/>
    <col min="9" max="9" width="7.83203125" style="1" customWidth="1"/>
    <col min="10" max="10" width="9.83203125" style="1" customWidth="1"/>
    <col min="11" max="16384" width="15.83203125" style="1"/>
  </cols>
  <sheetData>
    <row r="1" spans="1:10" ht="6.95" customHeight="1">
      <c r="A1" s="6"/>
      <c r="B1" s="6"/>
      <c r="C1" s="6"/>
      <c r="D1" s="6"/>
      <c r="E1" s="6"/>
      <c r="F1" s="6"/>
      <c r="G1" s="6"/>
      <c r="H1" s="88"/>
      <c r="I1" s="88"/>
      <c r="J1" s="88"/>
    </row>
    <row r="2" spans="1:10" ht="15.95" customHeight="1">
      <c r="A2" s="133"/>
      <c r="B2" s="89" t="s">
        <v>266</v>
      </c>
      <c r="C2" s="90"/>
      <c r="D2" s="90"/>
      <c r="E2" s="168"/>
      <c r="F2" s="168"/>
      <c r="G2" s="168"/>
      <c r="H2" s="168"/>
      <c r="I2" s="62"/>
      <c r="J2" s="398" t="s">
        <v>419</v>
      </c>
    </row>
    <row r="3" spans="1:10" ht="15.95" customHeight="1">
      <c r="A3" s="546"/>
      <c r="B3" s="73" t="str">
        <f>OPYEAR</f>
        <v>OPERATING FUND 2014/2015 ACTUAL</v>
      </c>
      <c r="C3" s="93"/>
      <c r="D3" s="93"/>
      <c r="E3" s="28"/>
      <c r="F3" s="28"/>
      <c r="G3" s="28"/>
      <c r="H3" s="28"/>
      <c r="I3" s="64"/>
      <c r="J3" s="185"/>
    </row>
    <row r="4" spans="1:10" ht="15.95" customHeight="1">
      <c r="H4" s="88"/>
      <c r="I4" s="88"/>
      <c r="J4" s="88"/>
    </row>
    <row r="5" spans="1:10" ht="15.95" customHeight="1">
      <c r="B5" s="187" t="s">
        <v>14</v>
      </c>
      <c r="C5" s="38"/>
      <c r="D5" s="38"/>
      <c r="E5" s="38"/>
      <c r="F5" s="38"/>
      <c r="G5" s="38"/>
      <c r="H5" s="38"/>
      <c r="I5" s="197"/>
      <c r="J5" s="198"/>
    </row>
    <row r="6" spans="1:10" ht="15.95" customHeight="1">
      <c r="B6" s="327" t="s">
        <v>247</v>
      </c>
      <c r="C6" s="328"/>
      <c r="D6" s="328"/>
      <c r="E6" s="328"/>
      <c r="F6" s="328"/>
      <c r="G6" s="329"/>
      <c r="H6" s="330"/>
      <c r="I6" s="328"/>
      <c r="J6" s="329"/>
    </row>
    <row r="7" spans="1:10" ht="15.95" customHeight="1">
      <c r="B7" s="641" t="s">
        <v>21</v>
      </c>
      <c r="C7" s="642"/>
      <c r="D7" s="643"/>
      <c r="E7" s="641" t="s">
        <v>22</v>
      </c>
      <c r="F7" s="642"/>
      <c r="G7" s="643"/>
      <c r="H7" s="641" t="s">
        <v>23</v>
      </c>
      <c r="I7" s="642"/>
      <c r="J7" s="643"/>
    </row>
    <row r="8" spans="1:10" ht="15.95" customHeight="1">
      <c r="A8" s="66"/>
      <c r="B8" s="199"/>
      <c r="C8" s="190"/>
      <c r="D8" s="584" t="s">
        <v>502</v>
      </c>
      <c r="E8" s="199"/>
      <c r="F8" s="190"/>
      <c r="G8" s="584" t="s">
        <v>502</v>
      </c>
      <c r="H8" s="178"/>
      <c r="I8" s="177"/>
      <c r="J8" s="584" t="s">
        <v>502</v>
      </c>
    </row>
    <row r="9" spans="1:10" ht="15.95" customHeight="1">
      <c r="A9" s="34" t="s">
        <v>43</v>
      </c>
      <c r="B9" s="100" t="s">
        <v>44</v>
      </c>
      <c r="C9" s="100" t="s">
        <v>45</v>
      </c>
      <c r="D9" s="586"/>
      <c r="E9" s="100" t="s">
        <v>44</v>
      </c>
      <c r="F9" s="100" t="s">
        <v>45</v>
      </c>
      <c r="G9" s="586"/>
      <c r="H9" s="179" t="s">
        <v>44</v>
      </c>
      <c r="I9" s="100" t="s">
        <v>45</v>
      </c>
      <c r="J9" s="586"/>
    </row>
    <row r="10" spans="1:10" ht="5.0999999999999996" customHeight="1">
      <c r="A10" s="5"/>
      <c r="B10" s="84"/>
      <c r="C10" s="84"/>
      <c r="D10" s="84"/>
      <c r="E10" s="84"/>
      <c r="F10" s="84"/>
      <c r="G10" s="84"/>
      <c r="H10" s="84"/>
      <c r="I10" s="84"/>
      <c r="J10" s="84"/>
    </row>
    <row r="11" spans="1:10" ht="14.1" customHeight="1">
      <c r="A11" s="287" t="s">
        <v>111</v>
      </c>
      <c r="B11" s="288">
        <v>9767227</v>
      </c>
      <c r="C11" s="294">
        <f>B11/'- 3 -'!D11*100</f>
        <v>55.866178473849494</v>
      </c>
      <c r="D11" s="288">
        <f>B11/'- 6 -'!B11</f>
        <v>6108.3345841150722</v>
      </c>
      <c r="E11" s="288">
        <v>0</v>
      </c>
      <c r="F11" s="294">
        <f>E11/'- 3 -'!D11*100</f>
        <v>0</v>
      </c>
      <c r="G11" s="288" t="str">
        <f>IF('- 6 -'!C11=0,"",E11/'- 6 -'!C11)</f>
        <v/>
      </c>
      <c r="H11" s="288">
        <v>0</v>
      </c>
      <c r="I11" s="294">
        <f>H11/'- 3 -'!D11*100</f>
        <v>0</v>
      </c>
      <c r="J11" s="288" t="str">
        <f>IF('- 6 -'!D11=0,"",H11/'- 6 -'!D11)</f>
        <v/>
      </c>
    </row>
    <row r="12" spans="1:10" ht="14.1" customHeight="1">
      <c r="A12" s="18" t="s">
        <v>112</v>
      </c>
      <c r="B12" s="19">
        <v>14327864</v>
      </c>
      <c r="C12" s="69">
        <f>B12/'- 3 -'!D12*100</f>
        <v>45.246230187138899</v>
      </c>
      <c r="D12" s="19">
        <f>B12/'- 6 -'!B12</f>
        <v>7283.7496822733974</v>
      </c>
      <c r="E12" s="19">
        <v>0</v>
      </c>
      <c r="F12" s="69">
        <f>E12/'- 3 -'!D12*100</f>
        <v>0</v>
      </c>
      <c r="G12" s="19" t="str">
        <f>IF('- 6 -'!C12=0,"",E12/'- 6 -'!C12)</f>
        <v/>
      </c>
      <c r="H12" s="19">
        <v>0</v>
      </c>
      <c r="I12" s="69">
        <f>H12/'- 3 -'!D12*100</f>
        <v>0</v>
      </c>
      <c r="J12" s="19" t="str">
        <f>IF('- 6 -'!D12=0,"",H12/'- 6 -'!D12)</f>
        <v/>
      </c>
    </row>
    <row r="13" spans="1:10" ht="14.1" customHeight="1">
      <c r="A13" s="287" t="s">
        <v>113</v>
      </c>
      <c r="B13" s="288">
        <v>34995281</v>
      </c>
      <c r="C13" s="294">
        <f>B13/'- 3 -'!D13*100</f>
        <v>40.460209538846456</v>
      </c>
      <c r="D13" s="288">
        <f>B13/'- 6 -'!B13</f>
        <v>5950.060528776673</v>
      </c>
      <c r="E13" s="288">
        <v>0</v>
      </c>
      <c r="F13" s="294">
        <f>E13/'- 3 -'!D13*100</f>
        <v>0</v>
      </c>
      <c r="G13" s="288" t="str">
        <f>IF('- 6 -'!C13=0,"",E13/'- 6 -'!C13)</f>
        <v/>
      </c>
      <c r="H13" s="288">
        <v>1593936</v>
      </c>
      <c r="I13" s="294">
        <f>H13/'- 3 -'!D13*100</f>
        <v>1.8428480271814582</v>
      </c>
      <c r="J13" s="288">
        <f>IF('- 6 -'!D13=0,"",H13/'- 6 -'!D13)</f>
        <v>5012.3773584905657</v>
      </c>
    </row>
    <row r="14" spans="1:10" ht="14.1" customHeight="1">
      <c r="A14" s="18" t="s">
        <v>365</v>
      </c>
      <c r="B14" s="19">
        <v>0</v>
      </c>
      <c r="C14" s="69">
        <f>B14/'- 3 -'!D14*100</f>
        <v>0</v>
      </c>
      <c r="D14" s="19"/>
      <c r="E14" s="19">
        <v>39448757</v>
      </c>
      <c r="F14" s="69">
        <f>E14/'- 3 -'!D14*100</f>
        <v>50.919206472800496</v>
      </c>
      <c r="G14" s="19">
        <f>IF('- 6 -'!C14=0,"",E14/'- 6 -'!C14)</f>
        <v>7528.3887404580155</v>
      </c>
      <c r="H14" s="19">
        <v>0</v>
      </c>
      <c r="I14" s="69">
        <f>H14/'- 3 -'!D14*100</f>
        <v>0</v>
      </c>
      <c r="J14" s="19" t="str">
        <f>IF('- 6 -'!D14=0,"",H14/'- 6 -'!D14)</f>
        <v/>
      </c>
    </row>
    <row r="15" spans="1:10" ht="14.1" customHeight="1">
      <c r="A15" s="287" t="s">
        <v>114</v>
      </c>
      <c r="B15" s="288">
        <v>8595165</v>
      </c>
      <c r="C15" s="294">
        <f>B15/'- 3 -'!D15*100</f>
        <v>43.725062694279011</v>
      </c>
      <c r="D15" s="288">
        <f>B15/'- 6 -'!B15</f>
        <v>6000.1151832460737</v>
      </c>
      <c r="E15" s="288">
        <v>0</v>
      </c>
      <c r="F15" s="294">
        <f>E15/'- 3 -'!D15*100</f>
        <v>0</v>
      </c>
      <c r="G15" s="288" t="str">
        <f>IF('- 6 -'!C15=0,"",E15/'- 6 -'!C15)</f>
        <v/>
      </c>
      <c r="H15" s="288">
        <v>0</v>
      </c>
      <c r="I15" s="294">
        <f>H15/'- 3 -'!D15*100</f>
        <v>0</v>
      </c>
      <c r="J15" s="288" t="str">
        <f>IF('- 6 -'!D15=0,"",H15/'- 6 -'!D15)</f>
        <v/>
      </c>
    </row>
    <row r="16" spans="1:10" ht="14.1" customHeight="1">
      <c r="A16" s="18" t="s">
        <v>115</v>
      </c>
      <c r="B16" s="19">
        <v>4061913</v>
      </c>
      <c r="C16" s="69">
        <f>B16/'- 3 -'!D16*100</f>
        <v>29.831058733706861</v>
      </c>
      <c r="D16" s="19">
        <f>B16/'- 6 -'!B16</f>
        <v>7701.7690557451651</v>
      </c>
      <c r="E16" s="19">
        <v>0</v>
      </c>
      <c r="F16" s="69">
        <f>E16/'- 3 -'!D16*100</f>
        <v>0</v>
      </c>
      <c r="G16" s="19" t="str">
        <f>IF('- 6 -'!C16=0,"",E16/'- 6 -'!C16)</f>
        <v/>
      </c>
      <c r="H16" s="19">
        <v>0</v>
      </c>
      <c r="I16" s="69">
        <f>H16/'- 3 -'!D16*100</f>
        <v>0</v>
      </c>
      <c r="J16" s="19" t="str">
        <f>IF('- 6 -'!D16=0,"",H16/'- 6 -'!D16)</f>
        <v/>
      </c>
    </row>
    <row r="17" spans="1:10" ht="14.1" customHeight="1">
      <c r="A17" s="287" t="s">
        <v>116</v>
      </c>
      <c r="B17" s="288">
        <v>8747600</v>
      </c>
      <c r="C17" s="294">
        <f>B17/'- 3 -'!D17*100</f>
        <v>50.37965582463945</v>
      </c>
      <c r="D17" s="288">
        <f>B17/'- 6 -'!B17</f>
        <v>6686.2340441794695</v>
      </c>
      <c r="E17" s="288">
        <v>0</v>
      </c>
      <c r="F17" s="294">
        <f>E17/'- 3 -'!D17*100</f>
        <v>0</v>
      </c>
      <c r="G17" s="288" t="str">
        <f>IF('- 6 -'!C17=0,"",E17/'- 6 -'!C17)</f>
        <v/>
      </c>
      <c r="H17" s="288">
        <v>0</v>
      </c>
      <c r="I17" s="294">
        <f>H17/'- 3 -'!D17*100</f>
        <v>0</v>
      </c>
      <c r="J17" s="288" t="str">
        <f>IF('- 6 -'!D17=0,"",H17/'- 6 -'!D17)</f>
        <v/>
      </c>
    </row>
    <row r="18" spans="1:10" ht="14.1" customHeight="1">
      <c r="A18" s="18" t="s">
        <v>117</v>
      </c>
      <c r="B18" s="19">
        <v>44559701.130000003</v>
      </c>
      <c r="C18" s="69">
        <f>B18/'- 3 -'!D18*100</f>
        <v>36.472267872204341</v>
      </c>
      <c r="D18" s="19">
        <f>B18/'- 6 -'!B18</f>
        <v>7393.0155991020811</v>
      </c>
      <c r="E18" s="19">
        <v>0</v>
      </c>
      <c r="F18" s="69">
        <f>E18/'- 3 -'!D18*100</f>
        <v>0</v>
      </c>
      <c r="G18" s="19" t="str">
        <f>IF('- 6 -'!C18=0,"",E18/'- 6 -'!C18)</f>
        <v/>
      </c>
      <c r="H18" s="19">
        <v>0</v>
      </c>
      <c r="I18" s="69">
        <f>H18/'- 3 -'!D18*100</f>
        <v>0</v>
      </c>
      <c r="J18" s="19" t="str">
        <f>IF('- 6 -'!D18=0,"",H18/'- 6 -'!D18)</f>
        <v/>
      </c>
    </row>
    <row r="19" spans="1:10" ht="14.1" customHeight="1">
      <c r="A19" s="287" t="s">
        <v>118</v>
      </c>
      <c r="B19" s="288">
        <v>21099574</v>
      </c>
      <c r="C19" s="294">
        <f>B19/'- 3 -'!D19*100</f>
        <v>48.985388802907352</v>
      </c>
      <c r="D19" s="288">
        <f>B19/'- 6 -'!B19</f>
        <v>5177.3013691907545</v>
      </c>
      <c r="E19" s="288">
        <v>0</v>
      </c>
      <c r="F19" s="294">
        <f>E19/'- 3 -'!D19*100</f>
        <v>0</v>
      </c>
      <c r="G19" s="288" t="str">
        <f>IF('- 6 -'!C19=0,"",E19/'- 6 -'!C19)</f>
        <v/>
      </c>
      <c r="H19" s="288">
        <v>0</v>
      </c>
      <c r="I19" s="294">
        <f>H19/'- 3 -'!D19*100</f>
        <v>0</v>
      </c>
      <c r="J19" s="288" t="str">
        <f>IF('- 6 -'!D19=0,"",H19/'- 6 -'!D19)</f>
        <v/>
      </c>
    </row>
    <row r="20" spans="1:10" ht="14.1" customHeight="1">
      <c r="A20" s="18" t="s">
        <v>119</v>
      </c>
      <c r="B20" s="19">
        <v>39544146</v>
      </c>
      <c r="C20" s="69">
        <f>B20/'- 3 -'!D20*100</f>
        <v>52.967943207601643</v>
      </c>
      <c r="D20" s="19">
        <f>B20/'- 6 -'!B20</f>
        <v>5698.2500684467632</v>
      </c>
      <c r="E20" s="19">
        <v>0</v>
      </c>
      <c r="F20" s="69">
        <f>E20/'- 3 -'!D20*100</f>
        <v>0</v>
      </c>
      <c r="G20" s="19" t="str">
        <f>IF('- 6 -'!C20=0,"",E20/'- 6 -'!C20)</f>
        <v/>
      </c>
      <c r="H20" s="19">
        <v>0</v>
      </c>
      <c r="I20" s="69">
        <f>H20/'- 3 -'!D20*100</f>
        <v>0</v>
      </c>
      <c r="J20" s="19" t="str">
        <f>IF('- 6 -'!D20=0,"",H20/'- 6 -'!D20)</f>
        <v/>
      </c>
    </row>
    <row r="21" spans="1:10" ht="14.1" customHeight="1">
      <c r="A21" s="287" t="s">
        <v>120</v>
      </c>
      <c r="B21" s="288">
        <v>12807044</v>
      </c>
      <c r="C21" s="294">
        <f>B21/'- 3 -'!D21*100</f>
        <v>36.79042862669877</v>
      </c>
      <c r="D21" s="288">
        <f>B21/'- 6 -'!B21</f>
        <v>6299.5789473684208</v>
      </c>
      <c r="E21" s="288">
        <v>0</v>
      </c>
      <c r="F21" s="294">
        <f>E21/'- 3 -'!D21*100</f>
        <v>0</v>
      </c>
      <c r="G21" s="288" t="str">
        <f>IF('- 6 -'!C21=0,"",E21/'- 6 -'!C21)</f>
        <v/>
      </c>
      <c r="H21" s="288">
        <v>0</v>
      </c>
      <c r="I21" s="294">
        <f>H21/'- 3 -'!D21*100</f>
        <v>0</v>
      </c>
      <c r="J21" s="288" t="str">
        <f>IF('- 6 -'!D21=0,"",H21/'- 6 -'!D21)</f>
        <v/>
      </c>
    </row>
    <row r="22" spans="1:10" ht="14.1" customHeight="1">
      <c r="A22" s="18" t="s">
        <v>121</v>
      </c>
      <c r="B22" s="19">
        <v>4459359</v>
      </c>
      <c r="C22" s="69">
        <f>B22/'- 3 -'!D22*100</f>
        <v>22.942987689729382</v>
      </c>
      <c r="D22" s="19">
        <f>B22/'- 6 -'!B22</f>
        <v>4999.8419105280864</v>
      </c>
      <c r="E22" s="19">
        <v>0</v>
      </c>
      <c r="F22" s="69">
        <f>E22/'- 3 -'!D22*100</f>
        <v>0</v>
      </c>
      <c r="G22" s="19" t="str">
        <f>IF('- 6 -'!C22=0,"",E22/'- 6 -'!C22)</f>
        <v/>
      </c>
      <c r="H22" s="19">
        <v>0</v>
      </c>
      <c r="I22" s="69">
        <f>H22/'- 3 -'!D22*100</f>
        <v>0</v>
      </c>
      <c r="J22" s="19" t="str">
        <f>IF('- 6 -'!D22=0,"",H22/'- 6 -'!D22)</f>
        <v/>
      </c>
    </row>
    <row r="23" spans="1:10" ht="14.1" customHeight="1">
      <c r="A23" s="287" t="s">
        <v>122</v>
      </c>
      <c r="B23" s="288">
        <v>7271701</v>
      </c>
      <c r="C23" s="294">
        <f>B23/'- 3 -'!D23*100</f>
        <v>44.759655021332492</v>
      </c>
      <c r="D23" s="288">
        <f>B23/'- 6 -'!B23</f>
        <v>6616.6524112829848</v>
      </c>
      <c r="E23" s="288">
        <v>0</v>
      </c>
      <c r="F23" s="294">
        <f>E23/'- 3 -'!D23*100</f>
        <v>0</v>
      </c>
      <c r="G23" s="288" t="str">
        <f>IF('- 6 -'!C23=0,"",E23/'- 6 -'!C23)</f>
        <v/>
      </c>
      <c r="H23" s="288">
        <v>0</v>
      </c>
      <c r="I23" s="294">
        <f>H23/'- 3 -'!D23*100</f>
        <v>0</v>
      </c>
      <c r="J23" s="288" t="str">
        <f>IF('- 6 -'!D23=0,"",H23/'- 6 -'!D23)</f>
        <v/>
      </c>
    </row>
    <row r="24" spans="1:10" ht="14.1" customHeight="1">
      <c r="A24" s="18" t="s">
        <v>123</v>
      </c>
      <c r="B24" s="19">
        <v>19718486</v>
      </c>
      <c r="C24" s="69">
        <f>B24/'- 3 -'!D24*100</f>
        <v>36.366337390181876</v>
      </c>
      <c r="D24" s="19">
        <f>B24/'- 6 -'!B24</f>
        <v>6891.9247841739198</v>
      </c>
      <c r="E24" s="19">
        <v>0</v>
      </c>
      <c r="F24" s="69">
        <f>E24/'- 3 -'!D24*100</f>
        <v>0</v>
      </c>
      <c r="G24" s="19" t="str">
        <f>IF('- 6 -'!C24=0,"",E24/'- 6 -'!C24)</f>
        <v/>
      </c>
      <c r="H24" s="19">
        <v>1484206</v>
      </c>
      <c r="I24" s="69">
        <f>H24/'- 3 -'!D24*100</f>
        <v>2.7372860245219779</v>
      </c>
      <c r="J24" s="19">
        <f>IF('- 6 -'!D24=0,"",H24/'- 6 -'!D24)</f>
        <v>5948.7214428857715</v>
      </c>
    </row>
    <row r="25" spans="1:10" ht="14.1" customHeight="1">
      <c r="A25" s="287" t="s">
        <v>124</v>
      </c>
      <c r="B25" s="288">
        <v>51890111</v>
      </c>
      <c r="C25" s="294">
        <f>B25/'- 3 -'!D25*100</f>
        <v>32.480151862318351</v>
      </c>
      <c r="D25" s="288">
        <f>B25/'- 6 -'!B25</f>
        <v>5410.4048671643659</v>
      </c>
      <c r="E25" s="288">
        <v>0</v>
      </c>
      <c r="F25" s="294">
        <f>E25/'- 3 -'!D25*100</f>
        <v>0</v>
      </c>
      <c r="G25" s="288" t="str">
        <f>IF('- 6 -'!C25=0,"",E25/'- 6 -'!C25)</f>
        <v/>
      </c>
      <c r="H25" s="288">
        <v>21708262</v>
      </c>
      <c r="I25" s="294">
        <f>H25/'- 3 -'!D25*100</f>
        <v>13.588092853125611</v>
      </c>
      <c r="J25" s="288">
        <f>IF('- 6 -'!D25=0,"",H25/'- 6 -'!D25)</f>
        <v>5155.1322726193303</v>
      </c>
    </row>
    <row r="26" spans="1:10" ht="14.1" customHeight="1">
      <c r="A26" s="18" t="s">
        <v>125</v>
      </c>
      <c r="B26" s="19">
        <v>15469980</v>
      </c>
      <c r="C26" s="69">
        <f>B26/'- 3 -'!D26*100</f>
        <v>39.764474737342063</v>
      </c>
      <c r="D26" s="19">
        <f>B26/'- 6 -'!B26</f>
        <v>6325.8965446738912</v>
      </c>
      <c r="E26" s="19">
        <v>0</v>
      </c>
      <c r="F26" s="69">
        <f>E26/'- 3 -'!D26*100</f>
        <v>0</v>
      </c>
      <c r="G26" s="19" t="str">
        <f>IF('- 6 -'!C26=0,"",E26/'- 6 -'!C26)</f>
        <v/>
      </c>
      <c r="H26" s="19">
        <v>1047612</v>
      </c>
      <c r="I26" s="69">
        <f>H26/'- 3 -'!D26*100</f>
        <v>2.6928115555764389</v>
      </c>
      <c r="J26" s="19">
        <f>IF('- 6 -'!D26=0,"",H26/'- 6 -'!D26)</f>
        <v>4772.7198177676537</v>
      </c>
    </row>
    <row r="27" spans="1:10" ht="14.1" customHeight="1">
      <c r="A27" s="287" t="s">
        <v>126</v>
      </c>
      <c r="B27" s="288">
        <v>15956748</v>
      </c>
      <c r="C27" s="294">
        <f>B27/'- 3 -'!D27*100</f>
        <v>40.862728590141387</v>
      </c>
      <c r="D27" s="288">
        <f>B27/'- 6 -'!B27</f>
        <v>6605.9813703167047</v>
      </c>
      <c r="E27" s="288">
        <v>0</v>
      </c>
      <c r="F27" s="294">
        <f>E27/'- 3 -'!D27*100</f>
        <v>0</v>
      </c>
      <c r="G27" s="288" t="str">
        <f>IF('- 6 -'!C27=0,"",E27/'- 6 -'!C27)</f>
        <v/>
      </c>
      <c r="H27" s="288">
        <v>0</v>
      </c>
      <c r="I27" s="294">
        <f>H27/'- 3 -'!D27*100</f>
        <v>0</v>
      </c>
      <c r="J27" s="288" t="str">
        <f>IF('- 6 -'!D27=0,"",H27/'- 6 -'!D27)</f>
        <v/>
      </c>
    </row>
    <row r="28" spans="1:10" ht="14.1" customHeight="1">
      <c r="A28" s="18" t="s">
        <v>127</v>
      </c>
      <c r="B28" s="19">
        <v>14114171</v>
      </c>
      <c r="C28" s="69">
        <f>B28/'- 3 -'!D28*100</f>
        <v>51.326805857818037</v>
      </c>
      <c r="D28" s="19">
        <f>B28/'- 6 -'!B28</f>
        <v>7053.5587206396804</v>
      </c>
      <c r="E28" s="19">
        <v>0</v>
      </c>
      <c r="F28" s="69">
        <f>E28/'- 3 -'!D28*100</f>
        <v>0</v>
      </c>
      <c r="G28" s="19" t="str">
        <f>IF('- 6 -'!C28=0,"",E28/'- 6 -'!C28)</f>
        <v/>
      </c>
      <c r="H28" s="19">
        <v>0</v>
      </c>
      <c r="I28" s="69">
        <f>H28/'- 3 -'!D28*100</f>
        <v>0</v>
      </c>
      <c r="J28" s="19" t="str">
        <f>IF('- 6 -'!D28=0,"",H28/'- 6 -'!D28)</f>
        <v/>
      </c>
    </row>
    <row r="29" spans="1:10" ht="14.1" customHeight="1">
      <c r="A29" s="287" t="s">
        <v>128</v>
      </c>
      <c r="B29" s="288">
        <v>44714802</v>
      </c>
      <c r="C29" s="294">
        <f>B29/'- 3 -'!D29*100</f>
        <v>30.650982242031631</v>
      </c>
      <c r="D29" s="288">
        <f>B29/'- 6 -'!B29</f>
        <v>5801.0900363258952</v>
      </c>
      <c r="E29" s="288">
        <v>0</v>
      </c>
      <c r="F29" s="294">
        <f>E29/'- 3 -'!D29*100</f>
        <v>0</v>
      </c>
      <c r="G29" s="288" t="str">
        <f>IF('- 6 -'!C29=0,"",E29/'- 6 -'!C29)</f>
        <v/>
      </c>
      <c r="H29" s="288">
        <v>7499989</v>
      </c>
      <c r="I29" s="294">
        <f>H29/'- 3 -'!D29*100</f>
        <v>5.1410722931174462</v>
      </c>
      <c r="J29" s="288">
        <f>IF('- 6 -'!D29=0,"",H29/'- 6 -'!D29)</f>
        <v>5551.4352331606215</v>
      </c>
    </row>
    <row r="30" spans="1:10" ht="14.1" customHeight="1">
      <c r="A30" s="18" t="s">
        <v>129</v>
      </c>
      <c r="B30" s="19">
        <v>7153609</v>
      </c>
      <c r="C30" s="69">
        <f>B30/'- 3 -'!D30*100</f>
        <v>52.615131126515195</v>
      </c>
      <c r="D30" s="19">
        <f>B30/'- 6 -'!B30</f>
        <v>7034.7221949060877</v>
      </c>
      <c r="E30" s="19">
        <v>0</v>
      </c>
      <c r="F30" s="69">
        <f>E30/'- 3 -'!D30*100</f>
        <v>0</v>
      </c>
      <c r="G30" s="19" t="str">
        <f>IF('- 6 -'!C30=0,"",E30/'- 6 -'!C30)</f>
        <v/>
      </c>
      <c r="H30" s="19">
        <v>0</v>
      </c>
      <c r="I30" s="69">
        <f>H30/'- 3 -'!D30*100</f>
        <v>0</v>
      </c>
      <c r="J30" s="19" t="str">
        <f>IF('- 6 -'!D30=0,"",H30/'- 6 -'!D30)</f>
        <v/>
      </c>
    </row>
    <row r="31" spans="1:10" ht="14.1" customHeight="1">
      <c r="A31" s="287" t="s">
        <v>130</v>
      </c>
      <c r="B31" s="288">
        <v>13696744</v>
      </c>
      <c r="C31" s="294">
        <f>B31/'- 3 -'!D31*100</f>
        <v>38.745528884091222</v>
      </c>
      <c r="D31" s="288">
        <f>B31/'- 6 -'!B31</f>
        <v>5588.2268461852309</v>
      </c>
      <c r="E31" s="288">
        <v>0</v>
      </c>
      <c r="F31" s="294">
        <f>E31/'- 3 -'!D31*100</f>
        <v>0</v>
      </c>
      <c r="G31" s="288" t="str">
        <f>IF('- 6 -'!C31=0,"",E31/'- 6 -'!C31)</f>
        <v/>
      </c>
      <c r="H31" s="288">
        <v>0</v>
      </c>
      <c r="I31" s="294">
        <f>H31/'- 3 -'!D31*100</f>
        <v>0</v>
      </c>
      <c r="J31" s="288" t="str">
        <f>IF('- 6 -'!D31=0,"",H31/'- 6 -'!D31)</f>
        <v/>
      </c>
    </row>
    <row r="32" spans="1:10" ht="14.1" customHeight="1">
      <c r="A32" s="18" t="s">
        <v>131</v>
      </c>
      <c r="B32" s="19">
        <v>11727744</v>
      </c>
      <c r="C32" s="69">
        <f>B32/'- 3 -'!D32*100</f>
        <v>44.414018124480961</v>
      </c>
      <c r="D32" s="19">
        <f>B32/'- 6 -'!B32</f>
        <v>6629.9643846458248</v>
      </c>
      <c r="E32" s="19">
        <v>0</v>
      </c>
      <c r="F32" s="69">
        <f>E32/'- 3 -'!D32*100</f>
        <v>0</v>
      </c>
      <c r="G32" s="19" t="str">
        <f>IF('- 6 -'!C32=0,"",E32/'- 6 -'!C32)</f>
        <v/>
      </c>
      <c r="H32" s="19">
        <v>600054</v>
      </c>
      <c r="I32" s="69">
        <f>H32/'- 3 -'!D32*100</f>
        <v>2.2724583032906667</v>
      </c>
      <c r="J32" s="19">
        <f>IF('- 6 -'!D32=0,"",H32/'- 6 -'!D32)</f>
        <v>5530.4516129032254</v>
      </c>
    </row>
    <row r="33" spans="1:10" ht="14.1" customHeight="1">
      <c r="A33" s="287" t="s">
        <v>132</v>
      </c>
      <c r="B33" s="288">
        <v>10025391</v>
      </c>
      <c r="C33" s="294">
        <f>B33/'- 3 -'!D33*100</f>
        <v>38.042866662011896</v>
      </c>
      <c r="D33" s="288">
        <f>B33/'- 6 -'!B33</f>
        <v>6650.3422885572136</v>
      </c>
      <c r="E33" s="288">
        <v>0</v>
      </c>
      <c r="F33" s="294">
        <f>E33/'- 3 -'!D33*100</f>
        <v>0</v>
      </c>
      <c r="G33" s="288" t="str">
        <f>IF('- 6 -'!C33=0,"",E33/'- 6 -'!C33)</f>
        <v/>
      </c>
      <c r="H33" s="288">
        <v>0</v>
      </c>
      <c r="I33" s="294">
        <f>H33/'- 3 -'!D33*100</f>
        <v>0</v>
      </c>
      <c r="J33" s="288" t="str">
        <f>IF('- 6 -'!D33=0,"",H33/'- 6 -'!D33)</f>
        <v/>
      </c>
    </row>
    <row r="34" spans="1:10" ht="14.1" customHeight="1">
      <c r="A34" s="18" t="s">
        <v>133</v>
      </c>
      <c r="B34" s="19">
        <v>9697465</v>
      </c>
      <c r="C34" s="69">
        <f>B34/'- 3 -'!D34*100</f>
        <v>36.584108952566488</v>
      </c>
      <c r="D34" s="19">
        <f>B34/'- 6 -'!B34</f>
        <v>6121.2095389587439</v>
      </c>
      <c r="E34" s="19">
        <v>0</v>
      </c>
      <c r="F34" s="69">
        <f>E34/'- 3 -'!D34*100</f>
        <v>0</v>
      </c>
      <c r="G34" s="19" t="str">
        <f>IF('- 6 -'!C34=0,"",E34/'- 6 -'!C34)</f>
        <v/>
      </c>
      <c r="H34" s="19">
        <v>1559562</v>
      </c>
      <c r="I34" s="69">
        <f>H34/'- 3 -'!D34*100</f>
        <v>5.8835155503301637</v>
      </c>
      <c r="J34" s="19">
        <f>IF('- 6 -'!D34=0,"",H34/'- 6 -'!D34)</f>
        <v>7676.1431313678204</v>
      </c>
    </row>
    <row r="35" spans="1:10" ht="14.1" customHeight="1">
      <c r="A35" s="287" t="s">
        <v>134</v>
      </c>
      <c r="B35" s="288">
        <v>52704232</v>
      </c>
      <c r="C35" s="294">
        <f>B35/'- 3 -'!D35*100</f>
        <v>30.159277525509925</v>
      </c>
      <c r="D35" s="288">
        <f>B35/'- 6 -'!B35</f>
        <v>5759.3959130149715</v>
      </c>
      <c r="E35" s="288">
        <v>0</v>
      </c>
      <c r="F35" s="294">
        <f>E35/'- 3 -'!D35*100</f>
        <v>0</v>
      </c>
      <c r="G35" s="288" t="str">
        <f>IF('- 6 -'!C35=0,"",E35/'- 6 -'!C35)</f>
        <v/>
      </c>
      <c r="H35" s="288">
        <v>5552038</v>
      </c>
      <c r="I35" s="294">
        <f>H35/'- 3 -'!D35*100</f>
        <v>3.1770779787508729</v>
      </c>
      <c r="J35" s="288">
        <f>IF('- 6 -'!D35=0,"",H35/'- 6 -'!D35)</f>
        <v>4922.0195035460993</v>
      </c>
    </row>
    <row r="36" spans="1:10" ht="14.1" customHeight="1">
      <c r="A36" s="18" t="s">
        <v>135</v>
      </c>
      <c r="B36" s="19">
        <v>10999235</v>
      </c>
      <c r="C36" s="69">
        <f>B36/'- 3 -'!D36*100</f>
        <v>50.372932173258668</v>
      </c>
      <c r="D36" s="19">
        <f>B36/'- 6 -'!B36</f>
        <v>6724.4818732041322</v>
      </c>
      <c r="E36" s="19">
        <v>0</v>
      </c>
      <c r="F36" s="69">
        <f>E36/'- 3 -'!D36*100</f>
        <v>0</v>
      </c>
      <c r="G36" s="19" t="str">
        <f>IF('- 6 -'!C36=0,"",E36/'- 6 -'!C36)</f>
        <v/>
      </c>
      <c r="H36" s="19">
        <v>0</v>
      </c>
      <c r="I36" s="69">
        <f>H36/'- 3 -'!D36*100</f>
        <v>0</v>
      </c>
      <c r="J36" s="19" t="str">
        <f>IF('- 6 -'!D36=0,"",H36/'- 6 -'!D36)</f>
        <v/>
      </c>
    </row>
    <row r="37" spans="1:10" ht="14.1" customHeight="1">
      <c r="A37" s="287" t="s">
        <v>136</v>
      </c>
      <c r="B37" s="288">
        <v>11220995</v>
      </c>
      <c r="C37" s="294">
        <f>B37/'- 3 -'!D37*100</f>
        <v>24.894825361646252</v>
      </c>
      <c r="D37" s="288">
        <f>B37/'- 6 -'!B37</f>
        <v>5538.4970384995067</v>
      </c>
      <c r="E37" s="288">
        <v>0</v>
      </c>
      <c r="F37" s="294">
        <f>E37/'- 3 -'!D37*100</f>
        <v>0</v>
      </c>
      <c r="G37" s="288" t="str">
        <f>IF('- 6 -'!C37=0,"",E37/'- 6 -'!C37)</f>
        <v/>
      </c>
      <c r="H37" s="288">
        <v>3832912</v>
      </c>
      <c r="I37" s="294">
        <f>H37/'- 3 -'!D37*100</f>
        <v>8.5036732363358389</v>
      </c>
      <c r="J37" s="288">
        <f>IF('- 6 -'!D37=0,"",H37/'- 6 -'!D37)</f>
        <v>5345.7629009762904</v>
      </c>
    </row>
    <row r="38" spans="1:10" ht="14.1" customHeight="1">
      <c r="A38" s="18" t="s">
        <v>137</v>
      </c>
      <c r="B38" s="19">
        <v>36589391</v>
      </c>
      <c r="C38" s="69">
        <f>B38/'- 3 -'!D38*100</f>
        <v>29.978335765177516</v>
      </c>
      <c r="D38" s="19">
        <f>B38/'- 6 -'!B38</f>
        <v>6432.0555145378476</v>
      </c>
      <c r="E38" s="19">
        <v>0</v>
      </c>
      <c r="F38" s="69">
        <f>E38/'- 3 -'!D38*100</f>
        <v>0</v>
      </c>
      <c r="G38" s="19" t="str">
        <f>IF('- 6 -'!C38=0,"",E38/'- 6 -'!C38)</f>
        <v/>
      </c>
      <c r="H38" s="19">
        <v>1584711</v>
      </c>
      <c r="I38" s="69">
        <f>H38/'- 3 -'!D38*100</f>
        <v>1.2983817754378646</v>
      </c>
      <c r="J38" s="19">
        <f>IF('- 6 -'!D38=0,"",H38/'- 6 -'!D38)</f>
        <v>5046.8503184713372</v>
      </c>
    </row>
    <row r="39" spans="1:10" ht="14.1" customHeight="1">
      <c r="A39" s="287" t="s">
        <v>138</v>
      </c>
      <c r="B39" s="288">
        <v>10007134</v>
      </c>
      <c r="C39" s="294">
        <f>B39/'- 3 -'!D39*100</f>
        <v>49.564279011604334</v>
      </c>
      <c r="D39" s="288">
        <f>B39/'- 6 -'!B39</f>
        <v>6625.0473353194302</v>
      </c>
      <c r="E39" s="288">
        <v>0</v>
      </c>
      <c r="F39" s="294">
        <f>E39/'- 3 -'!D39*100</f>
        <v>0</v>
      </c>
      <c r="G39" s="288" t="str">
        <f>IF('- 6 -'!C39=0,"",E39/'- 6 -'!C39)</f>
        <v/>
      </c>
      <c r="H39" s="288">
        <v>0</v>
      </c>
      <c r="I39" s="294">
        <f>H39/'- 3 -'!D39*100</f>
        <v>0</v>
      </c>
      <c r="J39" s="288" t="str">
        <f>IF('- 6 -'!D39=0,"",H39/'- 6 -'!D39)</f>
        <v/>
      </c>
    </row>
    <row r="40" spans="1:10" ht="14.1" customHeight="1">
      <c r="A40" s="18" t="s">
        <v>139</v>
      </c>
      <c r="B40" s="19">
        <v>32754480</v>
      </c>
      <c r="C40" s="69">
        <f>B40/'- 3 -'!D40*100</f>
        <v>33.500346110963314</v>
      </c>
      <c r="D40" s="19">
        <f>B40/'- 6 -'!B40</f>
        <v>6202.9126029732033</v>
      </c>
      <c r="E40" s="19">
        <v>0</v>
      </c>
      <c r="F40" s="69">
        <f>E40/'- 3 -'!D40*100</f>
        <v>0</v>
      </c>
      <c r="G40" s="19" t="str">
        <f>IF('- 6 -'!C40=0,"",E40/'- 6 -'!C40)</f>
        <v/>
      </c>
      <c r="H40" s="19">
        <v>4372524</v>
      </c>
      <c r="I40" s="69">
        <f>H40/'- 3 -'!D40*100</f>
        <v>4.472092592478762</v>
      </c>
      <c r="J40" s="19">
        <f>IF('- 6 -'!D40=0,"",H40/'- 6 -'!D40)</f>
        <v>5233.4219030520644</v>
      </c>
    </row>
    <row r="41" spans="1:10" ht="14.1" customHeight="1">
      <c r="A41" s="287" t="s">
        <v>140</v>
      </c>
      <c r="B41" s="288">
        <v>13883584</v>
      </c>
      <c r="C41" s="294">
        <f>B41/'- 3 -'!D41*100</f>
        <v>23.236844094314019</v>
      </c>
      <c r="D41" s="288">
        <f>B41/'- 6 -'!B41</f>
        <v>6698.9548854041013</v>
      </c>
      <c r="E41" s="288">
        <v>0</v>
      </c>
      <c r="F41" s="294">
        <f>E41/'- 3 -'!D41*100</f>
        <v>0</v>
      </c>
      <c r="G41" s="288" t="str">
        <f>IF('- 6 -'!C41=0,"",E41/'- 6 -'!C41)</f>
        <v/>
      </c>
      <c r="H41" s="288">
        <v>0</v>
      </c>
      <c r="I41" s="294">
        <f>H41/'- 3 -'!D41*100</f>
        <v>0</v>
      </c>
      <c r="J41" s="288" t="str">
        <f>IF('- 6 -'!D41=0,"",H41/'- 6 -'!D41)</f>
        <v/>
      </c>
    </row>
    <row r="42" spans="1:10" ht="14.1" customHeight="1">
      <c r="A42" s="18" t="s">
        <v>141</v>
      </c>
      <c r="B42" s="19">
        <v>7053615</v>
      </c>
      <c r="C42" s="69">
        <f>B42/'- 3 -'!D42*100</f>
        <v>35.446275834818174</v>
      </c>
      <c r="D42" s="19">
        <f>B42/'- 6 -'!B42</f>
        <v>6917.3433362753749</v>
      </c>
      <c r="E42" s="19">
        <v>0</v>
      </c>
      <c r="F42" s="69">
        <f>E42/'- 3 -'!D42*100</f>
        <v>0</v>
      </c>
      <c r="G42" s="19" t="str">
        <f>IF('- 6 -'!C42=0,"",E42/'- 6 -'!C42)</f>
        <v/>
      </c>
      <c r="H42" s="19">
        <v>0</v>
      </c>
      <c r="I42" s="69">
        <f>H42/'- 3 -'!D42*100</f>
        <v>0</v>
      </c>
      <c r="J42" s="19" t="str">
        <f>IF('- 6 -'!D42=0,"",H42/'- 6 -'!D42)</f>
        <v/>
      </c>
    </row>
    <row r="43" spans="1:10" ht="14.1" customHeight="1">
      <c r="A43" s="287" t="s">
        <v>142</v>
      </c>
      <c r="B43" s="288">
        <v>6321780</v>
      </c>
      <c r="C43" s="294">
        <f>B43/'- 3 -'!D43*100</f>
        <v>49.355980412754334</v>
      </c>
      <c r="D43" s="288">
        <f>B43/'- 6 -'!B43</f>
        <v>6760.5389797882581</v>
      </c>
      <c r="E43" s="288">
        <v>0</v>
      </c>
      <c r="F43" s="294">
        <f>E43/'- 3 -'!D43*100</f>
        <v>0</v>
      </c>
      <c r="G43" s="288" t="str">
        <f>IF('- 6 -'!C43=0,"",E43/'- 6 -'!C43)</f>
        <v/>
      </c>
      <c r="H43" s="288">
        <v>0</v>
      </c>
      <c r="I43" s="294">
        <f>H43/'- 3 -'!D43*100</f>
        <v>0</v>
      </c>
      <c r="J43" s="288" t="str">
        <f>IF('- 6 -'!D43=0,"",H43/'- 6 -'!D43)</f>
        <v/>
      </c>
    </row>
    <row r="44" spans="1:10" ht="14.1" customHeight="1">
      <c r="A44" s="18" t="s">
        <v>143</v>
      </c>
      <c r="B44" s="19">
        <v>4869438</v>
      </c>
      <c r="C44" s="69">
        <f>B44/'- 3 -'!D44*100</f>
        <v>46.186911072631275</v>
      </c>
      <c r="D44" s="19">
        <f>B44/'- 6 -'!B44</f>
        <v>7383.5299469294923</v>
      </c>
      <c r="E44" s="19">
        <v>357425</v>
      </c>
      <c r="F44" s="69">
        <f>E44/'- 3 -'!D44*100</f>
        <v>3.3901975320632967</v>
      </c>
      <c r="G44" s="19">
        <f>IF('- 6 -'!C44=0,"",E44/'- 6 -'!C44)</f>
        <v>10068.30985915493</v>
      </c>
      <c r="H44" s="19">
        <v>0</v>
      </c>
      <c r="I44" s="69">
        <f>H44/'- 3 -'!D44*100</f>
        <v>0</v>
      </c>
      <c r="J44" s="19" t="str">
        <f>IF('- 6 -'!D44=0,"",H44/'- 6 -'!D44)</f>
        <v/>
      </c>
    </row>
    <row r="45" spans="1:10" ht="14.1" customHeight="1">
      <c r="A45" s="287" t="s">
        <v>144</v>
      </c>
      <c r="B45" s="288">
        <v>4347924</v>
      </c>
      <c r="C45" s="294">
        <f>B45/'- 3 -'!D45*100</f>
        <v>24.899049140919114</v>
      </c>
      <c r="D45" s="288">
        <f>B45/'- 6 -'!B45</f>
        <v>6247.0172413793107</v>
      </c>
      <c r="E45" s="288">
        <v>0</v>
      </c>
      <c r="F45" s="294">
        <f>E45/'- 3 -'!D45*100</f>
        <v>0</v>
      </c>
      <c r="G45" s="288" t="str">
        <f>IF('- 6 -'!C45=0,"",E45/'- 6 -'!C45)</f>
        <v/>
      </c>
      <c r="H45" s="288">
        <v>0</v>
      </c>
      <c r="I45" s="294">
        <f>H45/'- 3 -'!D45*100</f>
        <v>0</v>
      </c>
      <c r="J45" s="288" t="str">
        <f>IF('- 6 -'!D45=0,"",H45/'- 6 -'!D45)</f>
        <v/>
      </c>
    </row>
    <row r="46" spans="1:10" ht="14.1" customHeight="1">
      <c r="A46" s="18" t="s">
        <v>145</v>
      </c>
      <c r="B46" s="19">
        <v>127305710</v>
      </c>
      <c r="C46" s="69">
        <f>B46/'- 3 -'!D46*100</f>
        <v>34.618735499686778</v>
      </c>
      <c r="D46" s="19">
        <f>B46/'- 6 -'!B46</f>
        <v>5875.3950599051122</v>
      </c>
      <c r="E46" s="19">
        <v>0</v>
      </c>
      <c r="F46" s="69">
        <f>E46/'- 3 -'!D46*100</f>
        <v>0</v>
      </c>
      <c r="G46" s="19" t="str">
        <f>IF('- 6 -'!C46=0,"",E46/'- 6 -'!C46)</f>
        <v/>
      </c>
      <c r="H46" s="19">
        <v>6600165</v>
      </c>
      <c r="I46" s="69">
        <f>H46/'- 3 -'!D46*100</f>
        <v>1.7948084684441115</v>
      </c>
      <c r="J46" s="19">
        <f>IF('- 6 -'!D46=0,"",H46/'- 6 -'!D46)</f>
        <v>5379.1075794621029</v>
      </c>
    </row>
    <row r="47" spans="1:10" ht="5.0999999999999996" customHeight="1">
      <c r="A47" s="20"/>
      <c r="B47" s="21"/>
      <c r="C47"/>
      <c r="D47" s="21"/>
      <c r="E47" s="21"/>
      <c r="F47"/>
      <c r="G47" s="21"/>
      <c r="H47" s="21"/>
      <c r="I47"/>
      <c r="J47"/>
    </row>
    <row r="48" spans="1:10" ht="14.1" customHeight="1">
      <c r="A48" s="289" t="s">
        <v>146</v>
      </c>
      <c r="B48" s="290">
        <f>SUM(B11:B46)</f>
        <v>742459344.13</v>
      </c>
      <c r="C48" s="297">
        <f>B48/'- 3 -'!D48*100</f>
        <v>34.734016500789785</v>
      </c>
      <c r="D48" s="290">
        <f>B48/'- 6 -'!B48</f>
        <v>6112.0235489199804</v>
      </c>
      <c r="E48" s="290">
        <f>SUM(E11:E46)</f>
        <v>39806182</v>
      </c>
      <c r="F48" s="297">
        <f>E48/'- 3 -'!D48*100</f>
        <v>1.8622280039341139</v>
      </c>
      <c r="G48" s="290">
        <f>E48/'- 6 -'!C48</f>
        <v>7545.4804283954127</v>
      </c>
      <c r="H48" s="290">
        <f>SUM(H11:H46)</f>
        <v>57435971</v>
      </c>
      <c r="I48" s="297">
        <f>H48/'- 3 -'!D48*100</f>
        <v>2.68699152381275</v>
      </c>
      <c r="J48" s="290">
        <f>H48/'- 6 -'!D48</f>
        <v>5277.98876510843</v>
      </c>
    </row>
    <row r="49" spans="1:10" ht="5.0999999999999996" customHeight="1">
      <c r="A49" s="20" t="s">
        <v>8</v>
      </c>
      <c r="B49" s="21"/>
      <c r="C49"/>
      <c r="D49" s="21"/>
      <c r="E49" s="21"/>
      <c r="F49"/>
      <c r="I49"/>
      <c r="J49"/>
    </row>
    <row r="50" spans="1:10" ht="14.1" customHeight="1">
      <c r="A50" s="18" t="s">
        <v>147</v>
      </c>
      <c r="B50" s="19">
        <v>1639730</v>
      </c>
      <c r="C50" s="69">
        <f>B50/'- 3 -'!D50*100</f>
        <v>50.480769970817931</v>
      </c>
      <c r="D50" s="19">
        <f>B50/'- 6 -'!B50</f>
        <v>9854.1466346153848</v>
      </c>
      <c r="E50" s="19">
        <v>0</v>
      </c>
      <c r="F50" s="69">
        <f>E50/'- 3 -'!D50*100</f>
        <v>0</v>
      </c>
      <c r="G50" s="19" t="str">
        <f>IF('- 6 -'!C50=0,"",E50/'- 6 -'!C50)</f>
        <v/>
      </c>
      <c r="H50" s="19">
        <v>0</v>
      </c>
      <c r="I50" s="69">
        <f>H50/'- 3 -'!D50*100</f>
        <v>0</v>
      </c>
      <c r="J50" s="19" t="str">
        <f>IF('- 6 -'!D50=0,"",H50/'- 6 -'!D50)</f>
        <v/>
      </c>
    </row>
    <row r="51" spans="1:10" ht="14.1" customHeight="1">
      <c r="A51" s="287" t="s">
        <v>643</v>
      </c>
      <c r="B51" s="288">
        <v>159680</v>
      </c>
      <c r="C51" s="294">
        <f>B51/'- 3 -'!D51*100</f>
        <v>0.71616830224203998</v>
      </c>
      <c r="D51" s="288">
        <f>B51/'- 6 -'!B51</f>
        <v>2187.3972602739727</v>
      </c>
      <c r="E51" s="288">
        <v>0</v>
      </c>
      <c r="F51" s="294">
        <f>E51/'- 3 -'!D51*100</f>
        <v>0</v>
      </c>
      <c r="G51" s="288" t="str">
        <f>IF('- 6 -'!C51=0,"",E51/'- 6 -'!C51)</f>
        <v/>
      </c>
      <c r="H51" s="288">
        <v>0</v>
      </c>
      <c r="I51" s="294">
        <f>H51/'- 3 -'!D51*100</f>
        <v>0</v>
      </c>
      <c r="J51" s="288" t="str">
        <f>IF('- 6 -'!D51=0,"",H51/'- 6 -'!D51)</f>
        <v/>
      </c>
    </row>
    <row r="52" spans="1:10" ht="50.1" customHeight="1">
      <c r="A52" s="22"/>
      <c r="B52" s="22"/>
      <c r="C52" s="22"/>
      <c r="D52" s="22"/>
      <c r="E52" s="22"/>
      <c r="F52" s="22"/>
      <c r="G52" s="22"/>
      <c r="H52" s="107"/>
      <c r="I52" s="107"/>
      <c r="J52" s="107"/>
    </row>
    <row r="53" spans="1:10" ht="15" customHeight="1">
      <c r="A53" s="84" t="s">
        <v>348</v>
      </c>
      <c r="B53" s="84"/>
      <c r="C53" s="84"/>
      <c r="D53" s="84"/>
      <c r="E53" s="84"/>
      <c r="F53" s="84"/>
      <c r="G53" s="84"/>
      <c r="I53" s="84"/>
      <c r="J53" s="84"/>
    </row>
  </sheetData>
  <mergeCells count="6">
    <mergeCell ref="B7:D7"/>
    <mergeCell ref="E7:G7"/>
    <mergeCell ref="H7:J7"/>
    <mergeCell ref="D8:D9"/>
    <mergeCell ref="G8:G9"/>
    <mergeCell ref="J8:J9"/>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16.xml><?xml version="1.0" encoding="utf-8"?>
<worksheet xmlns="http://schemas.openxmlformats.org/spreadsheetml/2006/main" xmlns:r="http://schemas.openxmlformats.org/officeDocument/2006/relationships">
  <sheetPr codeName="Sheet15">
    <pageSetUpPr fitToPage="1"/>
  </sheetPr>
  <dimension ref="A1:J53"/>
  <sheetViews>
    <sheetView showGridLines="0" showZeros="0" workbookViewId="0"/>
  </sheetViews>
  <sheetFormatPr defaultColWidth="15.83203125" defaultRowHeight="12"/>
  <cols>
    <col min="1" max="1" width="31.83203125" style="1" customWidth="1"/>
    <col min="2" max="2" width="14.83203125" style="1" customWidth="1"/>
    <col min="3" max="3" width="7.83203125" style="1" customWidth="1"/>
    <col min="4" max="4" width="9.83203125" style="1" customWidth="1"/>
    <col min="5" max="5" width="10.83203125" style="1" customWidth="1"/>
    <col min="6" max="7" width="13.83203125" style="1" customWidth="1"/>
    <col min="8" max="8" width="15.83203125" style="1" customWidth="1"/>
    <col min="9" max="9" width="13.83203125" style="1" customWidth="1"/>
    <col min="10" max="16384" width="15.83203125" style="1"/>
  </cols>
  <sheetData>
    <row r="1" spans="1:9" ht="6.95" customHeight="1">
      <c r="A1" s="6"/>
      <c r="B1" s="88"/>
      <c r="C1" s="88"/>
      <c r="D1" s="88"/>
      <c r="E1" s="88"/>
      <c r="F1" s="88"/>
      <c r="G1" s="88"/>
      <c r="H1" s="88"/>
      <c r="I1" s="88"/>
    </row>
    <row r="2" spans="1:9" ht="15.95" customHeight="1">
      <c r="A2" s="133"/>
      <c r="B2" s="89" t="s">
        <v>266</v>
      </c>
      <c r="C2" s="90"/>
      <c r="D2" s="90"/>
      <c r="E2" s="90"/>
      <c r="F2" s="90"/>
      <c r="G2" s="90"/>
      <c r="H2" s="184"/>
      <c r="I2" s="398" t="s">
        <v>420</v>
      </c>
    </row>
    <row r="3" spans="1:9" ht="15.95" customHeight="1">
      <c r="A3" s="546"/>
      <c r="B3" s="73" t="str">
        <f>OPYEAR</f>
        <v>OPERATING FUND 2014/2015 ACTUAL</v>
      </c>
      <c r="C3" s="93"/>
      <c r="D3" s="93"/>
      <c r="E3" s="93"/>
      <c r="F3" s="93"/>
      <c r="G3" s="93"/>
      <c r="H3" s="185"/>
      <c r="I3" s="186"/>
    </row>
    <row r="4" spans="1:9" ht="15.95" customHeight="1">
      <c r="B4" s="88"/>
      <c r="C4" s="88"/>
      <c r="D4" s="88"/>
      <c r="E4" s="88"/>
      <c r="F4" s="88"/>
      <c r="G4" s="88"/>
      <c r="H4" s="88"/>
      <c r="I4" s="88"/>
    </row>
    <row r="5" spans="1:9" ht="15.95" customHeight="1">
      <c r="B5" s="187" t="s">
        <v>14</v>
      </c>
      <c r="C5" s="188"/>
      <c r="D5" s="188"/>
      <c r="E5" s="188"/>
      <c r="F5" s="188"/>
      <c r="G5" s="188"/>
      <c r="H5" s="188"/>
      <c r="I5" s="189"/>
    </row>
    <row r="6" spans="1:9" ht="15.95" customHeight="1">
      <c r="B6" s="331" t="s">
        <v>248</v>
      </c>
      <c r="C6" s="332"/>
      <c r="D6" s="332"/>
      <c r="E6" s="332"/>
      <c r="F6" s="332"/>
      <c r="G6" s="332"/>
      <c r="H6" s="332"/>
      <c r="I6" s="333"/>
    </row>
    <row r="7" spans="1:9" ht="15.95" customHeight="1">
      <c r="B7" s="178"/>
      <c r="C7" s="190"/>
      <c r="D7" s="190"/>
      <c r="E7" s="646" t="s">
        <v>505</v>
      </c>
      <c r="F7" s="649" t="s">
        <v>84</v>
      </c>
      <c r="G7" s="650"/>
      <c r="H7" s="650"/>
      <c r="I7" s="651"/>
    </row>
    <row r="8" spans="1:9" ht="15.95" customHeight="1">
      <c r="A8" s="66"/>
      <c r="B8" s="191"/>
      <c r="C8" s="191"/>
      <c r="D8" s="644" t="s">
        <v>331</v>
      </c>
      <c r="E8" s="647"/>
      <c r="F8" s="191"/>
      <c r="G8" s="192"/>
      <c r="H8" s="652" t="s">
        <v>23</v>
      </c>
      <c r="I8" s="191"/>
    </row>
    <row r="9" spans="1:9" ht="15.95" customHeight="1">
      <c r="A9" s="34" t="s">
        <v>43</v>
      </c>
      <c r="B9" s="100" t="s">
        <v>44</v>
      </c>
      <c r="C9" s="100" t="s">
        <v>45</v>
      </c>
      <c r="D9" s="645"/>
      <c r="E9" s="648"/>
      <c r="F9" s="100" t="s">
        <v>39</v>
      </c>
      <c r="G9" s="193" t="s">
        <v>22</v>
      </c>
      <c r="H9" s="653"/>
      <c r="I9" s="100" t="s">
        <v>25</v>
      </c>
    </row>
    <row r="10" spans="1:9" ht="5.0999999999999996" customHeight="1">
      <c r="A10" s="5"/>
      <c r="B10" s="84"/>
      <c r="C10" s="84"/>
      <c r="D10" s="84"/>
      <c r="E10" s="84"/>
      <c r="F10" s="84"/>
      <c r="G10" s="84"/>
      <c r="H10" s="84"/>
      <c r="I10" s="84"/>
    </row>
    <row r="11" spans="1:9" ht="14.1" customHeight="1">
      <c r="A11" s="334" t="s">
        <v>111</v>
      </c>
      <c r="B11" s="288">
        <v>0</v>
      </c>
      <c r="C11" s="294">
        <f>B11/'- 3 -'!D11*100</f>
        <v>0</v>
      </c>
      <c r="D11" s="335" t="str">
        <f>IF(E11=0,"",B11/E11)</f>
        <v/>
      </c>
      <c r="E11" s="336">
        <f>SUM('- 6 -'!E11:H11)</f>
        <v>0</v>
      </c>
      <c r="F11" s="294" t="str">
        <f>IF(E11=0,"",'- 6 -'!E11/E11*100)</f>
        <v/>
      </c>
      <c r="G11" s="294" t="str">
        <f>IF(E11=0,"",'- 6 -'!F11/E11*100)</f>
        <v/>
      </c>
      <c r="H11" s="294" t="str">
        <f>IF(E11=0,"",'- 6 -'!G11/E11*100)</f>
        <v/>
      </c>
      <c r="I11" s="294" t="str">
        <f>IF(E11=0,"",'- 6 -'!H11/E11*100)</f>
        <v/>
      </c>
    </row>
    <row r="12" spans="1:9" ht="14.1" customHeight="1">
      <c r="A12" s="18" t="s">
        <v>112</v>
      </c>
      <c r="B12" s="19">
        <v>0</v>
      </c>
      <c r="C12" s="69">
        <f>B12/'- 3 -'!D12*100</f>
        <v>0</v>
      </c>
      <c r="D12" s="194" t="str">
        <f t="shared" ref="D12:D46" si="0">IF(E12=0,"",B12/E12)</f>
        <v/>
      </c>
      <c r="E12" s="195">
        <f>SUM('- 6 -'!E12:H12)</f>
        <v>0</v>
      </c>
      <c r="F12" s="69" t="str">
        <f>IF(E12=0,"",'- 6 -'!E12/E12*100)</f>
        <v/>
      </c>
      <c r="G12" s="69" t="str">
        <f>IF(E12=0,"",'- 6 -'!F12/E12*100)</f>
        <v/>
      </c>
      <c r="H12" s="69" t="str">
        <f>IF(E12=0,"",'- 6 -'!G12/E12*100)</f>
        <v/>
      </c>
      <c r="I12" s="69" t="str">
        <f>IF(E12=0,"",'- 6 -'!H12/E12*100)</f>
        <v/>
      </c>
    </row>
    <row r="13" spans="1:9" ht="14.1" customHeight="1">
      <c r="A13" s="334" t="s">
        <v>113</v>
      </c>
      <c r="B13" s="288">
        <v>6368138</v>
      </c>
      <c r="C13" s="294">
        <f>B13/'- 3 -'!D13*100</f>
        <v>7.3625983415389795</v>
      </c>
      <c r="D13" s="335">
        <f t="shared" si="0"/>
        <v>4351.3071404168086</v>
      </c>
      <c r="E13" s="336">
        <f>SUM('- 6 -'!E13:H13)</f>
        <v>1463.5</v>
      </c>
      <c r="F13" s="294">
        <f>IF(E13=0,"",'- 6 -'!E13/E13*100)</f>
        <v>73.419883840109321</v>
      </c>
      <c r="G13" s="294">
        <f>IF(E13=0,"",'- 6 -'!F13/E13*100)</f>
        <v>0</v>
      </c>
      <c r="H13" s="294">
        <f>IF(E13=0,"",'- 6 -'!G13/E13*100)</f>
        <v>26.580116159890672</v>
      </c>
      <c r="I13" s="294">
        <f>IF(E13=0,"",'- 6 -'!H13/E13*100)</f>
        <v>0</v>
      </c>
    </row>
    <row r="14" spans="1:9" ht="14.1" customHeight="1">
      <c r="A14" s="18" t="s">
        <v>365</v>
      </c>
      <c r="B14" s="19">
        <v>0</v>
      </c>
      <c r="C14" s="69">
        <f>B14/'- 3 -'!D14*100</f>
        <v>0</v>
      </c>
      <c r="D14" s="194" t="str">
        <f t="shared" si="0"/>
        <v/>
      </c>
      <c r="E14" s="195">
        <f>SUM('- 6 -'!E14:H14)</f>
        <v>0</v>
      </c>
      <c r="F14" s="69" t="str">
        <f>IF(E14=0,"",'- 6 -'!E14/E14*100)</f>
        <v/>
      </c>
      <c r="G14" s="69" t="str">
        <f>IF(E14=0,"",'- 6 -'!F14/E14*100)</f>
        <v/>
      </c>
      <c r="H14" s="69" t="str">
        <f>IF(E14=0,"",'- 6 -'!G14/E14*100)</f>
        <v/>
      </c>
      <c r="I14" s="69" t="str">
        <f>IF(E14=0,"",'- 6 -'!H14/E14*100)</f>
        <v/>
      </c>
    </row>
    <row r="15" spans="1:9" ht="14.1" customHeight="1">
      <c r="A15" s="334" t="s">
        <v>114</v>
      </c>
      <c r="B15" s="288">
        <v>0</v>
      </c>
      <c r="C15" s="294">
        <f>B15/'- 3 -'!D15*100</f>
        <v>0</v>
      </c>
      <c r="D15" s="335" t="str">
        <f t="shared" si="0"/>
        <v/>
      </c>
      <c r="E15" s="336">
        <f>SUM('- 6 -'!E15:H15)</f>
        <v>0</v>
      </c>
      <c r="F15" s="294" t="str">
        <f>IF(E15=0,"",'- 6 -'!E15/E15*100)</f>
        <v/>
      </c>
      <c r="G15" s="294" t="str">
        <f>IF(E15=0,"",'- 6 -'!F15/E15*100)</f>
        <v/>
      </c>
      <c r="H15" s="294" t="str">
        <f>IF(E15=0,"",'- 6 -'!G15/E15*100)</f>
        <v/>
      </c>
      <c r="I15" s="294" t="str">
        <f>IF(E15=0,"",'- 6 -'!H15/E15*100)</f>
        <v/>
      </c>
    </row>
    <row r="16" spans="1:9" ht="14.1" customHeight="1">
      <c r="A16" s="18" t="s">
        <v>115</v>
      </c>
      <c r="B16" s="19">
        <v>2176689</v>
      </c>
      <c r="C16" s="69">
        <f>B16/'- 3 -'!D16*100</f>
        <v>15.985802109502012</v>
      </c>
      <c r="D16" s="194">
        <f t="shared" si="0"/>
        <v>5789.0664893617022</v>
      </c>
      <c r="E16" s="195">
        <f>SUM('- 6 -'!E16:H16)</f>
        <v>376</v>
      </c>
      <c r="F16" s="69">
        <f>IF(E16=0,"",'- 6 -'!E16/E16*100)</f>
        <v>73.271276595744681</v>
      </c>
      <c r="G16" s="69">
        <f>IF(E16=0,"",'- 6 -'!F16/E16*100)</f>
        <v>0</v>
      </c>
      <c r="H16" s="69">
        <f>IF(E16=0,"",'- 6 -'!G16/E16*100)</f>
        <v>26.728723404255316</v>
      </c>
      <c r="I16" s="69">
        <f>IF(E16=0,"",'- 6 -'!H16/E16*100)</f>
        <v>0</v>
      </c>
    </row>
    <row r="17" spans="1:9" ht="14.1" customHeight="1">
      <c r="A17" s="334" t="s">
        <v>116</v>
      </c>
      <c r="B17" s="288">
        <v>0</v>
      </c>
      <c r="C17" s="294">
        <f>B17/'- 3 -'!D17*100</f>
        <v>0</v>
      </c>
      <c r="D17" s="335" t="str">
        <f t="shared" si="0"/>
        <v/>
      </c>
      <c r="E17" s="336">
        <f>SUM('- 6 -'!E17:H17)</f>
        <v>0</v>
      </c>
      <c r="F17" s="294" t="str">
        <f>IF(E17=0,"",'- 6 -'!E17/E17*100)</f>
        <v/>
      </c>
      <c r="G17" s="294" t="str">
        <f>IF(E17=0,"",'- 6 -'!F17/E17*100)</f>
        <v/>
      </c>
      <c r="H17" s="294" t="str">
        <f>IF(E17=0,"",'- 6 -'!G17/E17*100)</f>
        <v/>
      </c>
      <c r="I17" s="294" t="str">
        <f>IF(E17=0,"",'- 6 -'!H17/E17*100)</f>
        <v/>
      </c>
    </row>
    <row r="18" spans="1:9" ht="14.1" customHeight="1">
      <c r="A18" s="18" t="s">
        <v>117</v>
      </c>
      <c r="B18" s="19">
        <v>0</v>
      </c>
      <c r="C18" s="69">
        <f>B18/'- 3 -'!D18*100</f>
        <v>0</v>
      </c>
      <c r="D18" s="194" t="str">
        <f t="shared" si="0"/>
        <v/>
      </c>
      <c r="E18" s="195">
        <f>SUM('- 6 -'!E18:H18)</f>
        <v>0</v>
      </c>
      <c r="F18" s="69" t="str">
        <f>IF(E18=0,"",'- 6 -'!E18/E18*100)</f>
        <v/>
      </c>
      <c r="G18" s="69" t="str">
        <f>IF(E18=0,"",'- 6 -'!F18/E18*100)</f>
        <v/>
      </c>
      <c r="H18" s="69" t="str">
        <f>IF(E18=0,"",'- 6 -'!G18/E18*100)</f>
        <v/>
      </c>
      <c r="I18" s="69" t="str">
        <f>IF(E18=0,"",'- 6 -'!H18/E18*100)</f>
        <v/>
      </c>
    </row>
    <row r="19" spans="1:9" ht="14.1" customHeight="1">
      <c r="A19" s="334" t="s">
        <v>118</v>
      </c>
      <c r="B19" s="288">
        <v>0</v>
      </c>
      <c r="C19" s="294">
        <f>B19/'- 3 -'!D19*100</f>
        <v>0</v>
      </c>
      <c r="D19" s="335" t="str">
        <f t="shared" si="0"/>
        <v/>
      </c>
      <c r="E19" s="336">
        <f>SUM('- 6 -'!E19:H19)</f>
        <v>0</v>
      </c>
      <c r="F19" s="294" t="str">
        <f>IF(E19=0,"",'- 6 -'!E19/E19*100)</f>
        <v/>
      </c>
      <c r="G19" s="294" t="str">
        <f>IF(E19=0,"",'- 6 -'!F19/E19*100)</f>
        <v/>
      </c>
      <c r="H19" s="294" t="str">
        <f>IF(E19=0,"",'- 6 -'!G19/E19*100)</f>
        <v/>
      </c>
      <c r="I19" s="294" t="str">
        <f>IF(E19=0,"",'- 6 -'!H19/E19*100)</f>
        <v/>
      </c>
    </row>
    <row r="20" spans="1:9" ht="14.1" customHeight="1">
      <c r="A20" s="18" t="s">
        <v>119</v>
      </c>
      <c r="B20" s="19">
        <v>0</v>
      </c>
      <c r="C20" s="69">
        <f>B20/'- 3 -'!D20*100</f>
        <v>0</v>
      </c>
      <c r="D20" s="194" t="str">
        <f t="shared" si="0"/>
        <v/>
      </c>
      <c r="E20" s="195">
        <f>SUM('- 6 -'!E20:H20)</f>
        <v>0</v>
      </c>
      <c r="F20" s="69" t="str">
        <f>IF(E20=0,"",'- 6 -'!E20/E20*100)</f>
        <v/>
      </c>
      <c r="G20" s="69" t="str">
        <f>IF(E20=0,"",'- 6 -'!F20/E20*100)</f>
        <v/>
      </c>
      <c r="H20" s="69" t="str">
        <f>IF(E20=0,"",'- 6 -'!G20/E20*100)</f>
        <v/>
      </c>
      <c r="I20" s="69" t="str">
        <f>IF(E20=0,"",'- 6 -'!H20/E20*100)</f>
        <v/>
      </c>
    </row>
    <row r="21" spans="1:9" ht="14.1" customHeight="1">
      <c r="A21" s="334" t="s">
        <v>120</v>
      </c>
      <c r="B21" s="288">
        <v>3886961</v>
      </c>
      <c r="C21" s="294">
        <f>B21/'- 3 -'!D21*100</f>
        <v>11.165961579054596</v>
      </c>
      <c r="D21" s="335">
        <f t="shared" si="0"/>
        <v>6035.6537267080748</v>
      </c>
      <c r="E21" s="336">
        <f>SUM('- 6 -'!E21:H21)</f>
        <v>644</v>
      </c>
      <c r="F21" s="294">
        <f>IF(E21=0,"",'- 6 -'!E21/E21*100)</f>
        <v>72.127329192546583</v>
      </c>
      <c r="G21" s="294">
        <f>IF(E21=0,"",'- 6 -'!F21/E21*100)</f>
        <v>0</v>
      </c>
      <c r="H21" s="294">
        <f>IF(E21=0,"",'- 6 -'!G21/E21*100)</f>
        <v>27.872670807453414</v>
      </c>
      <c r="I21" s="294">
        <f>IF(E21=0,"",'- 6 -'!H21/E21*100)</f>
        <v>0</v>
      </c>
    </row>
    <row r="22" spans="1:9" ht="14.1" customHeight="1">
      <c r="A22" s="18" t="s">
        <v>121</v>
      </c>
      <c r="B22" s="19">
        <v>3903520</v>
      </c>
      <c r="C22" s="69">
        <f>B22/'- 3 -'!D22*100</f>
        <v>20.083247683492726</v>
      </c>
      <c r="D22" s="194">
        <f t="shared" si="0"/>
        <v>6099.25</v>
      </c>
      <c r="E22" s="195">
        <f>SUM('- 6 -'!E22:H22)</f>
        <v>640</v>
      </c>
      <c r="F22" s="69">
        <f>IF(E22=0,"",'- 6 -'!E22/E22*100)</f>
        <v>76.171875</v>
      </c>
      <c r="G22" s="69">
        <f>IF(E22=0,"",'- 6 -'!F22/E22*100)</f>
        <v>0</v>
      </c>
      <c r="H22" s="69">
        <f>IF(E22=0,"",'- 6 -'!G22/E22*100)</f>
        <v>23.828125</v>
      </c>
      <c r="I22" s="69">
        <f>IF(E22=0,"",'- 6 -'!H22/E22*100)</f>
        <v>0</v>
      </c>
    </row>
    <row r="23" spans="1:9" ht="14.1" customHeight="1">
      <c r="A23" s="334" t="s">
        <v>122</v>
      </c>
      <c r="B23" s="288">
        <v>0</v>
      </c>
      <c r="C23" s="294">
        <f>B23/'- 3 -'!D23*100</f>
        <v>0</v>
      </c>
      <c r="D23" s="335" t="str">
        <f t="shared" si="0"/>
        <v/>
      </c>
      <c r="E23" s="336">
        <f>SUM('- 6 -'!E23:H23)</f>
        <v>0</v>
      </c>
      <c r="F23" s="294" t="str">
        <f>IF(E23=0,"",'- 6 -'!E23/E23*100)</f>
        <v/>
      </c>
      <c r="G23" s="294" t="str">
        <f>IF(E23=0,"",'- 6 -'!F23/E23*100)</f>
        <v/>
      </c>
      <c r="H23" s="294" t="str">
        <f>IF(E23=0,"",'- 6 -'!G23/E23*100)</f>
        <v/>
      </c>
      <c r="I23" s="294" t="str">
        <f>IF(E23=0,"",'- 6 -'!H23/E23*100)</f>
        <v/>
      </c>
    </row>
    <row r="24" spans="1:9" ht="14.1" customHeight="1">
      <c r="A24" s="18" t="s">
        <v>123</v>
      </c>
      <c r="B24" s="19">
        <v>4024742</v>
      </c>
      <c r="C24" s="69">
        <f>B24/'- 3 -'!D24*100</f>
        <v>7.422736485977441</v>
      </c>
      <c r="D24" s="194">
        <f t="shared" si="0"/>
        <v>6318.276295133438</v>
      </c>
      <c r="E24" s="195">
        <f>SUM('- 6 -'!E24:H24)</f>
        <v>637</v>
      </c>
      <c r="F24" s="69">
        <f>IF(E24=0,"",'- 6 -'!E24/E24*100)</f>
        <v>71.036106750392463</v>
      </c>
      <c r="G24" s="69">
        <f>IF(E24=0,"",'- 6 -'!F24/E24*100)</f>
        <v>0</v>
      </c>
      <c r="H24" s="69">
        <f>IF(E24=0,"",'- 6 -'!G24/E24*100)</f>
        <v>18.524332810047095</v>
      </c>
      <c r="I24" s="69">
        <f>IF(E24=0,"",'- 6 -'!H24/E24*100)</f>
        <v>10.43956043956044</v>
      </c>
    </row>
    <row r="25" spans="1:9" ht="14.1" customHeight="1">
      <c r="A25" s="334" t="s">
        <v>124</v>
      </c>
      <c r="B25" s="288">
        <v>0</v>
      </c>
      <c r="C25" s="294">
        <f>B25/'- 3 -'!D25*100</f>
        <v>0</v>
      </c>
      <c r="D25" s="335" t="str">
        <f t="shared" si="0"/>
        <v/>
      </c>
      <c r="E25" s="336">
        <f>SUM('- 6 -'!E25:H25)</f>
        <v>0</v>
      </c>
      <c r="F25" s="294" t="str">
        <f>IF(E25=0,"",'- 6 -'!E25/E25*100)</f>
        <v/>
      </c>
      <c r="G25" s="294" t="str">
        <f>IF(E25=0,"",'- 6 -'!F25/E25*100)</f>
        <v/>
      </c>
      <c r="H25" s="294" t="str">
        <f>IF(E25=0,"",'- 6 -'!G25/E25*100)</f>
        <v/>
      </c>
      <c r="I25" s="294" t="str">
        <f>IF(E25=0,"",'- 6 -'!H25/E25*100)</f>
        <v/>
      </c>
    </row>
    <row r="26" spans="1:9" ht="14.1" customHeight="1">
      <c r="A26" s="18" t="s">
        <v>125</v>
      </c>
      <c r="B26" s="19">
        <v>1575137</v>
      </c>
      <c r="C26" s="69">
        <f>B26/'- 3 -'!D26*100</f>
        <v>4.0487767562952746</v>
      </c>
      <c r="D26" s="194">
        <f t="shared" si="0"/>
        <v>4869.0479134466768</v>
      </c>
      <c r="E26" s="195">
        <f>SUM('- 6 -'!E26:H26)</f>
        <v>323.5</v>
      </c>
      <c r="F26" s="69">
        <f>IF(E26=0,"",'- 6 -'!E26/E26*100)</f>
        <v>65.533230293663053</v>
      </c>
      <c r="G26" s="69">
        <f>IF(E26=0,"",'- 6 -'!F26/E26*100)</f>
        <v>0</v>
      </c>
      <c r="H26" s="69">
        <f>IF(E26=0,"",'- 6 -'!G26/E26*100)</f>
        <v>10.819165378670787</v>
      </c>
      <c r="I26" s="69">
        <f>IF(E26=0,"",'- 6 -'!H26/E26*100)</f>
        <v>23.647604327666151</v>
      </c>
    </row>
    <row r="27" spans="1:9" ht="14.1" customHeight="1">
      <c r="A27" s="334" t="s">
        <v>126</v>
      </c>
      <c r="B27" s="288">
        <v>2179966</v>
      </c>
      <c r="C27" s="294">
        <f>B27/'- 3 -'!D27*100</f>
        <v>5.5825509680127903</v>
      </c>
      <c r="D27" s="335">
        <f t="shared" si="0"/>
        <v>6833.7492163009401</v>
      </c>
      <c r="E27" s="336">
        <f>SUM('- 6 -'!E27:H27)</f>
        <v>319</v>
      </c>
      <c r="F27" s="294">
        <f>IF(E27=0,"",'- 6 -'!E27/E27*100)</f>
        <v>36.363636363636367</v>
      </c>
      <c r="G27" s="294">
        <f>IF(E27=0,"",'- 6 -'!F27/E27*100)</f>
        <v>0</v>
      </c>
      <c r="H27" s="294">
        <f>IF(E27=0,"",'- 6 -'!G27/E27*100)</f>
        <v>63.636363636363633</v>
      </c>
      <c r="I27" s="294">
        <f>IF(E27=0,"",'- 6 -'!H27/E27*100)</f>
        <v>0</v>
      </c>
    </row>
    <row r="28" spans="1:9" ht="14.1" customHeight="1">
      <c r="A28" s="18" t="s">
        <v>127</v>
      </c>
      <c r="B28" s="19">
        <v>0</v>
      </c>
      <c r="C28" s="69">
        <f>B28/'- 3 -'!D28*100</f>
        <v>0</v>
      </c>
      <c r="D28" s="194" t="str">
        <f t="shared" si="0"/>
        <v/>
      </c>
      <c r="E28" s="195">
        <f>SUM('- 6 -'!E28:H28)</f>
        <v>0</v>
      </c>
      <c r="F28" s="69" t="str">
        <f>IF(E28=0,"",'- 6 -'!E28/E28*100)</f>
        <v/>
      </c>
      <c r="G28" s="69" t="str">
        <f>IF(E28=0,"",'- 6 -'!F28/E28*100)</f>
        <v/>
      </c>
      <c r="H28" s="69" t="str">
        <f>IF(E28=0,"",'- 6 -'!G28/E28*100)</f>
        <v/>
      </c>
      <c r="I28" s="69" t="str">
        <f>IF(E28=0,"",'- 6 -'!H28/E28*100)</f>
        <v/>
      </c>
    </row>
    <row r="29" spans="1:9" ht="14.1" customHeight="1">
      <c r="A29" s="334" t="s">
        <v>128</v>
      </c>
      <c r="B29" s="288">
        <v>18649958</v>
      </c>
      <c r="C29" s="294">
        <f>B29/'- 3 -'!D29*100</f>
        <v>12.784123062261033</v>
      </c>
      <c r="D29" s="335">
        <f t="shared" si="0"/>
        <v>5520.6790598543603</v>
      </c>
      <c r="E29" s="336">
        <f>SUM('- 6 -'!E29:H29)</f>
        <v>3378.2</v>
      </c>
      <c r="F29" s="294">
        <f>IF(E29=0,"",'- 6 -'!E29/E29*100)</f>
        <v>65.780593215321773</v>
      </c>
      <c r="G29" s="294">
        <f>IF(E29=0,"",'- 6 -'!F29/E29*100)</f>
        <v>0</v>
      </c>
      <c r="H29" s="294">
        <f>IF(E29=0,"",'- 6 -'!G29/E29*100)</f>
        <v>34.219406784678227</v>
      </c>
      <c r="I29" s="294">
        <f>IF(E29=0,"",'- 6 -'!H29/E29*100)</f>
        <v>0</v>
      </c>
    </row>
    <row r="30" spans="1:9" ht="14.1" customHeight="1">
      <c r="A30" s="18" t="s">
        <v>129</v>
      </c>
      <c r="B30" s="19">
        <v>0</v>
      </c>
      <c r="C30" s="69">
        <f>B30/'- 3 -'!D30*100</f>
        <v>0</v>
      </c>
      <c r="D30" s="194" t="str">
        <f t="shared" si="0"/>
        <v/>
      </c>
      <c r="E30" s="195">
        <f>SUM('- 6 -'!E30:H30)</f>
        <v>0</v>
      </c>
      <c r="F30" s="69" t="str">
        <f>IF(E30=0,"",'- 6 -'!E30/E30*100)</f>
        <v/>
      </c>
      <c r="G30" s="69" t="str">
        <f>IF(E30=0,"",'- 6 -'!F30/E30*100)</f>
        <v/>
      </c>
      <c r="H30" s="69" t="str">
        <f>IF(E30=0,"",'- 6 -'!G30/E30*100)</f>
        <v/>
      </c>
      <c r="I30" s="69" t="str">
        <f>IF(E30=0,"",'- 6 -'!H30/E30*100)</f>
        <v/>
      </c>
    </row>
    <row r="31" spans="1:9" ht="14.1" customHeight="1">
      <c r="A31" s="334" t="s">
        <v>130</v>
      </c>
      <c r="B31" s="288">
        <v>3136143</v>
      </c>
      <c r="C31" s="294">
        <f>B31/'- 3 -'!D31*100</f>
        <v>8.8715624086381766</v>
      </c>
      <c r="D31" s="335">
        <f t="shared" si="0"/>
        <v>4349.7128987517335</v>
      </c>
      <c r="E31" s="336">
        <f>SUM('- 6 -'!E31:H31)</f>
        <v>721</v>
      </c>
      <c r="F31" s="294">
        <f>IF(E31=0,"",'- 6 -'!E31/E31*100)</f>
        <v>62.968099861303749</v>
      </c>
      <c r="G31" s="294">
        <f>IF(E31=0,"",'- 6 -'!F31/E31*100)</f>
        <v>0</v>
      </c>
      <c r="H31" s="294">
        <f>IF(E31=0,"",'- 6 -'!G31/E31*100)</f>
        <v>37.031900138696258</v>
      </c>
      <c r="I31" s="294">
        <f>IF(E31=0,"",'- 6 -'!H31/E31*100)</f>
        <v>0</v>
      </c>
    </row>
    <row r="32" spans="1:9" ht="14.1" customHeight="1">
      <c r="A32" s="18" t="s">
        <v>131</v>
      </c>
      <c r="B32" s="19">
        <v>1292218</v>
      </c>
      <c r="C32" s="69">
        <f>B32/'- 3 -'!D32*100</f>
        <v>4.8937454358468715</v>
      </c>
      <c r="D32" s="194">
        <f t="shared" si="0"/>
        <v>7300.666666666667</v>
      </c>
      <c r="E32" s="195">
        <f>SUM('- 6 -'!E32:H32)</f>
        <v>177</v>
      </c>
      <c r="F32" s="69">
        <f>IF(E32=0,"",'- 6 -'!E32/E32*100)</f>
        <v>70.056497175141246</v>
      </c>
      <c r="G32" s="69">
        <f>IF(E32=0,"",'- 6 -'!F32/E32*100)</f>
        <v>0</v>
      </c>
      <c r="H32" s="69">
        <f>IF(E32=0,"",'- 6 -'!G32/E32*100)</f>
        <v>29.943502824858758</v>
      </c>
      <c r="I32" s="69">
        <f>IF(E32=0,"",'- 6 -'!H32/E32*100)</f>
        <v>0</v>
      </c>
    </row>
    <row r="33" spans="1:10" ht="14.1" customHeight="1">
      <c r="A33" s="334" t="s">
        <v>132</v>
      </c>
      <c r="B33" s="288">
        <v>2746801</v>
      </c>
      <c r="C33" s="294">
        <f>B33/'- 3 -'!D33*100</f>
        <v>10.423152991248015</v>
      </c>
      <c r="D33" s="335">
        <f t="shared" si="0"/>
        <v>6256.9498861047832</v>
      </c>
      <c r="E33" s="336">
        <f>SUM('- 6 -'!E33:H33)</f>
        <v>439</v>
      </c>
      <c r="F33" s="294">
        <f>IF(E33=0,"",'- 6 -'!E33/E33*100)</f>
        <v>59.681093394077443</v>
      </c>
      <c r="G33" s="294">
        <f>IF(E33=0,"",'- 6 -'!F33/E33*100)</f>
        <v>22.892938496583142</v>
      </c>
      <c r="H33" s="294">
        <f>IF(E33=0,"",'- 6 -'!G33/E33*100)</f>
        <v>17.425968109339408</v>
      </c>
      <c r="I33" s="294">
        <f>IF(E33=0,"",'- 6 -'!H33/E33*100)</f>
        <v>0</v>
      </c>
    </row>
    <row r="34" spans="1:10" ht="14.1" customHeight="1">
      <c r="A34" s="18" t="s">
        <v>133</v>
      </c>
      <c r="B34" s="19">
        <v>1241094</v>
      </c>
      <c r="C34" s="69">
        <f>B34/'- 3 -'!D34*100</f>
        <v>4.682081153824897</v>
      </c>
      <c r="D34" s="194">
        <f t="shared" si="0"/>
        <v>6875.86703601108</v>
      </c>
      <c r="E34" s="195">
        <f>SUM('- 6 -'!E34:H34)</f>
        <v>180.5</v>
      </c>
      <c r="F34" s="69">
        <f>IF(E34=0,"",'- 6 -'!E34/E34*100)</f>
        <v>31.024930747922436</v>
      </c>
      <c r="G34" s="69">
        <f>IF(E34=0,"",'- 6 -'!F34/E34*100)</f>
        <v>68.97506925207756</v>
      </c>
      <c r="H34" s="69">
        <f>IF(E34=0,"",'- 6 -'!G34/E34*100)</f>
        <v>0</v>
      </c>
      <c r="I34" s="69">
        <f>IF(E34=0,"",'- 6 -'!H34/E34*100)</f>
        <v>0</v>
      </c>
    </row>
    <row r="35" spans="1:10" ht="14.1" customHeight="1">
      <c r="A35" s="334" t="s">
        <v>134</v>
      </c>
      <c r="B35" s="288">
        <v>25084324</v>
      </c>
      <c r="C35" s="294">
        <f>B35/'- 3 -'!D35*100</f>
        <v>14.354162091875452</v>
      </c>
      <c r="D35" s="335">
        <f t="shared" si="0"/>
        <v>5564.4019520851816</v>
      </c>
      <c r="E35" s="336">
        <f>SUM('- 6 -'!E35:H35)</f>
        <v>4508</v>
      </c>
      <c r="F35" s="294">
        <f>IF(E35=0,"",'- 6 -'!E35/E35*100)</f>
        <v>55.146406388642411</v>
      </c>
      <c r="G35" s="294">
        <f>IF(E35=0,"",'- 6 -'!F35/E35*100)</f>
        <v>0</v>
      </c>
      <c r="H35" s="294">
        <f>IF(E35=0,"",'- 6 -'!G35/E35*100)</f>
        <v>36.767968056787929</v>
      </c>
      <c r="I35" s="294">
        <f>IF(E35=0,"",'- 6 -'!H35/E35*100)</f>
        <v>8.0856255545696545</v>
      </c>
    </row>
    <row r="36" spans="1:10" ht="14.1" customHeight="1">
      <c r="A36" s="18" t="s">
        <v>135</v>
      </c>
      <c r="B36" s="19">
        <v>0</v>
      </c>
      <c r="C36" s="69">
        <f>B36/'- 3 -'!D36*100</f>
        <v>0</v>
      </c>
      <c r="D36" s="194" t="str">
        <f t="shared" si="0"/>
        <v/>
      </c>
      <c r="E36" s="195">
        <f>SUM('- 6 -'!E36:H36)</f>
        <v>0</v>
      </c>
      <c r="F36" s="69" t="str">
        <f>IF(E36=0,"",'- 6 -'!E36/E36*100)</f>
        <v/>
      </c>
      <c r="G36" s="69" t="str">
        <f>IF(E36=0,"",'- 6 -'!F36/E36*100)</f>
        <v/>
      </c>
      <c r="H36" s="69" t="str">
        <f>IF(E36=0,"",'- 6 -'!G36/E36*100)</f>
        <v/>
      </c>
      <c r="I36" s="69" t="str">
        <f>IF(E36=0,"",'- 6 -'!H36/E36*100)</f>
        <v/>
      </c>
    </row>
    <row r="37" spans="1:10" ht="14.1" customHeight="1">
      <c r="A37" s="334" t="s">
        <v>136</v>
      </c>
      <c r="B37" s="288">
        <v>6645351</v>
      </c>
      <c r="C37" s="294">
        <f>B37/'- 3 -'!D37*100</f>
        <v>14.743331817886141</v>
      </c>
      <c r="D37" s="335">
        <f t="shared" si="0"/>
        <v>5492.0256198347106</v>
      </c>
      <c r="E37" s="336">
        <f>SUM('- 6 -'!E37:H37)</f>
        <v>1210</v>
      </c>
      <c r="F37" s="294">
        <f>IF(E37=0,"",'- 6 -'!E37/E37*100)</f>
        <v>60.950413223140501</v>
      </c>
      <c r="G37" s="294">
        <f>IF(E37=0,"",'- 6 -'!F37/E37*100)</f>
        <v>0</v>
      </c>
      <c r="H37" s="294">
        <f>IF(E37=0,"",'- 6 -'!G37/E37*100)</f>
        <v>39.049586776859499</v>
      </c>
      <c r="I37" s="294">
        <f>IF(E37=0,"",'- 6 -'!H37/E37*100)</f>
        <v>0</v>
      </c>
    </row>
    <row r="38" spans="1:10" ht="14.1" customHeight="1">
      <c r="A38" s="18" t="s">
        <v>137</v>
      </c>
      <c r="B38" s="19">
        <v>23488065</v>
      </c>
      <c r="C38" s="69">
        <f>B38/'- 3 -'!D38*100</f>
        <v>19.244187448878673</v>
      </c>
      <c r="D38" s="194">
        <f t="shared" si="0"/>
        <v>5394.7185282160826</v>
      </c>
      <c r="E38" s="195">
        <f>SUM('- 6 -'!E38:H38)</f>
        <v>4353.8999999999996</v>
      </c>
      <c r="F38" s="69">
        <f>IF(E38=0,"",'- 6 -'!E38/E38*100)</f>
        <v>69.556030225774606</v>
      </c>
      <c r="G38" s="69">
        <f>IF(E38=0,"",'- 6 -'!F38/E38*100)</f>
        <v>0</v>
      </c>
      <c r="H38" s="69">
        <f>IF(E38=0,"",'- 6 -'!G38/E38*100)</f>
        <v>27.871563425894031</v>
      </c>
      <c r="I38" s="69">
        <f>IF(E38=0,"",'- 6 -'!H38/E38*100)</f>
        <v>2.5724063483313815</v>
      </c>
    </row>
    <row r="39" spans="1:10" ht="14.1" customHeight="1">
      <c r="A39" s="334" t="s">
        <v>138</v>
      </c>
      <c r="B39" s="288">
        <v>0</v>
      </c>
      <c r="C39" s="294">
        <f>B39/'- 3 -'!D39*100</f>
        <v>0</v>
      </c>
      <c r="D39" s="335" t="str">
        <f t="shared" si="0"/>
        <v/>
      </c>
      <c r="E39" s="336">
        <f>SUM('- 6 -'!E39:H39)</f>
        <v>0</v>
      </c>
      <c r="F39" s="294" t="str">
        <f>IF(E39=0,"",'- 6 -'!E39/E39*100)</f>
        <v/>
      </c>
      <c r="G39" s="294" t="str">
        <f>IF(E39=0,"",'- 6 -'!F39/E39*100)</f>
        <v/>
      </c>
      <c r="H39" s="294" t="str">
        <f>IF(E39=0,"",'- 6 -'!G39/E39*100)</f>
        <v/>
      </c>
      <c r="I39" s="294" t="str">
        <f>IF(E39=0,"",'- 6 -'!H39/E39*100)</f>
        <v/>
      </c>
    </row>
    <row r="40" spans="1:10" ht="14.1" customHeight="1">
      <c r="A40" s="18" t="s">
        <v>139</v>
      </c>
      <c r="B40" s="19">
        <v>8207033</v>
      </c>
      <c r="C40" s="69">
        <f>B40/'- 3 -'!D40*100</f>
        <v>8.393918817947883</v>
      </c>
      <c r="D40" s="194">
        <f t="shared" si="0"/>
        <v>5471.355333333333</v>
      </c>
      <c r="E40" s="195">
        <f>SUM('- 6 -'!E40:H40)</f>
        <v>1500</v>
      </c>
      <c r="F40" s="69">
        <f>IF(E40=0,"",'- 6 -'!E40/E40*100)</f>
        <v>62.93333333333333</v>
      </c>
      <c r="G40" s="69">
        <f>IF(E40=0,"",'- 6 -'!F40/E40*100)</f>
        <v>0</v>
      </c>
      <c r="H40" s="69">
        <f>IF(E40=0,"",'- 6 -'!G40/E40*100)</f>
        <v>37.066666666666663</v>
      </c>
      <c r="I40" s="69">
        <f>IF(E40=0,"",'- 6 -'!H40/E40*100)</f>
        <v>0</v>
      </c>
    </row>
    <row r="41" spans="1:10" ht="14.1" customHeight="1">
      <c r="A41" s="334" t="s">
        <v>140</v>
      </c>
      <c r="B41" s="288">
        <v>13928138</v>
      </c>
      <c r="C41" s="294">
        <f>B41/'- 3 -'!D41*100</f>
        <v>23.311413769678683</v>
      </c>
      <c r="D41" s="335">
        <f t="shared" si="0"/>
        <v>6100.8050810337272</v>
      </c>
      <c r="E41" s="336">
        <f>SUM('- 6 -'!E41:H41)</f>
        <v>2283</v>
      </c>
      <c r="F41" s="294">
        <f>IF(E41=0,"",'- 6 -'!E41/E41*100)</f>
        <v>68.221638195356988</v>
      </c>
      <c r="G41" s="294">
        <f>IF(E41=0,"",'- 6 -'!F41/E41*100)</f>
        <v>0</v>
      </c>
      <c r="H41" s="294">
        <f>IF(E41=0,"",'- 6 -'!G41/E41*100)</f>
        <v>29.500657030223394</v>
      </c>
      <c r="I41" s="294">
        <f>IF(E41=0,"",'- 6 -'!H41/E41*100)</f>
        <v>2.2777047744196235</v>
      </c>
    </row>
    <row r="42" spans="1:10" ht="14.1" customHeight="1">
      <c r="A42" s="18" t="s">
        <v>141</v>
      </c>
      <c r="B42" s="19">
        <v>1425432</v>
      </c>
      <c r="C42" s="69">
        <f>B42/'- 3 -'!D42*100</f>
        <v>7.1631717716059837</v>
      </c>
      <c r="D42" s="194">
        <f t="shared" si="0"/>
        <v>6170.7012987012986</v>
      </c>
      <c r="E42" s="195">
        <f>SUM('- 6 -'!E42:H42)</f>
        <v>231</v>
      </c>
      <c r="F42" s="69">
        <f>IF(E42=0,"",'- 6 -'!E42/E42*100)</f>
        <v>66.233766233766232</v>
      </c>
      <c r="G42" s="69">
        <f>IF(E42=0,"",'- 6 -'!F42/E42*100)</f>
        <v>0</v>
      </c>
      <c r="H42" s="69">
        <f>IF(E42=0,"",'- 6 -'!G42/E42*100)</f>
        <v>33.766233766233768</v>
      </c>
      <c r="I42" s="69">
        <f>IF(E42=0,"",'- 6 -'!H42/E42*100)</f>
        <v>0</v>
      </c>
    </row>
    <row r="43" spans="1:10" ht="14.1" customHeight="1">
      <c r="A43" s="334" t="s">
        <v>142</v>
      </c>
      <c r="B43" s="288">
        <v>0</v>
      </c>
      <c r="C43" s="294">
        <f>B43/'- 3 -'!D43*100</f>
        <v>0</v>
      </c>
      <c r="D43" s="335" t="str">
        <f t="shared" si="0"/>
        <v/>
      </c>
      <c r="E43" s="336">
        <f>SUM('- 6 -'!E43:H43)</f>
        <v>0</v>
      </c>
      <c r="F43" s="294" t="str">
        <f>IF(E43=0,"",'- 6 -'!E43/E43*100)</f>
        <v/>
      </c>
      <c r="G43" s="294" t="str">
        <f>IF(E43=0,"",'- 6 -'!F43/E43*100)</f>
        <v/>
      </c>
      <c r="H43" s="294" t="str">
        <f>IF(E43=0,"",'- 6 -'!G43/E43*100)</f>
        <v/>
      </c>
      <c r="I43" s="294" t="str">
        <f>IF(E43=0,"",'- 6 -'!H43/E43*100)</f>
        <v/>
      </c>
    </row>
    <row r="44" spans="1:10" ht="14.1" customHeight="1">
      <c r="A44" s="18" t="s">
        <v>143</v>
      </c>
      <c r="B44" s="19">
        <v>0</v>
      </c>
      <c r="C44" s="69">
        <f>B44/'- 3 -'!D44*100</f>
        <v>0</v>
      </c>
      <c r="D44" s="194" t="str">
        <f t="shared" si="0"/>
        <v/>
      </c>
      <c r="E44" s="195">
        <f>SUM('- 6 -'!E44:H44)</f>
        <v>0</v>
      </c>
      <c r="F44" s="69" t="str">
        <f>IF(E44=0,"",'- 6 -'!E44/E44*100)</f>
        <v/>
      </c>
      <c r="G44" s="69" t="str">
        <f>IF(E44=0,"",'- 6 -'!F44/E44*100)</f>
        <v/>
      </c>
      <c r="H44" s="69" t="str">
        <f>IF(E44=0,"",'- 6 -'!G44/E44*100)</f>
        <v/>
      </c>
      <c r="I44" s="69" t="str">
        <f>IF(E44=0,"",'- 6 -'!H44/E44*100)</f>
        <v/>
      </c>
    </row>
    <row r="45" spans="1:10" ht="14.1" customHeight="1">
      <c r="A45" s="334" t="s">
        <v>144</v>
      </c>
      <c r="B45" s="288">
        <v>4546001</v>
      </c>
      <c r="C45" s="294">
        <f>B45/'- 3 -'!D45*100</f>
        <v>26.0333672561129</v>
      </c>
      <c r="D45" s="335">
        <f t="shared" si="0"/>
        <v>5177.6776765375853</v>
      </c>
      <c r="E45" s="336">
        <f>SUM('- 6 -'!E45:H45)</f>
        <v>878</v>
      </c>
      <c r="F45" s="294">
        <f>IF(E45=0,"",'- 6 -'!E45/E45*100)</f>
        <v>75.911161731207287</v>
      </c>
      <c r="G45" s="294">
        <f>IF(E45=0,"",'- 6 -'!F45/E45*100)</f>
        <v>0</v>
      </c>
      <c r="H45" s="294">
        <f>IF(E45=0,"",'- 6 -'!G45/E45*100)</f>
        <v>24.088838268792713</v>
      </c>
      <c r="I45" s="294">
        <f>IF(E45=0,"",'- 6 -'!H45/E45*100)</f>
        <v>0</v>
      </c>
    </row>
    <row r="46" spans="1:10" ht="14.1" customHeight="1">
      <c r="A46" s="18" t="s">
        <v>145</v>
      </c>
      <c r="B46" s="19">
        <v>29497868</v>
      </c>
      <c r="C46" s="69">
        <f>B46/'- 3 -'!D46*100</f>
        <v>8.021469658326204</v>
      </c>
      <c r="D46" s="194">
        <f t="shared" si="0"/>
        <v>4678.4881839809677</v>
      </c>
      <c r="E46" s="195">
        <f>SUM('- 6 -'!E46:H46)</f>
        <v>6305</v>
      </c>
      <c r="F46" s="69">
        <f>IF(E46=0,"",'- 6 -'!E46/E46*100)</f>
        <v>59.730372720063443</v>
      </c>
      <c r="G46" s="69">
        <f>IF(E46=0,"",'- 6 -'!F46/E46*100)</f>
        <v>0</v>
      </c>
      <c r="H46" s="69">
        <f>IF(E46=0,"",'- 6 -'!G46/E46*100)</f>
        <v>36.740681998413962</v>
      </c>
      <c r="I46" s="69">
        <f>IF(E46=0,"",'- 6 -'!H46/E46*100)</f>
        <v>3.528945281522601</v>
      </c>
    </row>
    <row r="47" spans="1:10" ht="5.0999999999999996" customHeight="1">
      <c r="A47"/>
      <c r="B47" s="21"/>
      <c r="C47"/>
      <c r="D47"/>
      <c r="E47"/>
      <c r="F47"/>
      <c r="G47"/>
      <c r="H47"/>
      <c r="I47"/>
      <c r="J47"/>
    </row>
    <row r="48" spans="1:10" ht="14.1" customHeight="1">
      <c r="A48" s="289" t="s">
        <v>146</v>
      </c>
      <c r="B48" s="290">
        <f>SUM(B11:B46)</f>
        <v>164003579</v>
      </c>
      <c r="C48" s="297">
        <f>B48/'- 3 -'!D48*100</f>
        <v>7.6724780477369263</v>
      </c>
      <c r="D48" s="337">
        <f>B48/E48</f>
        <v>5365.274964341329</v>
      </c>
      <c r="E48" s="338">
        <f>SUM(E11:E46)</f>
        <v>30567.599999999999</v>
      </c>
      <c r="F48" s="297">
        <f>IF(E48=0,"",'- 6 -'!E48/E48*100)</f>
        <v>63.922584697522865</v>
      </c>
      <c r="G48" s="297">
        <f>IF(E48=0,"",'- 6 -'!F48/E48*100)</f>
        <v>0.73607348957719942</v>
      </c>
      <c r="H48" s="297">
        <f>IF(E48=0,"",'- 6 -'!G48/E48*100)</f>
        <v>32.416676480979859</v>
      </c>
      <c r="I48" s="297">
        <f>IF(E48=0,"",'- 6 -'!H48/E48*100)</f>
        <v>2.9246653319200724</v>
      </c>
    </row>
    <row r="49" spans="1:9" ht="5.0999999999999996" customHeight="1">
      <c r="A49" s="20" t="s">
        <v>8</v>
      </c>
      <c r="B49" s="21"/>
      <c r="C49"/>
      <c r="D49" s="21"/>
      <c r="E49" s="196"/>
      <c r="F49"/>
      <c r="G49"/>
      <c r="H49"/>
      <c r="I49"/>
    </row>
    <row r="50" spans="1:9" ht="14.1" customHeight="1">
      <c r="A50" s="18" t="s">
        <v>147</v>
      </c>
      <c r="B50" s="19">
        <v>0</v>
      </c>
      <c r="C50" s="69">
        <f>B50/'- 3 -'!D50*100</f>
        <v>0</v>
      </c>
      <c r="D50" s="194" t="str">
        <f>IF(E50=0,"",B50/E50)</f>
        <v/>
      </c>
      <c r="E50" s="195">
        <f>SUM('- 6 -'!E50:H50)</f>
        <v>0</v>
      </c>
      <c r="F50" s="69" t="str">
        <f>IF(E50=0,"",'- 6 -'!E50/E50*100)</f>
        <v/>
      </c>
      <c r="G50" s="69" t="str">
        <f>IF(E50=0,"",'- 6 -'!F50/E50*100)</f>
        <v/>
      </c>
      <c r="H50" s="69" t="str">
        <f>IF(E50=0,"",'- 6 -'!G50/E50*100)</f>
        <v/>
      </c>
      <c r="I50" s="69" t="str">
        <f>IF(E50=0,"",'- 6 -'!H50/E50*100)</f>
        <v/>
      </c>
    </row>
    <row r="51" spans="1:9" ht="14.1" customHeight="1">
      <c r="A51" s="334" t="s">
        <v>643</v>
      </c>
      <c r="B51" s="288">
        <v>0</v>
      </c>
      <c r="C51" s="294">
        <f>B51/'- 3 -'!D51*100</f>
        <v>0</v>
      </c>
      <c r="D51" s="335" t="str">
        <f>IF(E51=0,"",B51/E51)</f>
        <v/>
      </c>
      <c r="E51" s="336">
        <f>SUM('- 6 -'!E51:H51)</f>
        <v>0</v>
      </c>
      <c r="F51" s="294" t="str">
        <f>IF(E51=0,"",'- 6 -'!E51/E51*100)</f>
        <v/>
      </c>
      <c r="G51" s="294" t="str">
        <f>IF(E51=0,"",'- 6 -'!F51/E51*100)</f>
        <v/>
      </c>
      <c r="H51" s="294" t="str">
        <f>IF(E51=0,"",'- 6 -'!G51/E51*100)</f>
        <v/>
      </c>
      <c r="I51" s="294" t="str">
        <f>IF(E51=0,"",'- 6 -'!H51/E51*100)</f>
        <v/>
      </c>
    </row>
    <row r="52" spans="1:9" ht="50.1" customHeight="1">
      <c r="A52" s="22"/>
      <c r="B52" s="107"/>
      <c r="C52" s="107"/>
      <c r="D52" s="107"/>
      <c r="E52" s="107"/>
      <c r="F52" s="107"/>
      <c r="G52" s="107"/>
      <c r="H52" s="107"/>
      <c r="I52" s="107"/>
    </row>
    <row r="53" spans="1:9" ht="15" customHeight="1">
      <c r="A53" s="84" t="s">
        <v>349</v>
      </c>
      <c r="C53" s="84"/>
      <c r="D53" s="84"/>
      <c r="E53" s="84"/>
      <c r="F53" s="84"/>
      <c r="G53" s="84"/>
      <c r="H53" s="84"/>
      <c r="I53" s="84"/>
    </row>
  </sheetData>
  <mergeCells count="4">
    <mergeCell ref="D8:D9"/>
    <mergeCell ref="E7:E9"/>
    <mergeCell ref="F7:I7"/>
    <mergeCell ref="H8:H9"/>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17.xml><?xml version="1.0" encoding="utf-8"?>
<worksheet xmlns="http://schemas.openxmlformats.org/spreadsheetml/2006/main" xmlns:r="http://schemas.openxmlformats.org/officeDocument/2006/relationships">
  <sheetPr codeName="Sheet16">
    <pageSetUpPr fitToPage="1"/>
  </sheetPr>
  <dimension ref="A1:I55"/>
  <sheetViews>
    <sheetView showGridLines="0" showZeros="0" workbookViewId="0"/>
  </sheetViews>
  <sheetFormatPr defaultColWidth="15.83203125" defaultRowHeight="12"/>
  <cols>
    <col min="1" max="1" width="32.83203125" style="1" customWidth="1"/>
    <col min="2" max="2" width="15.83203125" style="1" customWidth="1"/>
    <col min="3" max="3" width="7.83203125" style="1" customWidth="1"/>
    <col min="4" max="4" width="9.83203125" style="1" customWidth="1"/>
    <col min="5" max="5" width="14.83203125" style="1" customWidth="1"/>
    <col min="6" max="6" width="7.83203125" style="1" customWidth="1"/>
    <col min="7" max="7" width="9.83203125" style="1" customWidth="1"/>
    <col min="8" max="8" width="15.83203125" style="1"/>
    <col min="9" max="9" width="7.83203125" style="1" customWidth="1"/>
    <col min="10" max="16384" width="15.83203125" style="1"/>
  </cols>
  <sheetData>
    <row r="1" spans="1:9" ht="6.95" customHeight="1">
      <c r="A1" s="6"/>
      <c r="B1" s="7"/>
      <c r="C1" s="7"/>
      <c r="D1" s="7"/>
      <c r="E1" s="7"/>
      <c r="F1" s="7"/>
      <c r="G1" s="7"/>
      <c r="H1" s="7"/>
      <c r="I1" s="7"/>
    </row>
    <row r="2" spans="1:9" ht="15.95" customHeight="1">
      <c r="A2" s="133"/>
      <c r="B2" s="8" t="s">
        <v>266</v>
      </c>
      <c r="C2" s="9"/>
      <c r="D2" s="9"/>
      <c r="E2" s="9"/>
      <c r="F2" s="9"/>
      <c r="G2" s="72"/>
      <c r="H2" s="72"/>
      <c r="I2" s="398" t="s">
        <v>421</v>
      </c>
    </row>
    <row r="3" spans="1:9" ht="15.95" customHeight="1">
      <c r="A3" s="546"/>
      <c r="B3" s="10" t="str">
        <f>OPYEAR</f>
        <v>OPERATING FUND 2014/2015 ACTUAL</v>
      </c>
      <c r="C3" s="11"/>
      <c r="D3" s="11"/>
      <c r="E3" s="11"/>
      <c r="F3" s="11"/>
      <c r="G3" s="74"/>
      <c r="H3" s="74"/>
      <c r="I3" s="74"/>
    </row>
    <row r="4" spans="1:9" ht="15.95" customHeight="1">
      <c r="B4" s="7"/>
      <c r="C4" s="7"/>
      <c r="D4" s="65"/>
      <c r="E4" s="7"/>
      <c r="F4" s="7"/>
      <c r="G4" s="7"/>
      <c r="H4" s="7"/>
      <c r="I4" s="7"/>
    </row>
    <row r="5" spans="1:9" ht="15.95" customHeight="1">
      <c r="B5" s="396" t="s">
        <v>647</v>
      </c>
      <c r="C5" s="164"/>
      <c r="D5" s="165"/>
      <c r="E5" s="165"/>
      <c r="F5" s="165"/>
      <c r="G5" s="165"/>
      <c r="H5" s="552"/>
      <c r="I5" s="552"/>
    </row>
    <row r="6" spans="1:9" ht="15.95" customHeight="1">
      <c r="B6" s="631" t="s">
        <v>506</v>
      </c>
      <c r="C6" s="639"/>
      <c r="D6" s="632"/>
      <c r="E6" s="635" t="s">
        <v>507</v>
      </c>
      <c r="F6" s="639"/>
      <c r="G6" s="656"/>
      <c r="H6" s="658" t="s">
        <v>508</v>
      </c>
      <c r="I6" s="659"/>
    </row>
    <row r="7" spans="1:9" ht="15.95" customHeight="1">
      <c r="B7" s="633"/>
      <c r="C7" s="640"/>
      <c r="D7" s="634"/>
      <c r="E7" s="633"/>
      <c r="F7" s="640"/>
      <c r="G7" s="657"/>
      <c r="H7" s="660"/>
      <c r="I7" s="661"/>
    </row>
    <row r="8" spans="1:9" ht="15.95" customHeight="1">
      <c r="A8" s="66"/>
      <c r="B8" s="136"/>
      <c r="C8" s="137"/>
      <c r="D8" s="584" t="s">
        <v>502</v>
      </c>
      <c r="E8" s="136"/>
      <c r="F8" s="138"/>
      <c r="G8" s="584" t="s">
        <v>502</v>
      </c>
      <c r="H8" s="136"/>
      <c r="I8" s="138"/>
    </row>
    <row r="9" spans="1:9" ht="15.95" customHeight="1">
      <c r="A9" s="34" t="s">
        <v>43</v>
      </c>
      <c r="B9" s="76" t="s">
        <v>44</v>
      </c>
      <c r="C9" s="76" t="s">
        <v>45</v>
      </c>
      <c r="D9" s="586"/>
      <c r="E9" s="76" t="s">
        <v>44</v>
      </c>
      <c r="F9" s="76" t="s">
        <v>45</v>
      </c>
      <c r="G9" s="586"/>
      <c r="H9" s="76" t="s">
        <v>44</v>
      </c>
      <c r="I9" s="76" t="s">
        <v>45</v>
      </c>
    </row>
    <row r="10" spans="1:9" ht="5.0999999999999996" customHeight="1">
      <c r="A10" s="5"/>
    </row>
    <row r="11" spans="1:9" ht="14.1" customHeight="1">
      <c r="A11" s="287" t="s">
        <v>111</v>
      </c>
      <c r="B11" s="288">
        <v>131300</v>
      </c>
      <c r="C11" s="294">
        <f>B11/'- 3 -'!$D11*100</f>
        <v>0.75100427517620294</v>
      </c>
      <c r="D11" s="288">
        <f>B11/'- 7 -'!$E11</f>
        <v>82.113821138211378</v>
      </c>
      <c r="E11" s="288">
        <v>173208</v>
      </c>
      <c r="F11" s="294">
        <f>E11/'- 3 -'!$D11*100</f>
        <v>0.99070790932764463</v>
      </c>
      <c r="G11" s="288">
        <f>E11/'- 7 -'!$E11</f>
        <v>108.32270168855534</v>
      </c>
      <c r="H11" s="288">
        <v>206754</v>
      </c>
      <c r="I11" s="294">
        <f>H11/'- 3 -'!$D11*100</f>
        <v>1.1825829239130285</v>
      </c>
    </row>
    <row r="12" spans="1:9" ht="14.1" customHeight="1">
      <c r="A12" s="18" t="s">
        <v>112</v>
      </c>
      <c r="B12" s="19">
        <v>301616</v>
      </c>
      <c r="C12" s="69">
        <f>B12/'- 3 -'!$D12*100</f>
        <v>0.95247881778638355</v>
      </c>
      <c r="D12" s="19">
        <f>B12/'- 7 -'!$E12</f>
        <v>141.35157934201897</v>
      </c>
      <c r="E12" s="19">
        <v>597735</v>
      </c>
      <c r="F12" s="69">
        <f>E12/'- 3 -'!$D12*100</f>
        <v>1.8875985562753435</v>
      </c>
      <c r="G12" s="19">
        <f>E12/'- 7 -'!$E12</f>
        <v>280.12700346799141</v>
      </c>
      <c r="H12" s="19">
        <v>0</v>
      </c>
      <c r="I12" s="69">
        <f>H12/'- 3 -'!$D12*100</f>
        <v>0</v>
      </c>
    </row>
    <row r="13" spans="1:9" ht="14.1" customHeight="1">
      <c r="A13" s="287" t="s">
        <v>113</v>
      </c>
      <c r="B13" s="288">
        <v>148354</v>
      </c>
      <c r="C13" s="294">
        <f>B13/'- 3 -'!$D13*100</f>
        <v>0.17152123813282216</v>
      </c>
      <c r="D13" s="288">
        <f>B13/'- 7 -'!$E13</f>
        <v>18.415342601787486</v>
      </c>
      <c r="E13" s="288">
        <v>1937032</v>
      </c>
      <c r="F13" s="294">
        <f>E13/'- 3 -'!$D13*100</f>
        <v>2.2395225402948138</v>
      </c>
      <c r="G13" s="288">
        <f>E13/'- 7 -'!$E13</f>
        <v>240.44587884806356</v>
      </c>
      <c r="H13" s="288">
        <v>1876736</v>
      </c>
      <c r="I13" s="294">
        <f>H13/'- 3 -'!$D13*100</f>
        <v>2.1698106041525009</v>
      </c>
    </row>
    <row r="14" spans="1:9" ht="14.1" customHeight="1">
      <c r="A14" s="18" t="s">
        <v>365</v>
      </c>
      <c r="B14" s="19">
        <v>366731</v>
      </c>
      <c r="C14" s="69">
        <f>B14/'- 3 -'!$D14*100</f>
        <v>0.47336476302603392</v>
      </c>
      <c r="D14" s="19">
        <f>B14/'- 7 -'!$E14</f>
        <v>69.986832061068696</v>
      </c>
      <c r="E14" s="19">
        <v>797018</v>
      </c>
      <c r="F14" s="69">
        <f>E14/'- 3 -'!$D14*100</f>
        <v>1.0287655984835846</v>
      </c>
      <c r="G14" s="19">
        <f>E14/'- 7 -'!$E14</f>
        <v>152.1026717557252</v>
      </c>
      <c r="H14" s="19">
        <v>634000</v>
      </c>
      <c r="I14" s="69">
        <f>H14/'- 3 -'!$D14*100</f>
        <v>0.81834712570932244</v>
      </c>
    </row>
    <row r="15" spans="1:9" ht="14.1" customHeight="1">
      <c r="A15" s="287" t="s">
        <v>114</v>
      </c>
      <c r="B15" s="288">
        <v>276077</v>
      </c>
      <c r="C15" s="294">
        <f>B15/'- 3 -'!$D15*100</f>
        <v>1.4044505409085766</v>
      </c>
      <c r="D15" s="288">
        <f>B15/'- 7 -'!$E15</f>
        <v>190.07022375215146</v>
      </c>
      <c r="E15" s="288">
        <v>239115</v>
      </c>
      <c r="F15" s="294">
        <f>E15/'- 3 -'!$D15*100</f>
        <v>1.2164185755762136</v>
      </c>
      <c r="G15" s="288">
        <f>E15/'- 7 -'!$E15</f>
        <v>164.62306368330465</v>
      </c>
      <c r="H15" s="288">
        <v>0</v>
      </c>
      <c r="I15" s="294">
        <f>H15/'- 3 -'!$D15*100</f>
        <v>0</v>
      </c>
    </row>
    <row r="16" spans="1:9" ht="14.1" customHeight="1">
      <c r="A16" s="18" t="s">
        <v>115</v>
      </c>
      <c r="B16" s="19">
        <v>209765</v>
      </c>
      <c r="C16" s="69">
        <f>B16/'- 3 -'!$D16*100</f>
        <v>1.5405332500415492</v>
      </c>
      <c r="D16" s="19">
        <f>B16/'- 7 -'!$E16</f>
        <v>229.652945040508</v>
      </c>
      <c r="E16" s="19">
        <v>147579</v>
      </c>
      <c r="F16" s="69">
        <f>E16/'- 3 -'!$D16*100</f>
        <v>1.0838336066926408</v>
      </c>
      <c r="G16" s="19">
        <f>E16/'- 7 -'!$E16</f>
        <v>161.57105320779505</v>
      </c>
      <c r="H16" s="19">
        <v>92804</v>
      </c>
      <c r="I16" s="69">
        <f>H16/'- 3 -'!$D16*100</f>
        <v>0.68156102179513234</v>
      </c>
    </row>
    <row r="17" spans="1:9" ht="14.1" customHeight="1">
      <c r="A17" s="287" t="s">
        <v>116</v>
      </c>
      <c r="B17" s="288">
        <v>121561</v>
      </c>
      <c r="C17" s="294">
        <f>B17/'- 3 -'!$D17*100</f>
        <v>0.7001007524005437</v>
      </c>
      <c r="D17" s="288">
        <f>B17/'- 7 -'!$E17</f>
        <v>90.988772455089816</v>
      </c>
      <c r="E17" s="288">
        <v>259188</v>
      </c>
      <c r="F17" s="294">
        <f>E17/'- 3 -'!$D17*100</f>
        <v>1.4927296897293714</v>
      </c>
      <c r="G17" s="288">
        <f>E17/'- 7 -'!$E17</f>
        <v>194.00299401197606</v>
      </c>
      <c r="H17" s="288">
        <v>0</v>
      </c>
      <c r="I17" s="294">
        <f>H17/'- 3 -'!$D17*100</f>
        <v>0</v>
      </c>
    </row>
    <row r="18" spans="1:9" ht="14.1" customHeight="1">
      <c r="A18" s="18" t="s">
        <v>117</v>
      </c>
      <c r="B18" s="19">
        <v>0</v>
      </c>
      <c r="C18" s="69">
        <f>B18/'- 3 -'!$D18*100</f>
        <v>0</v>
      </c>
      <c r="D18" s="19">
        <f>B18/'- 7 -'!$E18</f>
        <v>0</v>
      </c>
      <c r="E18" s="19">
        <v>3437721</v>
      </c>
      <c r="F18" s="69">
        <f>E18/'- 3 -'!$D18*100</f>
        <v>2.8137864034615037</v>
      </c>
      <c r="G18" s="19">
        <f>E18/'- 7 -'!$E18</f>
        <v>566.50758782980972</v>
      </c>
      <c r="H18" s="19">
        <v>0</v>
      </c>
      <c r="I18" s="69">
        <f>H18/'- 3 -'!$D18*100</f>
        <v>0</v>
      </c>
    </row>
    <row r="19" spans="1:9" ht="14.1" customHeight="1">
      <c r="A19" s="287" t="s">
        <v>118</v>
      </c>
      <c r="B19" s="288">
        <v>170694</v>
      </c>
      <c r="C19" s="294">
        <f>B19/'- 3 -'!$D19*100</f>
        <v>0.39628818839297258</v>
      </c>
      <c r="D19" s="288">
        <f>B19/'- 7 -'!$E19</f>
        <v>40.493915023841716</v>
      </c>
      <c r="E19" s="288">
        <v>775034</v>
      </c>
      <c r="F19" s="294">
        <f>E19/'- 3 -'!$D19*100</f>
        <v>1.7993416277253982</v>
      </c>
      <c r="G19" s="288">
        <f>E19/'- 7 -'!$E19</f>
        <v>183.8621213199535</v>
      </c>
      <c r="H19" s="288">
        <v>1332089</v>
      </c>
      <c r="I19" s="294">
        <f>H19/'- 3 -'!$D19*100</f>
        <v>3.0926168265328982</v>
      </c>
    </row>
    <row r="20" spans="1:9" ht="14.1" customHeight="1">
      <c r="A20" s="18" t="s">
        <v>119</v>
      </c>
      <c r="B20" s="19">
        <v>468080</v>
      </c>
      <c r="C20" s="69">
        <f>B20/'- 3 -'!$D20*100</f>
        <v>0.62697611061354508</v>
      </c>
      <c r="D20" s="19">
        <f>B20/'- 7 -'!$E20</f>
        <v>63.502916836250172</v>
      </c>
      <c r="E20" s="19">
        <v>1123386</v>
      </c>
      <c r="F20" s="69">
        <f>E20/'- 3 -'!$D20*100</f>
        <v>1.5047346286910526</v>
      </c>
      <c r="G20" s="19">
        <f>E20/'- 7 -'!$E20</f>
        <v>152.40618640618641</v>
      </c>
      <c r="H20" s="19">
        <v>622142</v>
      </c>
      <c r="I20" s="69">
        <f>H20/'- 3 -'!$D20*100</f>
        <v>0.83333654804591561</v>
      </c>
    </row>
    <row r="21" spans="1:9" ht="14.1" customHeight="1">
      <c r="A21" s="287" t="s">
        <v>120</v>
      </c>
      <c r="B21" s="288">
        <v>147941</v>
      </c>
      <c r="C21" s="294">
        <f>B21/'- 3 -'!$D21*100</f>
        <v>0.42498587507487623</v>
      </c>
      <c r="D21" s="288">
        <f>B21/'- 7 -'!$E21</f>
        <v>55.26372805379156</v>
      </c>
      <c r="E21" s="288">
        <v>569513</v>
      </c>
      <c r="F21" s="294">
        <f>E21/'- 3 -'!$D21*100</f>
        <v>1.6360236896568088</v>
      </c>
      <c r="G21" s="288">
        <f>E21/'- 7 -'!$E21</f>
        <v>212.74299589092269</v>
      </c>
      <c r="H21" s="288">
        <v>52050</v>
      </c>
      <c r="I21" s="294">
        <f>H21/'- 3 -'!$D21*100</f>
        <v>0.14952254478236124</v>
      </c>
    </row>
    <row r="22" spans="1:9" ht="14.1" customHeight="1">
      <c r="A22" s="18" t="s">
        <v>121</v>
      </c>
      <c r="B22" s="19">
        <v>135686</v>
      </c>
      <c r="C22" s="69">
        <f>B22/'- 3 -'!$D22*100</f>
        <v>0.69809186200721252</v>
      </c>
      <c r="D22" s="19">
        <f>B22/'- 7 -'!$E22</f>
        <v>88.57366668842613</v>
      </c>
      <c r="E22" s="19">
        <v>185784</v>
      </c>
      <c r="F22" s="69">
        <f>E22/'- 3 -'!$D22*100</f>
        <v>0.95584141688271407</v>
      </c>
      <c r="G22" s="19">
        <f>E22/'- 7 -'!$E22</f>
        <v>121.27684574711142</v>
      </c>
      <c r="H22" s="19">
        <v>1470413</v>
      </c>
      <c r="I22" s="69">
        <f>H22/'- 3 -'!$D22*100</f>
        <v>7.5651382536857987</v>
      </c>
    </row>
    <row r="23" spans="1:9" ht="14.1" customHeight="1">
      <c r="A23" s="287" t="s">
        <v>122</v>
      </c>
      <c r="B23" s="288">
        <v>114147</v>
      </c>
      <c r="C23" s="294">
        <f>B23/'- 3 -'!$D23*100</f>
        <v>0.7026114442439314</v>
      </c>
      <c r="D23" s="288">
        <f>B23/'- 7 -'!$E23</f>
        <v>101.73529411764706</v>
      </c>
      <c r="E23" s="288">
        <v>339876</v>
      </c>
      <c r="F23" s="294">
        <f>E23/'- 3 -'!$D23*100</f>
        <v>2.0920459339610367</v>
      </c>
      <c r="G23" s="288">
        <f>E23/'- 7 -'!$E23</f>
        <v>302.9197860962567</v>
      </c>
      <c r="H23" s="288">
        <v>0</v>
      </c>
      <c r="I23" s="294">
        <f>H23/'- 3 -'!$D23*100</f>
        <v>0</v>
      </c>
    </row>
    <row r="24" spans="1:9" ht="14.1" customHeight="1">
      <c r="A24" s="18" t="s">
        <v>123</v>
      </c>
      <c r="B24" s="19">
        <v>192040</v>
      </c>
      <c r="C24" s="69">
        <f>B24/'- 3 -'!$D24*100</f>
        <v>0.35417483027908564</v>
      </c>
      <c r="D24" s="19">
        <f>B24/'- 7 -'!$E24</f>
        <v>47.451261397049741</v>
      </c>
      <c r="E24" s="19">
        <v>1392906</v>
      </c>
      <c r="F24" s="69">
        <f>E24/'- 3 -'!$D24*100</f>
        <v>2.5689035937550515</v>
      </c>
      <c r="G24" s="19">
        <f>E24/'- 7 -'!$E24</f>
        <v>344.17385288231083</v>
      </c>
      <c r="H24" s="19">
        <v>238720</v>
      </c>
      <c r="I24" s="69">
        <f>H24/'- 3 -'!$D24*100</f>
        <v>0.44026565030318338</v>
      </c>
    </row>
    <row r="25" spans="1:9" ht="14.1" customHeight="1">
      <c r="A25" s="287" t="s">
        <v>124</v>
      </c>
      <c r="B25" s="288">
        <v>1270285</v>
      </c>
      <c r="C25" s="294">
        <f>B25/'- 3 -'!$D25*100</f>
        <v>0.79512355848352434</v>
      </c>
      <c r="D25" s="288">
        <f>B25/'- 7 -'!$E25</f>
        <v>91.427532946113047</v>
      </c>
      <c r="E25" s="288">
        <v>3027159</v>
      </c>
      <c r="F25" s="294">
        <f>E25/'- 3 -'!$D25*100</f>
        <v>1.894823158720623</v>
      </c>
      <c r="G25" s="288">
        <f>E25/'- 7 -'!$E25</f>
        <v>217.87683803683632</v>
      </c>
      <c r="H25" s="288">
        <v>8560760</v>
      </c>
      <c r="I25" s="294">
        <f>H25/'- 3 -'!$D25*100</f>
        <v>5.358531317399966</v>
      </c>
    </row>
    <row r="26" spans="1:9" ht="14.1" customHeight="1">
      <c r="A26" s="18" t="s">
        <v>125</v>
      </c>
      <c r="B26" s="19">
        <v>128351</v>
      </c>
      <c r="C26" s="69">
        <f>B26/'- 3 -'!$D26*100</f>
        <v>0.32991704559492591</v>
      </c>
      <c r="D26" s="19">
        <f>B26/'- 7 -'!$E26</f>
        <v>41.303620273531777</v>
      </c>
      <c r="E26" s="19">
        <v>543224</v>
      </c>
      <c r="F26" s="69">
        <f>E26/'- 3 -'!$D26*100</f>
        <v>1.3963183549505498</v>
      </c>
      <c r="G26" s="19">
        <f>E26/'- 7 -'!$E26</f>
        <v>174.81061946902656</v>
      </c>
      <c r="H26" s="19">
        <v>400760</v>
      </c>
      <c r="I26" s="69">
        <f>H26/'- 3 -'!$D26*100</f>
        <v>1.0301248544430703</v>
      </c>
    </row>
    <row r="27" spans="1:9" ht="14.1" customHeight="1">
      <c r="A27" s="287" t="s">
        <v>126</v>
      </c>
      <c r="B27" s="288">
        <v>166899</v>
      </c>
      <c r="C27" s="294">
        <f>B27/'- 3 -'!$D27*100</f>
        <v>0.42740215857053115</v>
      </c>
      <c r="D27" s="288">
        <f>B27/'- 7 -'!$E27</f>
        <v>58.407349081364828</v>
      </c>
      <c r="E27" s="288">
        <v>553864</v>
      </c>
      <c r="F27" s="294">
        <f>E27/'- 3 -'!$D27*100</f>
        <v>1.4183588227281692</v>
      </c>
      <c r="G27" s="288">
        <f>E27/'- 7 -'!$E27</f>
        <v>193.82817147856517</v>
      </c>
      <c r="H27" s="288">
        <v>1762940</v>
      </c>
      <c r="I27" s="294">
        <f>H27/'- 3 -'!$D27*100</f>
        <v>4.5146127983411066</v>
      </c>
    </row>
    <row r="28" spans="1:9" ht="14.1" customHeight="1">
      <c r="A28" s="18" t="s">
        <v>127</v>
      </c>
      <c r="B28" s="19">
        <v>128163</v>
      </c>
      <c r="C28" s="69">
        <f>B28/'- 3 -'!$D28*100</f>
        <v>0.46607040676746325</v>
      </c>
      <c r="D28" s="19">
        <f>B28/'- 7 -'!$E28</f>
        <v>64.049475262368816</v>
      </c>
      <c r="E28" s="19">
        <v>370734</v>
      </c>
      <c r="F28" s="69">
        <f>E28/'- 3 -'!$D28*100</f>
        <v>1.3481905556403071</v>
      </c>
      <c r="G28" s="19">
        <f>E28/'- 7 -'!$E28</f>
        <v>185.2743628185907</v>
      </c>
      <c r="H28" s="19">
        <v>0</v>
      </c>
      <c r="I28" s="69">
        <f>H28/'- 3 -'!$D28*100</f>
        <v>0</v>
      </c>
    </row>
    <row r="29" spans="1:9" ht="14.1" customHeight="1">
      <c r="A29" s="287" t="s">
        <v>128</v>
      </c>
      <c r="B29" s="288">
        <v>582281</v>
      </c>
      <c r="C29" s="294">
        <f>B29/'- 3 -'!$D29*100</f>
        <v>0.39914041419377017</v>
      </c>
      <c r="D29" s="288">
        <f>B29/'- 7 -'!$E29</f>
        <v>46.817692085035212</v>
      </c>
      <c r="E29" s="288">
        <v>2712176</v>
      </c>
      <c r="F29" s="294">
        <f>E29/'- 3 -'!$D29*100</f>
        <v>1.8591351117525776</v>
      </c>
      <c r="G29" s="288">
        <f>E29/'- 7 -'!$E29</f>
        <v>218.06966198179654</v>
      </c>
      <c r="H29" s="288">
        <v>531129</v>
      </c>
      <c r="I29" s="294">
        <f>H29/'- 3 -'!$D29*100</f>
        <v>0.36407687877557904</v>
      </c>
    </row>
    <row r="30" spans="1:9" ht="14.1" customHeight="1">
      <c r="A30" s="18" t="s">
        <v>129</v>
      </c>
      <c r="B30" s="19">
        <v>140750</v>
      </c>
      <c r="C30" s="69">
        <f>B30/'- 3 -'!$D30*100</f>
        <v>1.0352228792567519</v>
      </c>
      <c r="D30" s="19">
        <f>B30/'- 7 -'!$E30</f>
        <v>134.88260661236225</v>
      </c>
      <c r="E30" s="19">
        <v>145020</v>
      </c>
      <c r="F30" s="69">
        <f>E30/'- 3 -'!$D30*100</f>
        <v>1.0666289303716814</v>
      </c>
      <c r="G30" s="19">
        <f>E30/'- 7 -'!$E30</f>
        <v>138.97460469573551</v>
      </c>
      <c r="H30" s="19">
        <v>0</v>
      </c>
      <c r="I30" s="69">
        <f>H30/'- 3 -'!$D30*100</f>
        <v>0</v>
      </c>
    </row>
    <row r="31" spans="1:9" ht="14.1" customHeight="1">
      <c r="A31" s="287" t="s">
        <v>130</v>
      </c>
      <c r="B31" s="288">
        <v>156904</v>
      </c>
      <c r="C31" s="294">
        <f>B31/'- 3 -'!$D31*100</f>
        <v>0.44385209098085276</v>
      </c>
      <c r="D31" s="288">
        <f>B31/'- 7 -'!$E31</f>
        <v>48.307881773399018</v>
      </c>
      <c r="E31" s="288">
        <v>482212</v>
      </c>
      <c r="F31" s="294">
        <f>E31/'- 3 -'!$D31*100</f>
        <v>1.3640876236173647</v>
      </c>
      <c r="G31" s="288">
        <f>E31/'- 7 -'!$E31</f>
        <v>148.46428571428572</v>
      </c>
      <c r="H31" s="288">
        <v>2159246</v>
      </c>
      <c r="I31" s="294">
        <f>H31/'- 3 -'!$D31*100</f>
        <v>6.1081033755802423</v>
      </c>
    </row>
    <row r="32" spans="1:9" ht="14.1" customHeight="1">
      <c r="A32" s="18" t="s">
        <v>131</v>
      </c>
      <c r="B32" s="19">
        <v>133182</v>
      </c>
      <c r="C32" s="69">
        <f>B32/'- 3 -'!$D32*100</f>
        <v>0.5043721760855816</v>
      </c>
      <c r="D32" s="19">
        <f>B32/'- 7 -'!$E32</f>
        <v>63.601719197707737</v>
      </c>
      <c r="E32" s="19">
        <v>334485</v>
      </c>
      <c r="F32" s="69">
        <f>E32/'- 3 -'!$D32*100</f>
        <v>1.2667246874050979</v>
      </c>
      <c r="G32" s="19">
        <f>E32/'- 7 -'!$E32</f>
        <v>159.73495702005729</v>
      </c>
      <c r="H32" s="19">
        <v>0</v>
      </c>
      <c r="I32" s="69">
        <f>H32/'- 3 -'!$D32*100</f>
        <v>0</v>
      </c>
    </row>
    <row r="33" spans="1:9" ht="14.1" customHeight="1">
      <c r="A33" s="287" t="s">
        <v>132</v>
      </c>
      <c r="B33" s="288">
        <v>200410</v>
      </c>
      <c r="C33" s="294">
        <f>B33/'- 3 -'!$D33*100</f>
        <v>0.76048614041425455</v>
      </c>
      <c r="D33" s="288">
        <f>B33/'- 7 -'!$E33</f>
        <v>99.880388736606037</v>
      </c>
      <c r="E33" s="288">
        <v>347613</v>
      </c>
      <c r="F33" s="294">
        <f>E33/'- 3 -'!$D33*100</f>
        <v>1.3190702496273652</v>
      </c>
      <c r="G33" s="288">
        <f>E33/'- 7 -'!$E33</f>
        <v>173.24345875903313</v>
      </c>
      <c r="H33" s="288">
        <v>0</v>
      </c>
      <c r="I33" s="294">
        <f>H33/'- 3 -'!$D33*100</f>
        <v>0</v>
      </c>
    </row>
    <row r="34" spans="1:9" ht="14.1" customHeight="1">
      <c r="A34" s="18" t="s">
        <v>133</v>
      </c>
      <c r="B34" s="19">
        <v>213089</v>
      </c>
      <c r="C34" s="69">
        <f>B34/'- 3 -'!$D34*100</f>
        <v>0.80388753066842122</v>
      </c>
      <c r="D34" s="19">
        <f>B34/'- 7 -'!$E34</f>
        <v>107.03902027366433</v>
      </c>
      <c r="E34" s="19">
        <v>345104</v>
      </c>
      <c r="F34" s="69">
        <f>E34/'- 3 -'!$D34*100</f>
        <v>1.3019198662708766</v>
      </c>
      <c r="G34" s="19">
        <f>E34/'- 7 -'!$E34</f>
        <v>173.35289035343285</v>
      </c>
      <c r="H34" s="19">
        <v>405939</v>
      </c>
      <c r="I34" s="69">
        <f>H34/'- 3 -'!$D34*100</f>
        <v>1.5314225526048186</v>
      </c>
    </row>
    <row r="35" spans="1:9" ht="14.1" customHeight="1">
      <c r="A35" s="287" t="s">
        <v>134</v>
      </c>
      <c r="B35" s="288">
        <v>1065831</v>
      </c>
      <c r="C35" s="294">
        <f>B35/'- 3 -'!$D35*100</f>
        <v>0.60990724472167179</v>
      </c>
      <c r="D35" s="288">
        <f>B35/'- 7 -'!$E35</f>
        <v>68.546594636311013</v>
      </c>
      <c r="E35" s="288">
        <v>3075499</v>
      </c>
      <c r="F35" s="294">
        <f>E35/'- 3 -'!$D35*100</f>
        <v>1.7599123324750894</v>
      </c>
      <c r="G35" s="288">
        <f>E35/'- 7 -'!$E35</f>
        <v>197.79400604540484</v>
      </c>
      <c r="H35" s="288">
        <v>3370052</v>
      </c>
      <c r="I35" s="294">
        <f>H35/'- 3 -'!$D35*100</f>
        <v>1.9284662670618136</v>
      </c>
    </row>
    <row r="36" spans="1:9" ht="14.1" customHeight="1">
      <c r="A36" s="18" t="s">
        <v>135</v>
      </c>
      <c r="B36" s="19">
        <v>166741</v>
      </c>
      <c r="C36" s="69">
        <f>B36/'- 3 -'!$D36*100</f>
        <v>0.76361975023729589</v>
      </c>
      <c r="D36" s="19">
        <f>B36/'- 7 -'!$E36</f>
        <v>101.116434202547</v>
      </c>
      <c r="E36" s="19">
        <v>280303</v>
      </c>
      <c r="F36" s="69">
        <f>E36/'- 3 -'!$D36*100</f>
        <v>1.283696912281711</v>
      </c>
      <c r="G36" s="19">
        <f>E36/'- 7 -'!$E36</f>
        <v>169.98362644026682</v>
      </c>
      <c r="H36" s="19">
        <v>2797</v>
      </c>
      <c r="I36" s="69">
        <f>H36/'- 3 -'!$D36*100</f>
        <v>1.2809353676742472E-2</v>
      </c>
    </row>
    <row r="37" spans="1:9" ht="14.1" customHeight="1">
      <c r="A37" s="287" t="s">
        <v>136</v>
      </c>
      <c r="B37" s="288">
        <v>318257</v>
      </c>
      <c r="C37" s="294">
        <f>B37/'- 3 -'!$D37*100</f>
        <v>0.70608287724229912</v>
      </c>
      <c r="D37" s="288">
        <f>B37/'- 7 -'!$E37</f>
        <v>80.510245383253221</v>
      </c>
      <c r="E37" s="288">
        <v>551914</v>
      </c>
      <c r="F37" s="294">
        <f>E37/'- 3 -'!$D37*100</f>
        <v>1.2244727534989215</v>
      </c>
      <c r="G37" s="288">
        <f>E37/'- 7 -'!$E37</f>
        <v>139.61902352643563</v>
      </c>
      <c r="H37" s="288">
        <v>0</v>
      </c>
      <c r="I37" s="294">
        <f>H37/'- 3 -'!$D37*100</f>
        <v>0</v>
      </c>
    </row>
    <row r="38" spans="1:9" ht="14.1" customHeight="1">
      <c r="A38" s="18" t="s">
        <v>137</v>
      </c>
      <c r="B38" s="19">
        <v>428987</v>
      </c>
      <c r="C38" s="69">
        <f>B38/'- 3 -'!$D38*100</f>
        <v>0.35147664318589528</v>
      </c>
      <c r="D38" s="19">
        <f>B38/'- 7 -'!$E38</f>
        <v>40.717465379614069</v>
      </c>
      <c r="E38" s="19">
        <v>1924804</v>
      </c>
      <c r="F38" s="69">
        <f>E38/'- 3 -'!$D38*100</f>
        <v>1.5770259907894273</v>
      </c>
      <c r="G38" s="19">
        <f>E38/'- 7 -'!$E38</f>
        <v>182.69350873696098</v>
      </c>
      <c r="H38" s="19">
        <v>887083</v>
      </c>
      <c r="I38" s="69">
        <f>H38/'- 3 -'!$D38*100</f>
        <v>0.72680280537003106</v>
      </c>
    </row>
    <row r="39" spans="1:9" ht="14.1" customHeight="1">
      <c r="A39" s="287" t="s">
        <v>138</v>
      </c>
      <c r="B39" s="288">
        <v>224688</v>
      </c>
      <c r="C39" s="294">
        <f>B39/'- 3 -'!$D39*100</f>
        <v>1.1128559608134911</v>
      </c>
      <c r="D39" s="288">
        <f>B39/'- 7 -'!$E39</f>
        <v>145.28806983511154</v>
      </c>
      <c r="E39" s="288">
        <v>294528</v>
      </c>
      <c r="F39" s="294">
        <f>E39/'- 3 -'!$D39*100</f>
        <v>1.4587661131278746</v>
      </c>
      <c r="G39" s="288">
        <f>E39/'- 7 -'!$E39</f>
        <v>190.44810863239573</v>
      </c>
      <c r="H39" s="288">
        <v>0</v>
      </c>
      <c r="I39" s="294">
        <f>H39/'- 3 -'!$D39*100</f>
        <v>0</v>
      </c>
    </row>
    <row r="40" spans="1:9" ht="14.1" customHeight="1">
      <c r="A40" s="18" t="s">
        <v>139</v>
      </c>
      <c r="B40" s="19">
        <v>235475</v>
      </c>
      <c r="C40" s="69">
        <f>B40/'- 3 -'!$D40*100</f>
        <v>0.2408371007715307</v>
      </c>
      <c r="D40" s="19">
        <f>B40/'- 7 -'!$E40</f>
        <v>29.865180224741902</v>
      </c>
      <c r="E40" s="19">
        <v>2192947</v>
      </c>
      <c r="F40" s="69">
        <f>E40/'- 3 -'!$D40*100</f>
        <v>2.2428835232004496</v>
      </c>
      <c r="G40" s="19">
        <f>E40/'- 7 -'!$E40</f>
        <v>278.13040610810947</v>
      </c>
      <c r="H40" s="19">
        <v>140232</v>
      </c>
      <c r="I40" s="69">
        <f>H40/'- 3 -'!$D40*100</f>
        <v>0.14342528215476502</v>
      </c>
    </row>
    <row r="41" spans="1:9" ht="14.1" customHeight="1">
      <c r="A41" s="287" t="s">
        <v>140</v>
      </c>
      <c r="B41" s="288">
        <v>322100</v>
      </c>
      <c r="C41" s="294">
        <f>B41/'- 3 -'!$D41*100</f>
        <v>0.53909620763475374</v>
      </c>
      <c r="D41" s="288">
        <f>B41/'- 7 -'!$E41</f>
        <v>73.952473883595459</v>
      </c>
      <c r="E41" s="288">
        <v>1169452</v>
      </c>
      <c r="F41" s="294">
        <f>E41/'- 3 -'!$D41*100</f>
        <v>1.9573025091924188</v>
      </c>
      <c r="G41" s="288">
        <f>E41/'- 7 -'!$E41</f>
        <v>268.5000573986913</v>
      </c>
      <c r="H41" s="288">
        <v>604004</v>
      </c>
      <c r="I41" s="294">
        <f>H41/'- 3 -'!$D41*100</f>
        <v>1.0109166898361435</v>
      </c>
    </row>
    <row r="42" spans="1:9" ht="14.1" customHeight="1">
      <c r="A42" s="18" t="s">
        <v>141</v>
      </c>
      <c r="B42" s="19">
        <v>152609</v>
      </c>
      <c r="C42" s="69">
        <f>B42/'- 3 -'!$D42*100</f>
        <v>0.7669004771136172</v>
      </c>
      <c r="D42" s="19">
        <f>B42/'- 7 -'!$E42</f>
        <v>108.2794096778771</v>
      </c>
      <c r="E42" s="19">
        <v>291774</v>
      </c>
      <c r="F42" s="69">
        <f>E42/'- 3 -'!$D42*100</f>
        <v>1.4662413082409853</v>
      </c>
      <c r="G42" s="19">
        <f>E42/'- 7 -'!$E42</f>
        <v>207.02000851426138</v>
      </c>
      <c r="H42" s="19">
        <v>0</v>
      </c>
      <c r="I42" s="69">
        <f>H42/'- 3 -'!$D42*100</f>
        <v>0</v>
      </c>
    </row>
    <row r="43" spans="1:9" ht="14.1" customHeight="1">
      <c r="A43" s="287" t="s">
        <v>142</v>
      </c>
      <c r="B43" s="288">
        <v>155339</v>
      </c>
      <c r="C43" s="294">
        <f>B43/'- 3 -'!$D43*100</f>
        <v>1.2127768826717864</v>
      </c>
      <c r="D43" s="288">
        <f>B43/'- 7 -'!$E43</f>
        <v>161.26885582882593</v>
      </c>
      <c r="E43" s="288">
        <v>190302</v>
      </c>
      <c r="F43" s="294">
        <f>E43/'- 3 -'!$D43*100</f>
        <v>1.4857432217679161</v>
      </c>
      <c r="G43" s="288">
        <f>E43/'- 7 -'!$E43</f>
        <v>197.56652097629851</v>
      </c>
      <c r="H43" s="288">
        <v>0</v>
      </c>
      <c r="I43" s="294">
        <f>H43/'- 3 -'!$D43*100</f>
        <v>0</v>
      </c>
    </row>
    <row r="44" spans="1:9" ht="14.1" customHeight="1">
      <c r="A44" s="18" t="s">
        <v>143</v>
      </c>
      <c r="B44" s="19">
        <v>86207</v>
      </c>
      <c r="C44" s="69">
        <f>B44/'- 3 -'!$D44*100</f>
        <v>0.81767855814948753</v>
      </c>
      <c r="D44" s="19">
        <f>B44/'- 7 -'!$E44</f>
        <v>124.03884892086332</v>
      </c>
      <c r="E44" s="19">
        <v>150013</v>
      </c>
      <c r="F44" s="69">
        <f>E44/'- 3 -'!$D44*100</f>
        <v>1.4228822896479298</v>
      </c>
      <c r="G44" s="19">
        <f>E44/'- 7 -'!$E44</f>
        <v>215.84604316546762</v>
      </c>
      <c r="H44" s="19">
        <v>0</v>
      </c>
      <c r="I44" s="69">
        <f>H44/'- 3 -'!$D44*100</f>
        <v>0</v>
      </c>
    </row>
    <row r="45" spans="1:9" ht="14.1" customHeight="1">
      <c r="A45" s="287" t="s">
        <v>144</v>
      </c>
      <c r="B45" s="288">
        <v>135533</v>
      </c>
      <c r="C45" s="294">
        <f>B45/'- 3 -'!$D45*100</f>
        <v>0.77615037135336085</v>
      </c>
      <c r="D45" s="288">
        <f>B45/'- 7 -'!$E45</f>
        <v>84.33914125700062</v>
      </c>
      <c r="E45" s="288">
        <v>237453</v>
      </c>
      <c r="F45" s="294">
        <f>E45/'- 3 -'!$D45*100</f>
        <v>1.3598107776627801</v>
      </c>
      <c r="G45" s="288">
        <f>E45/'- 7 -'!$E45</f>
        <v>147.76166770379589</v>
      </c>
      <c r="H45" s="288">
        <v>161011</v>
      </c>
      <c r="I45" s="294">
        <f>H45/'- 3 -'!$D45*100</f>
        <v>0.92205401962603928</v>
      </c>
    </row>
    <row r="46" spans="1:9" ht="14.1" customHeight="1">
      <c r="A46" s="18" t="s">
        <v>145</v>
      </c>
      <c r="B46" s="19">
        <v>831420</v>
      </c>
      <c r="C46" s="69">
        <f>B46/'- 3 -'!$D46*100</f>
        <v>0.22609126542045588</v>
      </c>
      <c r="D46" s="19">
        <f>B46/'- 7 -'!$E46</f>
        <v>27.802969502407706</v>
      </c>
      <c r="E46" s="19">
        <v>12133899</v>
      </c>
      <c r="F46" s="69">
        <f>E46/'- 3 -'!$D46*100</f>
        <v>3.2996182187029466</v>
      </c>
      <c r="G46" s="19">
        <f>E46/'- 7 -'!$E46</f>
        <v>405.76173756019261</v>
      </c>
      <c r="H46" s="19">
        <v>30454373</v>
      </c>
      <c r="I46" s="69">
        <f>H46/'- 3 -'!$D46*100</f>
        <v>8.2815757729626007</v>
      </c>
    </row>
    <row r="47" spans="1:9" ht="5.0999999999999996" customHeight="1">
      <c r="A47" s="20"/>
      <c r="B47" s="21"/>
      <c r="C47"/>
      <c r="D47" s="21"/>
      <c r="E47" s="21"/>
      <c r="F47"/>
      <c r="G47" s="21"/>
      <c r="H47"/>
      <c r="I47"/>
    </row>
    <row r="48" spans="1:9" ht="14.1" customHeight="1">
      <c r="A48" s="289" t="s">
        <v>146</v>
      </c>
      <c r="B48" s="290">
        <f>SUM(B11:B46)</f>
        <v>10027493</v>
      </c>
      <c r="C48" s="297">
        <f>B48/'- 3 -'!$D48*100</f>
        <v>0.4691100059245395</v>
      </c>
      <c r="D48" s="290">
        <f>B48/'- 7 -'!$E48</f>
        <v>58.132058970268481</v>
      </c>
      <c r="E48" s="290">
        <f>SUM(E11:E46)</f>
        <v>43329574</v>
      </c>
      <c r="F48" s="297">
        <f>E48/'- 3 -'!$D48*100</f>
        <v>2.0270606736746437</v>
      </c>
      <c r="G48" s="290">
        <f>E48/'- 7 -'!$E48</f>
        <v>251.19312982064531</v>
      </c>
      <c r="H48" s="290">
        <f>SUM(H11:H46)</f>
        <v>55966034</v>
      </c>
      <c r="I48" s="297">
        <f>H48/'- 3 -'!$D48*100</f>
        <v>2.6182243698712115</v>
      </c>
    </row>
    <row r="49" spans="1:9" ht="5.0999999999999996" customHeight="1">
      <c r="A49" s="20" t="s">
        <v>8</v>
      </c>
      <c r="B49" s="21"/>
      <c r="C49"/>
      <c r="D49" s="21"/>
      <c r="E49" s="21"/>
      <c r="F49"/>
      <c r="H49"/>
      <c r="I49"/>
    </row>
    <row r="50" spans="1:9" ht="14.1" customHeight="1">
      <c r="A50" s="18" t="s">
        <v>147</v>
      </c>
      <c r="B50" s="19">
        <v>64987</v>
      </c>
      <c r="C50" s="69">
        <f>B50/'- 3 -'!$D50*100</f>
        <v>2.0006914541379035</v>
      </c>
      <c r="D50" s="19">
        <f>B50/'- 7 -'!$E50</f>
        <v>390.546875</v>
      </c>
      <c r="E50" s="19">
        <v>31673</v>
      </c>
      <c r="F50" s="69">
        <f>E50/'- 3 -'!$D50*100</f>
        <v>0.9750857929572041</v>
      </c>
      <c r="G50" s="19">
        <f>E50/'- 7 -'!$E50</f>
        <v>190.34254807692307</v>
      </c>
      <c r="H50" s="19">
        <v>0</v>
      </c>
      <c r="I50" s="69">
        <f>H50/'- 3 -'!$D50*100</f>
        <v>0</v>
      </c>
    </row>
    <row r="51" spans="1:9" ht="14.1" customHeight="1">
      <c r="A51" s="287" t="s">
        <v>643</v>
      </c>
      <c r="B51" s="288">
        <v>0</v>
      </c>
      <c r="C51" s="294">
        <f>B51/'- 3 -'!$D51*100</f>
        <v>0</v>
      </c>
      <c r="D51" s="288">
        <f>B51/'- 7 -'!$E51</f>
        <v>0</v>
      </c>
      <c r="E51" s="288">
        <v>0</v>
      </c>
      <c r="F51" s="294">
        <f>E51/'- 3 -'!$D51*100</f>
        <v>0</v>
      </c>
      <c r="G51" s="288">
        <f>E51/'- 7 -'!$E51</f>
        <v>0</v>
      </c>
      <c r="H51" s="288">
        <v>0</v>
      </c>
      <c r="I51" s="294">
        <f>H51/'- 3 -'!$D51*100</f>
        <v>0</v>
      </c>
    </row>
    <row r="52" spans="1:9" ht="50.1" customHeight="1">
      <c r="A52" s="22"/>
      <c r="B52" s="22"/>
      <c r="C52" s="22"/>
      <c r="D52" s="22"/>
      <c r="E52" s="22"/>
      <c r="F52" s="22"/>
      <c r="G52" s="22"/>
      <c r="H52" s="22"/>
      <c r="I52" s="22"/>
    </row>
    <row r="53" spans="1:9" ht="15" customHeight="1">
      <c r="A53" s="654" t="s">
        <v>648</v>
      </c>
      <c r="B53" s="654"/>
      <c r="C53" s="654"/>
      <c r="D53" s="654"/>
      <c r="E53" s="654"/>
      <c r="F53" s="654"/>
      <c r="G53" s="654"/>
      <c r="H53" s="654"/>
      <c r="I53" s="654"/>
    </row>
    <row r="54" spans="1:9">
      <c r="A54" s="655"/>
      <c r="B54" s="655"/>
      <c r="C54" s="655"/>
      <c r="D54" s="655"/>
      <c r="E54" s="655"/>
      <c r="F54" s="655"/>
      <c r="G54" s="655"/>
      <c r="H54" s="655"/>
      <c r="I54" s="655"/>
    </row>
    <row r="55" spans="1:9">
      <c r="A55" s="655"/>
      <c r="B55" s="655"/>
      <c r="C55" s="655"/>
      <c r="D55" s="655"/>
      <c r="E55" s="655"/>
      <c r="F55" s="655"/>
      <c r="G55" s="655"/>
      <c r="H55" s="655"/>
      <c r="I55" s="655"/>
    </row>
  </sheetData>
  <mergeCells count="6">
    <mergeCell ref="A53:I55"/>
    <mergeCell ref="D8:D9"/>
    <mergeCell ref="G8:G9"/>
    <mergeCell ref="B6:D7"/>
    <mergeCell ref="E6:G7"/>
    <mergeCell ref="H6:I7"/>
  </mergeCells>
  <phoneticPr fontId="6" type="noConversion"/>
  <pageMargins left="0.5" right="0.5" top="0.6" bottom="0.2" header="0.3" footer="0.5"/>
  <pageSetup scale="96" orientation="portrait" r:id="rId1"/>
  <headerFooter alignWithMargins="0">
    <oddHeader>&amp;C&amp;"Arial,Regular"&amp;11&amp;A</oddHeader>
  </headerFooter>
</worksheet>
</file>

<file path=xl/worksheets/sheet18.xml><?xml version="1.0" encoding="utf-8"?>
<worksheet xmlns="http://schemas.openxmlformats.org/spreadsheetml/2006/main" xmlns:r="http://schemas.openxmlformats.org/officeDocument/2006/relationships">
  <sheetPr codeName="Sheet17">
    <pageSetUpPr fitToPage="1"/>
  </sheetPr>
  <dimension ref="A1:J54"/>
  <sheetViews>
    <sheetView showGridLines="0" showZeros="0" workbookViewId="0"/>
  </sheetViews>
  <sheetFormatPr defaultColWidth="15.83203125" defaultRowHeight="12"/>
  <cols>
    <col min="1" max="1" width="32.83203125" style="1" customWidth="1"/>
    <col min="2" max="2" width="15.5" style="1" customWidth="1"/>
    <col min="3" max="4" width="8" style="1" customWidth="1"/>
    <col min="5" max="5" width="17.33203125" style="1" customWidth="1"/>
    <col min="6" max="6" width="7.83203125" style="1" customWidth="1"/>
    <col min="7" max="7" width="10" style="1" customWidth="1"/>
    <col min="8" max="8" width="17.1640625" style="1" customWidth="1"/>
    <col min="9" max="9" width="8.5" style="1" customWidth="1"/>
    <col min="10" max="10" width="10" style="1" customWidth="1"/>
    <col min="11" max="16384" width="15.83203125" style="1"/>
  </cols>
  <sheetData>
    <row r="1" spans="1:10" ht="6.95" customHeight="1">
      <c r="A1" s="6"/>
      <c r="B1" s="6"/>
      <c r="C1" s="7"/>
      <c r="D1" s="7"/>
      <c r="E1" s="7"/>
      <c r="F1" s="7"/>
      <c r="G1" s="7"/>
      <c r="H1" s="7"/>
      <c r="I1" s="7"/>
      <c r="J1" s="7"/>
    </row>
    <row r="2" spans="1:10" ht="15.95" customHeight="1">
      <c r="A2" s="133"/>
      <c r="B2" s="133"/>
      <c r="C2" s="8" t="s">
        <v>266</v>
      </c>
      <c r="D2" s="8"/>
      <c r="E2" s="9"/>
      <c r="F2" s="9"/>
      <c r="G2" s="9"/>
      <c r="H2" s="72"/>
      <c r="I2" s="72"/>
      <c r="J2" s="398" t="s">
        <v>422</v>
      </c>
    </row>
    <row r="3" spans="1:10" ht="15.95" customHeight="1">
      <c r="A3" s="546"/>
      <c r="B3" s="135"/>
      <c r="C3" s="10" t="str">
        <f>OPYEAR</f>
        <v>OPERATING FUND 2014/2015 ACTUAL</v>
      </c>
      <c r="D3" s="10"/>
      <c r="E3" s="11"/>
      <c r="F3" s="11"/>
      <c r="G3" s="11"/>
      <c r="H3" s="74"/>
      <c r="I3" s="74"/>
      <c r="J3" s="65"/>
    </row>
    <row r="4" spans="1:10" ht="15.95" customHeight="1">
      <c r="C4" s="7"/>
      <c r="D4" s="7"/>
      <c r="E4" s="7"/>
      <c r="F4" s="7"/>
      <c r="G4" s="7"/>
      <c r="H4" s="7"/>
      <c r="I4" s="7"/>
      <c r="J4" s="7"/>
    </row>
    <row r="5" spans="1:10" ht="15.95" customHeight="1">
      <c r="B5" s="491" t="s">
        <v>251</v>
      </c>
      <c r="C5" s="274"/>
      <c r="D5" s="274"/>
      <c r="E5" s="438"/>
      <c r="F5" s="438"/>
      <c r="G5" s="438"/>
      <c r="H5" s="438"/>
      <c r="I5" s="438"/>
      <c r="J5" s="439"/>
    </row>
    <row r="6" spans="1:10" ht="15.95" customHeight="1">
      <c r="B6" s="658" t="s">
        <v>509</v>
      </c>
      <c r="C6" s="662"/>
      <c r="D6" s="659"/>
      <c r="E6" s="658" t="s">
        <v>510</v>
      </c>
      <c r="F6" s="662"/>
      <c r="G6" s="664"/>
      <c r="H6" s="666" t="s">
        <v>511</v>
      </c>
      <c r="I6" s="667"/>
      <c r="J6" s="668"/>
    </row>
    <row r="7" spans="1:10" ht="15.95" customHeight="1">
      <c r="B7" s="660"/>
      <c r="C7" s="663"/>
      <c r="D7" s="661"/>
      <c r="E7" s="665"/>
      <c r="F7" s="640"/>
      <c r="G7" s="634"/>
      <c r="H7" s="669"/>
      <c r="I7" s="670"/>
      <c r="J7" s="671"/>
    </row>
    <row r="8" spans="1:10" ht="15.95" customHeight="1">
      <c r="A8" s="66"/>
      <c r="B8" s="136"/>
      <c r="C8" s="138"/>
      <c r="D8" s="590" t="s">
        <v>502</v>
      </c>
      <c r="E8" s="136"/>
      <c r="F8" s="138"/>
      <c r="G8" s="584" t="s">
        <v>502</v>
      </c>
      <c r="H8" s="136"/>
      <c r="I8" s="138"/>
      <c r="J8" s="584" t="s">
        <v>502</v>
      </c>
    </row>
    <row r="9" spans="1:10" ht="15.95" customHeight="1">
      <c r="A9" s="34" t="s">
        <v>43</v>
      </c>
      <c r="B9" s="76" t="s">
        <v>44</v>
      </c>
      <c r="C9" s="76" t="s">
        <v>45</v>
      </c>
      <c r="D9" s="586"/>
      <c r="E9" s="76" t="s">
        <v>44</v>
      </c>
      <c r="F9" s="76" t="s">
        <v>45</v>
      </c>
      <c r="G9" s="586"/>
      <c r="H9" s="76" t="s">
        <v>44</v>
      </c>
      <c r="I9" s="76" t="s">
        <v>45</v>
      </c>
      <c r="J9" s="586"/>
    </row>
    <row r="10" spans="1:10" ht="5.0999999999999996" customHeight="1">
      <c r="A10" s="5"/>
    </row>
    <row r="11" spans="1:10" ht="14.1" customHeight="1">
      <c r="A11" s="287" t="s">
        <v>111</v>
      </c>
      <c r="B11" s="288">
        <v>661571</v>
      </c>
      <c r="C11" s="294">
        <f>B11/'- 3 -'!$D11*100</f>
        <v>3.7840262706214447</v>
      </c>
      <c r="D11" s="288">
        <f>B11/'- 7 -'!$E11</f>
        <v>413.74046278924328</v>
      </c>
      <c r="E11" s="288">
        <v>824249</v>
      </c>
      <c r="F11" s="294">
        <f>E11/'- 3 -'!$D11*100</f>
        <v>4.714505124217137</v>
      </c>
      <c r="G11" s="288">
        <f>E11/'- 7 -'!$E11</f>
        <v>515.47779862414006</v>
      </c>
      <c r="H11" s="288">
        <v>254255</v>
      </c>
      <c r="I11" s="294">
        <f>H11/'- 3 -'!$D11*100</f>
        <v>1.4542771666787924</v>
      </c>
      <c r="J11" s="288">
        <f>H11/'- 7 -'!$E11</f>
        <v>159.00875547217009</v>
      </c>
    </row>
    <row r="12" spans="1:10" ht="14.1" customHeight="1">
      <c r="A12" s="18" t="s">
        <v>112</v>
      </c>
      <c r="B12" s="19">
        <v>2148137</v>
      </c>
      <c r="C12" s="69">
        <f>B12/'- 3 -'!$D12*100</f>
        <v>6.7836420819956125</v>
      </c>
      <c r="D12" s="19">
        <f>B12/'- 7 -'!$E12</f>
        <v>1006.7189989689757</v>
      </c>
      <c r="E12" s="19">
        <v>1239743</v>
      </c>
      <c r="F12" s="69">
        <f>E12/'- 3 -'!$D12*100</f>
        <v>3.915007648794973</v>
      </c>
      <c r="G12" s="19">
        <f>E12/'- 7 -'!$E12</f>
        <v>581.00243696691359</v>
      </c>
      <c r="H12" s="19">
        <v>498687</v>
      </c>
      <c r="I12" s="69">
        <f>H12/'- 3 -'!$D12*100</f>
        <v>1.5748130212105402</v>
      </c>
      <c r="J12" s="19">
        <f>H12/'- 7 -'!$E12</f>
        <v>233.70840753585156</v>
      </c>
    </row>
    <row r="13" spans="1:10" ht="14.1" customHeight="1">
      <c r="A13" s="287" t="s">
        <v>113</v>
      </c>
      <c r="B13" s="288">
        <v>7380936</v>
      </c>
      <c r="C13" s="294">
        <f>B13/'- 3 -'!$D13*100</f>
        <v>8.5335567716348724</v>
      </c>
      <c r="D13" s="288">
        <f>B13/'- 7 -'!$E13</f>
        <v>916.20357497517375</v>
      </c>
      <c r="E13" s="288">
        <v>4515310</v>
      </c>
      <c r="F13" s="294">
        <f>E13/'- 3 -'!$D13*100</f>
        <v>5.2204292553858558</v>
      </c>
      <c r="G13" s="288">
        <f>E13/'- 7 -'!$E13</f>
        <v>560.49031777557104</v>
      </c>
      <c r="H13" s="288">
        <v>1957622</v>
      </c>
      <c r="I13" s="294">
        <f>H13/'- 3 -'!$D13*100</f>
        <v>2.2633279132079456</v>
      </c>
      <c r="J13" s="288">
        <f>H13/'- 7 -'!$E13</f>
        <v>243.00173783515393</v>
      </c>
    </row>
    <row r="14" spans="1:10" ht="14.1" customHeight="1">
      <c r="A14" s="18" t="s">
        <v>365</v>
      </c>
      <c r="B14" s="19">
        <v>3320668</v>
      </c>
      <c r="C14" s="69">
        <f>B14/'- 3 -'!$D14*100</f>
        <v>4.2862131123579239</v>
      </c>
      <c r="D14" s="19">
        <f>B14/'- 7 -'!$E14</f>
        <v>633.71526717557254</v>
      </c>
      <c r="E14" s="19">
        <v>2580440</v>
      </c>
      <c r="F14" s="69">
        <f>E14/'- 3 -'!$D14*100</f>
        <v>3.3307502477371673</v>
      </c>
      <c r="G14" s="19">
        <f>E14/'- 7 -'!$E14</f>
        <v>492.4503816793893</v>
      </c>
      <c r="H14" s="19">
        <v>1232881</v>
      </c>
      <c r="I14" s="69">
        <f>H14/'- 3 -'!$D14*100</f>
        <v>1.5913637581886988</v>
      </c>
      <c r="J14" s="19">
        <f>H14/'- 7 -'!$E14</f>
        <v>235.28263358778625</v>
      </c>
    </row>
    <row r="15" spans="1:10" ht="14.1" customHeight="1">
      <c r="A15" s="287" t="s">
        <v>114</v>
      </c>
      <c r="B15" s="288">
        <v>1321303</v>
      </c>
      <c r="C15" s="294">
        <f>B15/'- 3 -'!$D15*100</f>
        <v>6.7216925461162109</v>
      </c>
      <c r="D15" s="288">
        <f>B15/'- 7 -'!$E15</f>
        <v>909.67504302925988</v>
      </c>
      <c r="E15" s="288">
        <v>863254</v>
      </c>
      <c r="F15" s="294">
        <f>E15/'- 3 -'!$D15*100</f>
        <v>4.3915195660684967</v>
      </c>
      <c r="G15" s="288">
        <f>E15/'- 7 -'!$E15</f>
        <v>594.32289156626507</v>
      </c>
      <c r="H15" s="288">
        <v>559806</v>
      </c>
      <c r="I15" s="294">
        <f>H15/'- 3 -'!$D15*100</f>
        <v>2.8478281041298863</v>
      </c>
      <c r="J15" s="288">
        <f>H15/'- 7 -'!$E15</f>
        <v>385.40860585197936</v>
      </c>
    </row>
    <row r="16" spans="1:10" ht="14.1" customHeight="1">
      <c r="A16" s="18" t="s">
        <v>115</v>
      </c>
      <c r="B16" s="19">
        <v>719335</v>
      </c>
      <c r="C16" s="69">
        <f>B16/'- 3 -'!$D16*100</f>
        <v>5.282861704376983</v>
      </c>
      <c r="D16" s="19">
        <f>B16/'- 7 -'!$E16</f>
        <v>787.53558134442744</v>
      </c>
      <c r="E16" s="19">
        <v>826001</v>
      </c>
      <c r="F16" s="69">
        <f>E16/'- 3 -'!$D16*100</f>
        <v>6.0662265157083866</v>
      </c>
      <c r="G16" s="19">
        <f>E16/'- 7 -'!$E16</f>
        <v>904.31464856579817</v>
      </c>
      <c r="H16" s="19">
        <v>298454</v>
      </c>
      <c r="I16" s="69">
        <f>H16/'- 3 -'!$D16*100</f>
        <v>2.1918733373436963</v>
      </c>
      <c r="J16" s="19">
        <f>H16/'- 7 -'!$E16</f>
        <v>326.75060214582879</v>
      </c>
    </row>
    <row r="17" spans="1:10" ht="14.1" customHeight="1">
      <c r="A17" s="287" t="s">
        <v>116</v>
      </c>
      <c r="B17" s="288">
        <v>946959</v>
      </c>
      <c r="C17" s="294">
        <f>B17/'- 3 -'!$D17*100</f>
        <v>5.4537780076872222</v>
      </c>
      <c r="D17" s="288">
        <f>B17/'- 7 -'!$E17</f>
        <v>708.80164670658678</v>
      </c>
      <c r="E17" s="288">
        <v>588859</v>
      </c>
      <c r="F17" s="294">
        <f>E17/'- 3 -'!$D17*100</f>
        <v>3.3913889237323795</v>
      </c>
      <c r="G17" s="288">
        <f>E17/'- 7 -'!$E17</f>
        <v>440.76272455089821</v>
      </c>
      <c r="H17" s="288">
        <v>215258</v>
      </c>
      <c r="I17" s="294">
        <f>H17/'- 3 -'!$D17*100</f>
        <v>1.2397256337167037</v>
      </c>
      <c r="J17" s="288">
        <f>H17/'- 7 -'!$E17</f>
        <v>161.12125748502993</v>
      </c>
    </row>
    <row r="18" spans="1:10" ht="14.1" customHeight="1">
      <c r="A18" s="18" t="s">
        <v>117</v>
      </c>
      <c r="B18" s="19">
        <v>9809421</v>
      </c>
      <c r="C18" s="69">
        <f>B18/'- 3 -'!$D18*100</f>
        <v>8.0290446594210945</v>
      </c>
      <c r="D18" s="19">
        <f>B18/'- 7 -'!$E18</f>
        <v>1616.5103068914204</v>
      </c>
      <c r="E18" s="19">
        <v>3346759</v>
      </c>
      <c r="F18" s="69">
        <f>E18/'- 3 -'!$D18*100</f>
        <v>2.7393336951609562</v>
      </c>
      <c r="G18" s="19">
        <f>E18/'- 7 -'!$E18</f>
        <v>551.51781314938194</v>
      </c>
      <c r="H18" s="19">
        <v>1517938</v>
      </c>
      <c r="I18" s="69">
        <f>H18/'- 3 -'!$D18*100</f>
        <v>1.2424374478608204</v>
      </c>
      <c r="J18" s="19">
        <f>H18/'- 7 -'!$E18</f>
        <v>250.14345109891286</v>
      </c>
    </row>
    <row r="19" spans="1:10" ht="14.1" customHeight="1">
      <c r="A19" s="287" t="s">
        <v>118</v>
      </c>
      <c r="B19" s="288">
        <v>1947520</v>
      </c>
      <c r="C19" s="294">
        <f>B19/'- 3 -'!$D19*100</f>
        <v>4.5214194562145247</v>
      </c>
      <c r="D19" s="288">
        <f>B19/'- 7 -'!$E19</f>
        <v>462.01219367542046</v>
      </c>
      <c r="E19" s="288">
        <v>2663226</v>
      </c>
      <c r="F19" s="294">
        <f>E19/'- 3 -'!$D19*100</f>
        <v>6.1830234619908309</v>
      </c>
      <c r="G19" s="288">
        <f>E19/'- 7 -'!$E19</f>
        <v>631.79987189523877</v>
      </c>
      <c r="H19" s="288">
        <v>878461</v>
      </c>
      <c r="I19" s="294">
        <f>H19/'- 3 -'!$D19*100</f>
        <v>2.0394607793119803</v>
      </c>
      <c r="J19" s="288">
        <f>H19/'- 7 -'!$E19</f>
        <v>208.39821602258439</v>
      </c>
    </row>
    <row r="20" spans="1:10" ht="14.1" customHeight="1">
      <c r="A20" s="18" t="s">
        <v>119</v>
      </c>
      <c r="B20" s="19">
        <v>3693643</v>
      </c>
      <c r="C20" s="69">
        <f>B20/'- 3 -'!$D20*100</f>
        <v>4.9475002609275043</v>
      </c>
      <c r="D20" s="19">
        <f>B20/'- 7 -'!$E20</f>
        <v>501.10473477140141</v>
      </c>
      <c r="E20" s="19">
        <v>2807797</v>
      </c>
      <c r="F20" s="69">
        <f>E20/'- 3 -'!$D20*100</f>
        <v>3.7609418100589216</v>
      </c>
      <c r="G20" s="19">
        <f>E20/'- 7 -'!$E20</f>
        <v>380.92484059150723</v>
      </c>
      <c r="H20" s="19">
        <v>612718</v>
      </c>
      <c r="I20" s="69">
        <f>H20/'- 3 -'!$D20*100</f>
        <v>0.82071344330650764</v>
      </c>
      <c r="J20" s="19">
        <f>H20/'- 7 -'!$E20</f>
        <v>83.125491792158456</v>
      </c>
    </row>
    <row r="21" spans="1:10" ht="14.1" customHeight="1">
      <c r="A21" s="287" t="s">
        <v>120</v>
      </c>
      <c r="B21" s="288">
        <v>1968514</v>
      </c>
      <c r="C21" s="294">
        <f>B21/'- 3 -'!$D21*100</f>
        <v>5.654893808255621</v>
      </c>
      <c r="D21" s="288">
        <f>B21/'- 7 -'!$E21</f>
        <v>735.34329473290995</v>
      </c>
      <c r="E21" s="288">
        <v>2012862</v>
      </c>
      <c r="F21" s="294">
        <f>E21/'- 3 -'!$D21*100</f>
        <v>5.7822910381501096</v>
      </c>
      <c r="G21" s="288">
        <f>E21/'- 7 -'!$E21</f>
        <v>751.90960029884195</v>
      </c>
      <c r="H21" s="288">
        <v>875666</v>
      </c>
      <c r="I21" s="294">
        <f>H21/'- 3 -'!$D21*100</f>
        <v>2.5155006474426731</v>
      </c>
      <c r="J21" s="288">
        <f>H21/'- 7 -'!$E21</f>
        <v>327.10720956294358</v>
      </c>
    </row>
    <row r="22" spans="1:10" ht="14.1" customHeight="1">
      <c r="A22" s="18" t="s">
        <v>121</v>
      </c>
      <c r="B22" s="19">
        <v>836527</v>
      </c>
      <c r="C22" s="69">
        <f>B22/'- 3 -'!$D22*100</f>
        <v>4.3038536846049507</v>
      </c>
      <c r="D22" s="19">
        <f>B22/'- 7 -'!$E22</f>
        <v>546.07154514002218</v>
      </c>
      <c r="E22" s="19">
        <v>1311844</v>
      </c>
      <c r="F22" s="69">
        <f>E22/'- 3 -'!$D22*100</f>
        <v>6.7493154829753221</v>
      </c>
      <c r="G22" s="19">
        <f>E22/'- 7 -'!$E22</f>
        <v>856.35093674521829</v>
      </c>
      <c r="H22" s="19">
        <v>515578</v>
      </c>
      <c r="I22" s="69">
        <f>H22/'- 3 -'!$D22*100</f>
        <v>2.6526009023035138</v>
      </c>
      <c r="J22" s="19">
        <f>H22/'- 7 -'!$E22</f>
        <v>336.56113323323973</v>
      </c>
    </row>
    <row r="23" spans="1:10" ht="14.1" customHeight="1">
      <c r="A23" s="287" t="s">
        <v>122</v>
      </c>
      <c r="B23" s="288">
        <v>1262047</v>
      </c>
      <c r="C23" s="294">
        <f>B23/'- 3 -'!$D23*100</f>
        <v>7.7683046017304083</v>
      </c>
      <c r="D23" s="288">
        <f>B23/'- 7 -'!$E23</f>
        <v>1124.8190730837789</v>
      </c>
      <c r="E23" s="288">
        <v>600678</v>
      </c>
      <c r="F23" s="294">
        <f>E23/'- 3 -'!$D23*100</f>
        <v>3.6973660026593449</v>
      </c>
      <c r="G23" s="288">
        <f>E23/'- 7 -'!$E23</f>
        <v>535.36363636363637</v>
      </c>
      <c r="H23" s="288">
        <v>322750</v>
      </c>
      <c r="I23" s="294">
        <f>H23/'- 3 -'!$D23*100</f>
        <v>1.9866299038058719</v>
      </c>
      <c r="J23" s="288">
        <f>H23/'- 7 -'!$E23</f>
        <v>287.65597147950086</v>
      </c>
    </row>
    <row r="24" spans="1:10" ht="14.1" customHeight="1">
      <c r="A24" s="18" t="s">
        <v>123</v>
      </c>
      <c r="B24" s="19">
        <v>3548940</v>
      </c>
      <c r="C24" s="69">
        <f>B24/'- 3 -'!$D24*100</f>
        <v>6.5452261100325888</v>
      </c>
      <c r="D24" s="19">
        <f>B24/'- 7 -'!$E24</f>
        <v>876.90939191025677</v>
      </c>
      <c r="E24" s="19">
        <v>2504862</v>
      </c>
      <c r="F24" s="69">
        <f>E24/'- 3 -'!$D24*100</f>
        <v>4.6196577469409039</v>
      </c>
      <c r="G24" s="19">
        <f>E24/'- 7 -'!$E24</f>
        <v>618.92762718983965</v>
      </c>
      <c r="H24" s="19">
        <v>1132914</v>
      </c>
      <c r="I24" s="69">
        <f>H24/'- 3 -'!$D24*100</f>
        <v>2.0894064969318897</v>
      </c>
      <c r="J24" s="19">
        <f>H24/'- 7 -'!$E24</f>
        <v>279.93229720046452</v>
      </c>
    </row>
    <row r="25" spans="1:10" ht="14.1" customHeight="1">
      <c r="A25" s="287" t="s">
        <v>124</v>
      </c>
      <c r="B25" s="288">
        <v>9475316</v>
      </c>
      <c r="C25" s="294">
        <f>B25/'- 3 -'!$D25*100</f>
        <v>5.9309894832072123</v>
      </c>
      <c r="D25" s="288">
        <f>B25/'- 7 -'!$E25</f>
        <v>681.97669480851312</v>
      </c>
      <c r="E25" s="288">
        <v>6897362</v>
      </c>
      <c r="F25" s="294">
        <f>E25/'- 3 -'!$D25*100</f>
        <v>4.3173421850915643</v>
      </c>
      <c r="G25" s="288">
        <f>E25/'- 7 -'!$E25</f>
        <v>496.43095171262212</v>
      </c>
      <c r="H25" s="288">
        <v>3009728</v>
      </c>
      <c r="I25" s="294">
        <f>H25/'- 3 -'!$D25*100</f>
        <v>1.8839123798419257</v>
      </c>
      <c r="J25" s="288">
        <f>H25/'- 7 -'!$E25</f>
        <v>216.62225868906498</v>
      </c>
    </row>
    <row r="26" spans="1:10" ht="14.1" customHeight="1">
      <c r="A26" s="18" t="s">
        <v>125</v>
      </c>
      <c r="B26" s="19">
        <v>1539706</v>
      </c>
      <c r="C26" s="69">
        <f>B26/'- 3 -'!$D26*100</f>
        <v>3.9577039104080294</v>
      </c>
      <c r="D26" s="19">
        <f>B26/'- 7 -'!$E26</f>
        <v>495.48061142397427</v>
      </c>
      <c r="E26" s="19">
        <v>1669453</v>
      </c>
      <c r="F26" s="69">
        <f>E26/'- 3 -'!$D26*100</f>
        <v>4.29120927394088</v>
      </c>
      <c r="G26" s="19">
        <f>E26/'- 7 -'!$E26</f>
        <v>537.23346741753824</v>
      </c>
      <c r="H26" s="19">
        <v>1031526</v>
      </c>
      <c r="I26" s="69">
        <f>H26/'- 3 -'!$D26*100</f>
        <v>2.6514636455839966</v>
      </c>
      <c r="J26" s="19">
        <f>H26/'- 7 -'!$E26</f>
        <v>331.94722445695896</v>
      </c>
    </row>
    <row r="27" spans="1:10" ht="14.1" customHeight="1">
      <c r="A27" s="287" t="s">
        <v>126</v>
      </c>
      <c r="B27" s="288">
        <v>2264454</v>
      </c>
      <c r="C27" s="294">
        <f>B27/'- 3 -'!$D27*100</f>
        <v>5.7989114828948871</v>
      </c>
      <c r="D27" s="288">
        <f>B27/'- 7 -'!$E27</f>
        <v>792.45984251968503</v>
      </c>
      <c r="E27" s="288">
        <v>2363047</v>
      </c>
      <c r="F27" s="294">
        <f>E27/'- 3 -'!$D27*100</f>
        <v>6.0513926902115536</v>
      </c>
      <c r="G27" s="288">
        <f>E27/'- 7 -'!$E27</f>
        <v>826.96307961504817</v>
      </c>
      <c r="H27" s="288">
        <v>903262</v>
      </c>
      <c r="I27" s="294">
        <f>H27/'- 3 -'!$D27*100</f>
        <v>2.3131122927922587</v>
      </c>
      <c r="J27" s="288">
        <f>H27/'- 7 -'!$E27</f>
        <v>316.1021872265967</v>
      </c>
    </row>
    <row r="28" spans="1:10" ht="14.1" customHeight="1">
      <c r="A28" s="18" t="s">
        <v>127</v>
      </c>
      <c r="B28" s="19">
        <v>1215853</v>
      </c>
      <c r="C28" s="69">
        <f>B28/'- 3 -'!$D28*100</f>
        <v>4.4215031036995107</v>
      </c>
      <c r="D28" s="19">
        <f>B28/'- 7 -'!$E28</f>
        <v>607.62268865567216</v>
      </c>
      <c r="E28" s="19">
        <v>1299812</v>
      </c>
      <c r="F28" s="69">
        <f>E28/'- 3 -'!$D28*100</f>
        <v>4.7268237132497672</v>
      </c>
      <c r="G28" s="19">
        <f>E28/'- 7 -'!$E28</f>
        <v>649.58120939530238</v>
      </c>
      <c r="H28" s="19">
        <v>491454</v>
      </c>
      <c r="I28" s="69">
        <f>H28/'- 3 -'!$D28*100</f>
        <v>1.7871941643648859</v>
      </c>
      <c r="J28" s="19">
        <f>H28/'- 7 -'!$E28</f>
        <v>245.60419790104947</v>
      </c>
    </row>
    <row r="29" spans="1:10" ht="14.1" customHeight="1">
      <c r="A29" s="287" t="s">
        <v>128</v>
      </c>
      <c r="B29" s="288">
        <v>11790779</v>
      </c>
      <c r="C29" s="294">
        <f>B29/'- 3 -'!$D29*100</f>
        <v>8.08231148487965</v>
      </c>
      <c r="D29" s="288">
        <f>B29/'- 7 -'!$E29</f>
        <v>948.02519859775509</v>
      </c>
      <c r="E29" s="288">
        <v>10638519</v>
      </c>
      <c r="F29" s="294">
        <f>E29/'- 3 -'!$D29*100</f>
        <v>7.2924633983734539</v>
      </c>
      <c r="G29" s="288">
        <f>E29/'- 7 -'!$E29</f>
        <v>855.37894381372007</v>
      </c>
      <c r="H29" s="288">
        <v>2953748</v>
      </c>
      <c r="I29" s="294">
        <f>H29/'- 3 -'!$D29*100</f>
        <v>2.0247272367534235</v>
      </c>
      <c r="J29" s="288">
        <f>H29/'- 7 -'!$E29</f>
        <v>237.49300485639853</v>
      </c>
    </row>
    <row r="30" spans="1:10" ht="14.1" customHeight="1">
      <c r="A30" s="18" t="s">
        <v>129</v>
      </c>
      <c r="B30" s="19">
        <v>485554</v>
      </c>
      <c r="C30" s="69">
        <f>B30/'- 3 -'!$D30*100</f>
        <v>3.5712725393579601</v>
      </c>
      <c r="D30" s="19">
        <f>B30/'- 7 -'!$E30</f>
        <v>465.31288931480594</v>
      </c>
      <c r="E30" s="19">
        <v>449348</v>
      </c>
      <c r="F30" s="69">
        <f>E30/'- 3 -'!$D30*100</f>
        <v>3.3049757040729162</v>
      </c>
      <c r="G30" s="19">
        <f>E30/'- 7 -'!$E30</f>
        <v>430.61619549592717</v>
      </c>
      <c r="H30" s="19">
        <v>238907</v>
      </c>
      <c r="I30" s="69">
        <f>H30/'- 3 -'!$D30*100</f>
        <v>1.7571722374038565</v>
      </c>
      <c r="J30" s="19">
        <f>H30/'- 7 -'!$E30</f>
        <v>228.94777192141831</v>
      </c>
    </row>
    <row r="31" spans="1:10" ht="14.1" customHeight="1">
      <c r="A31" s="287" t="s">
        <v>130</v>
      </c>
      <c r="B31" s="288">
        <v>1919819</v>
      </c>
      <c r="C31" s="294">
        <f>B31/'- 3 -'!$D31*100</f>
        <v>5.4308091409700818</v>
      </c>
      <c r="D31" s="288">
        <f>B31/'- 7 -'!$E31</f>
        <v>591.07727832512319</v>
      </c>
      <c r="E31" s="288">
        <v>1061693</v>
      </c>
      <c r="F31" s="294">
        <f>E31/'- 3 -'!$D31*100</f>
        <v>3.0033310688684449</v>
      </c>
      <c r="G31" s="288">
        <f>E31/'- 7 -'!$E31</f>
        <v>326.8759236453202</v>
      </c>
      <c r="H31" s="288">
        <v>882394</v>
      </c>
      <c r="I31" s="294">
        <f>H31/'- 3 -'!$D31*100</f>
        <v>2.496127708464785</v>
      </c>
      <c r="J31" s="288">
        <f>H31/'- 7 -'!$E31</f>
        <v>271.67302955665025</v>
      </c>
    </row>
    <row r="32" spans="1:10" ht="14.1" customHeight="1">
      <c r="A32" s="18" t="s">
        <v>131</v>
      </c>
      <c r="B32" s="19">
        <v>1009333</v>
      </c>
      <c r="C32" s="69">
        <f>B32/'- 3 -'!$D32*100</f>
        <v>3.8224345752803557</v>
      </c>
      <c r="D32" s="19">
        <f>B32/'- 7 -'!$E32</f>
        <v>482.0119388729704</v>
      </c>
      <c r="E32" s="19">
        <v>1567574</v>
      </c>
      <c r="F32" s="69">
        <f>E32/'- 3 -'!$D32*100</f>
        <v>5.9365432983074253</v>
      </c>
      <c r="G32" s="19">
        <f>E32/'- 7 -'!$E32</f>
        <v>748.60267430754539</v>
      </c>
      <c r="H32" s="19">
        <v>331942</v>
      </c>
      <c r="I32" s="69">
        <f>H32/'- 3 -'!$D32*100</f>
        <v>1.2570941183808633</v>
      </c>
      <c r="J32" s="19">
        <f>H32/'- 7 -'!$E32</f>
        <v>158.52053486150908</v>
      </c>
    </row>
    <row r="33" spans="1:10" ht="14.1" customHeight="1">
      <c r="A33" s="287" t="s">
        <v>132</v>
      </c>
      <c r="B33" s="288">
        <v>1452292</v>
      </c>
      <c r="C33" s="294">
        <f>B33/'- 3 -'!$D33*100</f>
        <v>5.5109422575445262</v>
      </c>
      <c r="D33" s="288">
        <f>B33/'- 7 -'!$E33</f>
        <v>723.79367057064542</v>
      </c>
      <c r="E33" s="288">
        <v>988314</v>
      </c>
      <c r="F33" s="294">
        <f>E33/'- 3 -'!$D33*100</f>
        <v>3.7503073667849587</v>
      </c>
      <c r="G33" s="288">
        <f>E33/'- 7 -'!$E33</f>
        <v>492.55619237478197</v>
      </c>
      <c r="H33" s="288">
        <v>371683</v>
      </c>
      <c r="I33" s="294">
        <f>H33/'- 3 -'!$D33*100</f>
        <v>1.4104075152317317</v>
      </c>
      <c r="J33" s="288">
        <f>H33/'- 7 -'!$E33</f>
        <v>185.23947171692001</v>
      </c>
    </row>
    <row r="34" spans="1:10" ht="14.1" customHeight="1">
      <c r="A34" s="18" t="s">
        <v>133</v>
      </c>
      <c r="B34" s="19">
        <v>1117835</v>
      </c>
      <c r="C34" s="69">
        <f>B34/'- 3 -'!$D34*100</f>
        <v>4.2170812094699137</v>
      </c>
      <c r="D34" s="19">
        <f>B34/'- 7 -'!$E34</f>
        <v>561.51168397998754</v>
      </c>
      <c r="E34" s="19">
        <v>1304580</v>
      </c>
      <c r="F34" s="69">
        <f>E34/'- 3 -'!$D34*100</f>
        <v>4.9215848530867801</v>
      </c>
      <c r="G34" s="19">
        <f>E34/'- 7 -'!$E34</f>
        <v>655.31756716028053</v>
      </c>
      <c r="H34" s="19">
        <v>616122</v>
      </c>
      <c r="I34" s="69">
        <f>H34/'- 3 -'!$D34*100</f>
        <v>2.3243470717422721</v>
      </c>
      <c r="J34" s="19">
        <f>H34/'- 7 -'!$E34</f>
        <v>309.49084771644999</v>
      </c>
    </row>
    <row r="35" spans="1:10" ht="14.1" customHeight="1">
      <c r="A35" s="287" t="s">
        <v>134</v>
      </c>
      <c r="B35" s="288">
        <v>13259185</v>
      </c>
      <c r="C35" s="294">
        <f>B35/'- 3 -'!$D35*100</f>
        <v>7.5873876727219614</v>
      </c>
      <c r="D35" s="288">
        <f>B35/'- 7 -'!$E35</f>
        <v>852.73554569425687</v>
      </c>
      <c r="E35" s="288">
        <v>9375865</v>
      </c>
      <c r="F35" s="294">
        <f>E35/'- 3 -'!$D35*100</f>
        <v>5.3652107970516507</v>
      </c>
      <c r="G35" s="288">
        <f>E35/'- 7 -'!$E35</f>
        <v>602.98829506720688</v>
      </c>
      <c r="H35" s="288">
        <v>2975556</v>
      </c>
      <c r="I35" s="294">
        <f>H35/'- 3 -'!$D35*100</f>
        <v>1.7027213146127662</v>
      </c>
      <c r="J35" s="288">
        <f>H35/'- 7 -'!$E35</f>
        <v>191.36639012155123</v>
      </c>
    </row>
    <row r="36" spans="1:10" ht="14.1" customHeight="1">
      <c r="A36" s="18" t="s">
        <v>135</v>
      </c>
      <c r="B36" s="19">
        <v>875581</v>
      </c>
      <c r="C36" s="69">
        <f>B36/'- 3 -'!$D36*100</f>
        <v>4.0098772619363077</v>
      </c>
      <c r="D36" s="19">
        <f>B36/'- 7 -'!$E36</f>
        <v>530.97695573074589</v>
      </c>
      <c r="E36" s="19">
        <v>917712</v>
      </c>
      <c r="F36" s="69">
        <f>E36/'- 3 -'!$D36*100</f>
        <v>4.2028235900574504</v>
      </c>
      <c r="G36" s="19">
        <f>E36/'- 7 -'!$E36</f>
        <v>556.52637962401457</v>
      </c>
      <c r="H36" s="19">
        <v>517972</v>
      </c>
      <c r="I36" s="69">
        <f>H36/'- 3 -'!$D36*100</f>
        <v>2.3721439194314091</v>
      </c>
      <c r="J36" s="19">
        <f>H36/'- 7 -'!$E36</f>
        <v>314.11279563371738</v>
      </c>
    </row>
    <row r="37" spans="1:10" ht="14.1" customHeight="1">
      <c r="A37" s="287" t="s">
        <v>136</v>
      </c>
      <c r="B37" s="288">
        <v>3492964</v>
      </c>
      <c r="C37" s="294">
        <f>B37/'- 3 -'!$D37*100</f>
        <v>7.7494668498219053</v>
      </c>
      <c r="D37" s="288">
        <f>B37/'- 7 -'!$E37</f>
        <v>883.62357703010377</v>
      </c>
      <c r="E37" s="288">
        <v>1851833</v>
      </c>
      <c r="F37" s="294">
        <f>E37/'- 3 -'!$D37*100</f>
        <v>4.1084644573795339</v>
      </c>
      <c r="G37" s="288">
        <f>E37/'- 7 -'!$E37</f>
        <v>468.46268656716416</v>
      </c>
      <c r="H37" s="288">
        <v>1248548</v>
      </c>
      <c r="I37" s="294">
        <f>H37/'- 3 -'!$D37*100</f>
        <v>2.7700203427265322</v>
      </c>
      <c r="J37" s="288">
        <f>H37/'- 7 -'!$E37</f>
        <v>315.84821654439668</v>
      </c>
    </row>
    <row r="38" spans="1:10" ht="14.1" customHeight="1">
      <c r="A38" s="18" t="s">
        <v>137</v>
      </c>
      <c r="B38" s="19">
        <v>11334660</v>
      </c>
      <c r="C38" s="69">
        <f>B38/'- 3 -'!$D38*100</f>
        <v>9.2866875883265454</v>
      </c>
      <c r="D38" s="19">
        <f>B38/'- 7 -'!$E38</f>
        <v>1075.8335943506363</v>
      </c>
      <c r="E38" s="19">
        <v>4785706</v>
      </c>
      <c r="F38" s="69">
        <f>E38/'- 3 -'!$D38*100</f>
        <v>3.9210136441304702</v>
      </c>
      <c r="G38" s="19">
        <f>E38/'- 7 -'!$E38</f>
        <v>454.23711760965097</v>
      </c>
      <c r="H38" s="19">
        <v>2634613</v>
      </c>
      <c r="I38" s="69">
        <f>H38/'- 3 -'!$D38*100</f>
        <v>2.1585850697898099</v>
      </c>
      <c r="J38" s="19">
        <f>H38/'- 7 -'!$E38</f>
        <v>250.06530178346003</v>
      </c>
    </row>
    <row r="39" spans="1:10" ht="14.1" customHeight="1">
      <c r="A39" s="287" t="s">
        <v>138</v>
      </c>
      <c r="B39" s="288">
        <v>1148333</v>
      </c>
      <c r="C39" s="294">
        <f>B39/'- 3 -'!$D39*100</f>
        <v>5.687572207010783</v>
      </c>
      <c r="D39" s="288">
        <f>B39/'- 7 -'!$E39</f>
        <v>742.53669576462983</v>
      </c>
      <c r="E39" s="288">
        <v>696400</v>
      </c>
      <c r="F39" s="294">
        <f>E39/'- 3 -'!$D39*100</f>
        <v>3.4491957341313966</v>
      </c>
      <c r="G39" s="288">
        <f>E39/'- 7 -'!$E39</f>
        <v>450.30714516650499</v>
      </c>
      <c r="H39" s="288">
        <v>242914</v>
      </c>
      <c r="I39" s="294">
        <f>H39/'- 3 -'!$D39*100</f>
        <v>1.2031274160838512</v>
      </c>
      <c r="J39" s="288">
        <f>H39/'- 7 -'!$E39</f>
        <v>157.07339152925962</v>
      </c>
    </row>
    <row r="40" spans="1:10" ht="14.1" customHeight="1">
      <c r="A40" s="18" t="s">
        <v>139</v>
      </c>
      <c r="B40" s="19">
        <v>9846629</v>
      </c>
      <c r="C40" s="69">
        <f>B40/'- 3 -'!$D40*100</f>
        <v>10.070850751599433</v>
      </c>
      <c r="D40" s="19">
        <f>B40/'- 7 -'!$E40</f>
        <v>1248.8431879867082</v>
      </c>
      <c r="E40" s="19">
        <v>5343634</v>
      </c>
      <c r="F40" s="69">
        <f>E40/'- 3 -'!$D40*100</f>
        <v>5.465316148823347</v>
      </c>
      <c r="G40" s="19">
        <f>E40/'- 7 -'!$E40</f>
        <v>677.73051264490266</v>
      </c>
      <c r="H40" s="19">
        <v>2505563</v>
      </c>
      <c r="I40" s="69">
        <f>H40/'- 3 -'!$D40*100</f>
        <v>2.5626182342941664</v>
      </c>
      <c r="J40" s="19">
        <f>H40/'- 7 -'!$E40</f>
        <v>317.77934200847221</v>
      </c>
    </row>
    <row r="41" spans="1:10" ht="14.1" customHeight="1">
      <c r="A41" s="287" t="s">
        <v>140</v>
      </c>
      <c r="B41" s="288">
        <v>5211920</v>
      </c>
      <c r="C41" s="294">
        <f>B41/'- 3 -'!$D41*100</f>
        <v>8.7231490422096432</v>
      </c>
      <c r="D41" s="288">
        <f>B41/'- 7 -'!$E41</f>
        <v>1196.6295488462863</v>
      </c>
      <c r="E41" s="288">
        <v>2716968</v>
      </c>
      <c r="F41" s="294">
        <f>E41/'- 3 -'!$D41*100</f>
        <v>4.5473677276155904</v>
      </c>
      <c r="G41" s="288">
        <f>E41/'- 7 -'!$E41</f>
        <v>623.80163012283322</v>
      </c>
      <c r="H41" s="288">
        <v>856725</v>
      </c>
      <c r="I41" s="294">
        <f>H41/'- 3 -'!$D41*100</f>
        <v>1.4338938170937114</v>
      </c>
      <c r="J41" s="288">
        <f>H41/'- 7 -'!$E41</f>
        <v>196.6995752496843</v>
      </c>
    </row>
    <row r="42" spans="1:10" ht="14.1" customHeight="1">
      <c r="A42" s="18" t="s">
        <v>141</v>
      </c>
      <c r="B42" s="19">
        <v>1560661</v>
      </c>
      <c r="C42" s="69">
        <f>B42/'- 3 -'!$D42*100</f>
        <v>7.8427331645749261</v>
      </c>
      <c r="D42" s="19">
        <f>B42/'- 7 -'!$E42</f>
        <v>1107.3229743153115</v>
      </c>
      <c r="E42" s="19">
        <v>760297</v>
      </c>
      <c r="F42" s="69">
        <f>E42/'- 3 -'!$D42*100</f>
        <v>3.8206929607562579</v>
      </c>
      <c r="G42" s="19">
        <f>E42/'- 7 -'!$E42</f>
        <v>539.44728253157371</v>
      </c>
      <c r="H42" s="19">
        <v>229660</v>
      </c>
      <c r="I42" s="69">
        <f>H42/'- 3 -'!$D42*100</f>
        <v>1.1541020750670885</v>
      </c>
      <c r="J42" s="19">
        <f>H42/'- 7 -'!$E42</f>
        <v>162.94877252731658</v>
      </c>
    </row>
    <row r="43" spans="1:10" ht="14.1" customHeight="1">
      <c r="A43" s="287" t="s">
        <v>142</v>
      </c>
      <c r="B43" s="288">
        <v>447521</v>
      </c>
      <c r="C43" s="294">
        <f>B43/'- 3 -'!$D43*100</f>
        <v>3.4939269810553721</v>
      </c>
      <c r="D43" s="288">
        <f>B43/'- 7 -'!$E43</f>
        <v>464.60450774996627</v>
      </c>
      <c r="E43" s="288">
        <v>1135227</v>
      </c>
      <c r="F43" s="294">
        <f>E43/'- 3 -'!$D43*100</f>
        <v>8.8630483148780659</v>
      </c>
      <c r="G43" s="288">
        <f>E43/'- 7 -'!$E43</f>
        <v>1178.5627524059673</v>
      </c>
      <c r="H43" s="288">
        <v>203635</v>
      </c>
      <c r="I43" s="294">
        <f>H43/'- 3 -'!$D43*100</f>
        <v>1.5898378417710251</v>
      </c>
      <c r="J43" s="288">
        <f>H43/'- 7 -'!$E43</f>
        <v>211.40849018406817</v>
      </c>
    </row>
    <row r="44" spans="1:10" ht="14.1" customHeight="1">
      <c r="A44" s="18" t="s">
        <v>143</v>
      </c>
      <c r="B44" s="19">
        <v>938813</v>
      </c>
      <c r="C44" s="69">
        <f>B44/'- 3 -'!$D44*100</f>
        <v>8.9046975328220999</v>
      </c>
      <c r="D44" s="19">
        <f>B44/'- 7 -'!$E44</f>
        <v>1350.810071942446</v>
      </c>
      <c r="E44" s="19">
        <v>453313</v>
      </c>
      <c r="F44" s="69">
        <f>E44/'- 3 -'!$D44*100</f>
        <v>4.2997009550317111</v>
      </c>
      <c r="G44" s="19">
        <f>E44/'- 7 -'!$E44</f>
        <v>652.24892086330931</v>
      </c>
      <c r="H44" s="19">
        <v>72361</v>
      </c>
      <c r="I44" s="69">
        <f>H44/'- 3 -'!$D44*100</f>
        <v>0.6863484188784561</v>
      </c>
      <c r="J44" s="19">
        <f>H44/'- 7 -'!$E44</f>
        <v>104.11654676258993</v>
      </c>
    </row>
    <row r="45" spans="1:10" ht="14.1" customHeight="1">
      <c r="A45" s="287" t="s">
        <v>144</v>
      </c>
      <c r="B45" s="288">
        <v>819813</v>
      </c>
      <c r="C45" s="294">
        <f>B45/'- 3 -'!$D45*100</f>
        <v>4.6947840333373634</v>
      </c>
      <c r="D45" s="288">
        <f>B45/'- 7 -'!$E45</f>
        <v>510.15121344119478</v>
      </c>
      <c r="E45" s="288">
        <v>795881</v>
      </c>
      <c r="F45" s="294">
        <f>E45/'- 3 -'!$D45*100</f>
        <v>4.5577337895795429</v>
      </c>
      <c r="G45" s="288">
        <f>E45/'- 7 -'!$E45</f>
        <v>495.25886745488486</v>
      </c>
      <c r="H45" s="288">
        <v>424749</v>
      </c>
      <c r="I45" s="294">
        <f>H45/'- 3 -'!$D45*100</f>
        <v>2.4323898539984259</v>
      </c>
      <c r="J45" s="288">
        <f>H45/'- 7 -'!$E45</f>
        <v>264.31176104542624</v>
      </c>
    </row>
    <row r="46" spans="1:10" ht="14.1" customHeight="1">
      <c r="A46" s="18" t="s">
        <v>145</v>
      </c>
      <c r="B46" s="19">
        <v>14479985</v>
      </c>
      <c r="C46" s="69">
        <f>B46/'- 3 -'!$D46*100</f>
        <v>3.9375984844233001</v>
      </c>
      <c r="D46" s="19">
        <f>B46/'- 7 -'!$E46</f>
        <v>484.21565676832529</v>
      </c>
      <c r="E46" s="19">
        <v>22029434</v>
      </c>
      <c r="F46" s="69">
        <f>E46/'- 3 -'!$D46*100</f>
        <v>5.9905494329657873</v>
      </c>
      <c r="G46" s="19">
        <f>E46/'- 7 -'!$E46</f>
        <v>736.67181647940072</v>
      </c>
      <c r="H46" s="19">
        <v>5760440</v>
      </c>
      <c r="I46" s="69">
        <f>H46/'- 3 -'!$D46*100</f>
        <v>1.566458792161135</v>
      </c>
      <c r="J46" s="19">
        <f>H46/'- 7 -'!$E46</f>
        <v>192.63108614232209</v>
      </c>
    </row>
    <row r="47" spans="1:10" ht="5.0999999999999996" customHeight="1">
      <c r="A47" s="20"/>
      <c r="B47" s="21"/>
      <c r="C47"/>
      <c r="D47" s="21"/>
      <c r="E47" s="21"/>
      <c r="F47"/>
      <c r="G47" s="21"/>
      <c r="H47"/>
      <c r="I47"/>
      <c r="J47"/>
    </row>
    <row r="48" spans="1:10" ht="14.1" customHeight="1">
      <c r="A48" s="289" t="s">
        <v>146</v>
      </c>
      <c r="B48" s="290">
        <f>SUM(B11:B46)</f>
        <v>135252527</v>
      </c>
      <c r="C48" s="297">
        <f>B48/'- 3 -'!$D48*100</f>
        <v>6.3274353562030861</v>
      </c>
      <c r="D48" s="290">
        <f>B48/'- 7 -'!$E48</f>
        <v>784.09507495461025</v>
      </c>
      <c r="E48" s="290">
        <f>SUM(E11:E46)</f>
        <v>105787856</v>
      </c>
      <c r="F48" s="297">
        <f>E48/'- 3 -'!$D48*100</f>
        <v>4.949007868158505</v>
      </c>
      <c r="G48" s="290">
        <f>E48/'- 7 -'!$E48</f>
        <v>613.28049626464667</v>
      </c>
      <c r="H48" s="290">
        <f>SUM(H11:H46)</f>
        <v>39376490</v>
      </c>
      <c r="I48" s="297">
        <f>H48/'- 3 -'!$D48*100</f>
        <v>1.84212598873792</v>
      </c>
      <c r="J48" s="290">
        <f>H48/'- 7 -'!$E48</f>
        <v>228.27604454295678</v>
      </c>
    </row>
    <row r="49" spans="1:10" ht="5.0999999999999996" customHeight="1">
      <c r="A49" s="20" t="s">
        <v>8</v>
      </c>
      <c r="B49" s="21"/>
      <c r="C49"/>
      <c r="E49" s="21"/>
      <c r="F49"/>
      <c r="H49"/>
      <c r="I49"/>
      <c r="J49"/>
    </row>
    <row r="50" spans="1:10" ht="14.1" customHeight="1">
      <c r="A50" s="18" t="s">
        <v>147</v>
      </c>
      <c r="B50" s="19">
        <v>248368</v>
      </c>
      <c r="C50" s="69">
        <f>B50/'- 3 -'!$D50*100</f>
        <v>7.646263638594224</v>
      </c>
      <c r="D50" s="19">
        <f>B50/'- 7 -'!$E50</f>
        <v>1492.5961538461538</v>
      </c>
      <c r="E50" s="19">
        <v>83557</v>
      </c>
      <c r="F50" s="69">
        <f>E50/'- 3 -'!$D50*100</f>
        <v>2.5723879519504025</v>
      </c>
      <c r="G50" s="19">
        <f>E50/'- 7 -'!$E50</f>
        <v>502.14543269230768</v>
      </c>
      <c r="H50" s="19">
        <v>102184</v>
      </c>
      <c r="I50" s="69">
        <f>H50/'- 3 -'!$D50*100</f>
        <v>3.1458392532295312</v>
      </c>
      <c r="J50" s="19">
        <f>H50/'- 7 -'!$E50</f>
        <v>614.08653846153845</v>
      </c>
    </row>
    <row r="51" spans="1:10" ht="14.1" customHeight="1">
      <c r="A51" s="287" t="s">
        <v>643</v>
      </c>
      <c r="B51" s="288">
        <v>71336</v>
      </c>
      <c r="C51" s="294">
        <f>B51/'- 3 -'!$D51*100</f>
        <v>0.31994352460382119</v>
      </c>
      <c r="D51" s="288">
        <f>B51/'- 7 -'!$E51</f>
        <v>96.010767160161507</v>
      </c>
      <c r="E51" s="288">
        <v>74057</v>
      </c>
      <c r="F51" s="294">
        <f>E51/'- 3 -'!$D51*100</f>
        <v>0.33214726928318361</v>
      </c>
      <c r="G51" s="288">
        <f>E51/'- 7 -'!$E51</f>
        <v>99.672947510094218</v>
      </c>
      <c r="H51" s="288">
        <v>386915</v>
      </c>
      <c r="I51" s="294">
        <f>H51/'- 3 -'!$D51*100</f>
        <v>1.7353222611596875</v>
      </c>
      <c r="J51" s="288">
        <f>H51/'- 7 -'!$E51</f>
        <v>520.74697173620461</v>
      </c>
    </row>
    <row r="52" spans="1:10" ht="50.1" customHeight="1">
      <c r="A52" s="22"/>
      <c r="B52" s="22"/>
      <c r="C52" s="22"/>
      <c r="D52" s="22"/>
      <c r="E52" s="22"/>
      <c r="F52" s="22"/>
      <c r="G52" s="22"/>
      <c r="H52" s="22"/>
      <c r="I52" s="22"/>
      <c r="J52" s="22"/>
    </row>
    <row r="53" spans="1:10">
      <c r="A53" s="129" t="s">
        <v>350</v>
      </c>
      <c r="B53" s="129"/>
    </row>
    <row r="54" spans="1:10">
      <c r="A54" s="129" t="s">
        <v>335</v>
      </c>
      <c r="B54" s="129"/>
    </row>
  </sheetData>
  <mergeCells count="6">
    <mergeCell ref="D8:D9"/>
    <mergeCell ref="G8:G9"/>
    <mergeCell ref="J8:J9"/>
    <mergeCell ref="B6:D7"/>
    <mergeCell ref="E6:G7"/>
    <mergeCell ref="H6:J7"/>
  </mergeCells>
  <phoneticPr fontId="6" type="noConversion"/>
  <pageMargins left="0.5" right="0.5" top="0.6" bottom="0.2" header="0.3" footer="0.5"/>
  <pageSetup scale="87" orientation="portrait" r:id="rId1"/>
  <headerFooter alignWithMargins="0">
    <oddHeader>&amp;C&amp;"Arial,Regular"&amp;11&amp;A</oddHeader>
  </headerFooter>
</worksheet>
</file>

<file path=xl/worksheets/sheet19.xml><?xml version="1.0" encoding="utf-8"?>
<worksheet xmlns="http://schemas.openxmlformats.org/spreadsheetml/2006/main" xmlns:r="http://schemas.openxmlformats.org/officeDocument/2006/relationships">
  <sheetPr codeName="Sheet171">
    <pageSetUpPr fitToPage="1"/>
  </sheetPr>
  <dimension ref="A1:F52"/>
  <sheetViews>
    <sheetView showGridLines="0" showZeros="0" workbookViewId="0"/>
  </sheetViews>
  <sheetFormatPr defaultColWidth="15.83203125" defaultRowHeight="12"/>
  <cols>
    <col min="1" max="1" width="32.83203125" style="1" customWidth="1"/>
    <col min="2" max="2" width="23.83203125" style="1" customWidth="1"/>
    <col min="3" max="3" width="12.83203125" style="1" customWidth="1"/>
    <col min="4" max="4" width="22.83203125" style="1" customWidth="1"/>
    <col min="5" max="5" width="12.83203125" style="1" customWidth="1"/>
    <col min="6" max="6" width="27.83203125" style="1" customWidth="1"/>
    <col min="7" max="16384" width="15.83203125" style="1"/>
  </cols>
  <sheetData>
    <row r="1" spans="1:6" ht="6.95" customHeight="1">
      <c r="A1" s="6"/>
      <c r="B1" s="7"/>
      <c r="C1" s="7"/>
      <c r="D1" s="7"/>
      <c r="E1" s="7"/>
    </row>
    <row r="2" spans="1:6" ht="15.95" customHeight="1">
      <c r="A2" s="133"/>
      <c r="B2" s="8" t="s">
        <v>266</v>
      </c>
      <c r="C2" s="9"/>
      <c r="D2" s="9"/>
      <c r="E2" s="134"/>
      <c r="F2" s="398" t="s">
        <v>423</v>
      </c>
    </row>
    <row r="3" spans="1:6" ht="15.95" customHeight="1">
      <c r="A3" s="546"/>
      <c r="B3" s="10" t="str">
        <f>OPYEAR</f>
        <v>OPERATING FUND 2014/2015 ACTUAL</v>
      </c>
      <c r="C3" s="11"/>
      <c r="D3" s="11"/>
      <c r="E3" s="65"/>
      <c r="F3" s="65"/>
    </row>
    <row r="4" spans="1:6" ht="15.95" customHeight="1">
      <c r="B4" s="7"/>
      <c r="C4" s="7"/>
      <c r="D4" s="7"/>
      <c r="E4" s="7"/>
    </row>
    <row r="5" spans="1:6" ht="15.95" customHeight="1">
      <c r="B5" s="153" t="s">
        <v>190</v>
      </c>
      <c r="C5" s="172"/>
      <c r="D5" s="38"/>
      <c r="E5" s="182"/>
    </row>
    <row r="6" spans="1:6" ht="15.95" customHeight="1">
      <c r="B6" s="631" t="s">
        <v>512</v>
      </c>
      <c r="C6" s="632"/>
      <c r="D6" s="339"/>
      <c r="E6" s="340"/>
    </row>
    <row r="7" spans="1:6" ht="15.95" customHeight="1">
      <c r="B7" s="633"/>
      <c r="C7" s="634"/>
      <c r="D7" s="636" t="s">
        <v>80</v>
      </c>
      <c r="E7" s="637"/>
    </row>
    <row r="8" spans="1:6" ht="15.95" customHeight="1">
      <c r="A8" s="66"/>
      <c r="B8" s="138"/>
      <c r="C8" s="136"/>
      <c r="D8" s="138"/>
      <c r="E8" s="136"/>
    </row>
    <row r="9" spans="1:6" ht="15.95" customHeight="1">
      <c r="A9" s="34" t="s">
        <v>43</v>
      </c>
      <c r="B9" s="76" t="s">
        <v>44</v>
      </c>
      <c r="C9" s="76" t="s">
        <v>45</v>
      </c>
      <c r="D9" s="76" t="s">
        <v>44</v>
      </c>
      <c r="E9" s="76" t="s">
        <v>45</v>
      </c>
    </row>
    <row r="10" spans="1:6" ht="5.0999999999999996" customHeight="1">
      <c r="A10" s="5"/>
    </row>
    <row r="11" spans="1:6" ht="14.1" customHeight="1">
      <c r="A11" s="287" t="s">
        <v>111</v>
      </c>
      <c r="B11" s="288">
        <v>0</v>
      </c>
      <c r="C11" s="294">
        <f>B11/'- 3 -'!$D11*100</f>
        <v>0</v>
      </c>
      <c r="D11" s="288">
        <v>0</v>
      </c>
      <c r="E11" s="294">
        <f>D11/'- 3 -'!$D11*100</f>
        <v>0</v>
      </c>
    </row>
    <row r="12" spans="1:6" ht="14.1" customHeight="1">
      <c r="A12" s="18" t="s">
        <v>112</v>
      </c>
      <c r="B12" s="19">
        <v>135410</v>
      </c>
      <c r="C12" s="69">
        <f>B12/'- 3 -'!$D12*100</f>
        <v>0.4276137761804884</v>
      </c>
      <c r="D12" s="19">
        <v>448082</v>
      </c>
      <c r="E12" s="69">
        <f>D12/'- 3 -'!$D12*100</f>
        <v>1.4150065435234152</v>
      </c>
    </row>
    <row r="13" spans="1:6" ht="14.1" customHeight="1">
      <c r="A13" s="287" t="s">
        <v>113</v>
      </c>
      <c r="B13" s="288">
        <v>0</v>
      </c>
      <c r="C13" s="294">
        <f>B13/'- 3 -'!$D13*100</f>
        <v>0</v>
      </c>
      <c r="D13" s="288">
        <v>0</v>
      </c>
      <c r="E13" s="294">
        <f>D13/'- 3 -'!$D13*100</f>
        <v>0</v>
      </c>
    </row>
    <row r="14" spans="1:6" ht="14.1" customHeight="1">
      <c r="A14" s="18" t="s">
        <v>365</v>
      </c>
      <c r="B14" s="19">
        <v>67913</v>
      </c>
      <c r="C14" s="69">
        <f>B14/'- 3 -'!$D14*100</f>
        <v>8.7659950076178564E-2</v>
      </c>
      <c r="D14" s="19">
        <v>173245</v>
      </c>
      <c r="E14" s="69">
        <f>D14/'- 3 -'!$D14*100</f>
        <v>0.22361916055758921</v>
      </c>
    </row>
    <row r="15" spans="1:6" ht="14.1" customHeight="1">
      <c r="A15" s="287" t="s">
        <v>114</v>
      </c>
      <c r="B15" s="288">
        <v>0</v>
      </c>
      <c r="C15" s="294">
        <f>B15/'- 3 -'!$D15*100</f>
        <v>0</v>
      </c>
      <c r="D15" s="288">
        <v>0</v>
      </c>
      <c r="E15" s="294">
        <f>D15/'- 3 -'!$D15*100</f>
        <v>0</v>
      </c>
    </row>
    <row r="16" spans="1:6" ht="14.1" customHeight="1">
      <c r="A16" s="18" t="s">
        <v>115</v>
      </c>
      <c r="B16" s="19">
        <v>22530</v>
      </c>
      <c r="C16" s="69">
        <f>B16/'- 3 -'!$D16*100</f>
        <v>0.16546237038321981</v>
      </c>
      <c r="D16" s="19">
        <v>69770</v>
      </c>
      <c r="E16" s="69">
        <f>D16/'- 3 -'!$D16*100</f>
        <v>0.51239722954448497</v>
      </c>
    </row>
    <row r="17" spans="1:5" ht="14.1" customHeight="1">
      <c r="A17" s="287" t="s">
        <v>116</v>
      </c>
      <c r="B17" s="288">
        <v>0</v>
      </c>
      <c r="C17" s="294">
        <f>B17/'- 3 -'!$D17*100</f>
        <v>0</v>
      </c>
      <c r="D17" s="288">
        <v>0</v>
      </c>
      <c r="E17" s="294">
        <f>D17/'- 3 -'!$D17*100</f>
        <v>0</v>
      </c>
    </row>
    <row r="18" spans="1:5" ht="14.1" customHeight="1">
      <c r="A18" s="18" t="s">
        <v>117</v>
      </c>
      <c r="B18" s="19">
        <v>214867</v>
      </c>
      <c r="C18" s="69">
        <f>B18/'- 3 -'!$D18*100</f>
        <v>0.17586937484239204</v>
      </c>
      <c r="D18" s="19">
        <v>1952870</v>
      </c>
      <c r="E18" s="69">
        <f>D18/'- 3 -'!$D18*100</f>
        <v>1.5984307783347937</v>
      </c>
    </row>
    <row r="19" spans="1:5" ht="14.1" customHeight="1">
      <c r="A19" s="287" t="s">
        <v>118</v>
      </c>
      <c r="B19" s="288">
        <v>0</v>
      </c>
      <c r="C19" s="294">
        <f>B19/'- 3 -'!$D19*100</f>
        <v>0</v>
      </c>
      <c r="D19" s="288">
        <v>0</v>
      </c>
      <c r="E19" s="294">
        <f>D19/'- 3 -'!$D19*100</f>
        <v>0</v>
      </c>
    </row>
    <row r="20" spans="1:5" ht="14.1" customHeight="1">
      <c r="A20" s="18" t="s">
        <v>119</v>
      </c>
      <c r="B20" s="19">
        <v>0</v>
      </c>
      <c r="C20" s="69">
        <f>B20/'- 3 -'!$D20*100</f>
        <v>0</v>
      </c>
      <c r="D20" s="19">
        <v>0</v>
      </c>
      <c r="E20" s="69">
        <f>D20/'- 3 -'!$D20*100</f>
        <v>0</v>
      </c>
    </row>
    <row r="21" spans="1:5" ht="14.1" customHeight="1">
      <c r="A21" s="287" t="s">
        <v>120</v>
      </c>
      <c r="B21" s="288">
        <v>0</v>
      </c>
      <c r="C21" s="294">
        <f>B21/'- 3 -'!$D21*100</f>
        <v>0</v>
      </c>
      <c r="D21" s="288">
        <v>0</v>
      </c>
      <c r="E21" s="294">
        <f>D21/'- 3 -'!$D21*100</f>
        <v>0</v>
      </c>
    </row>
    <row r="22" spans="1:5" ht="14.1" customHeight="1">
      <c r="A22" s="18" t="s">
        <v>121</v>
      </c>
      <c r="B22" s="19">
        <v>154404</v>
      </c>
      <c r="C22" s="69">
        <f>B22/'- 3 -'!$D22*100</f>
        <v>0.79439423272380083</v>
      </c>
      <c r="D22" s="19">
        <v>397266</v>
      </c>
      <c r="E22" s="69">
        <f>D22/'- 3 -'!$D22*100</f>
        <v>2.0438966558978615</v>
      </c>
    </row>
    <row r="23" spans="1:5" ht="14.1" customHeight="1">
      <c r="A23" s="287" t="s">
        <v>122</v>
      </c>
      <c r="B23" s="288">
        <v>59122</v>
      </c>
      <c r="C23" s="294">
        <f>B23/'- 3 -'!$D23*100</f>
        <v>0.36391489751451828</v>
      </c>
      <c r="D23" s="288">
        <v>204740</v>
      </c>
      <c r="E23" s="294">
        <f>D23/'- 3 -'!$D23*100</f>
        <v>1.260240453927852</v>
      </c>
    </row>
    <row r="24" spans="1:5" ht="14.1" customHeight="1">
      <c r="A24" s="18" t="s">
        <v>123</v>
      </c>
      <c r="B24" s="19">
        <v>115256</v>
      </c>
      <c r="C24" s="69">
        <f>B24/'- 3 -'!$D24*100</f>
        <v>0.21256391501065561</v>
      </c>
      <c r="D24" s="19">
        <v>210096</v>
      </c>
      <c r="E24" s="69">
        <f>D24/'- 3 -'!$D24*100</f>
        <v>0.38747508405704428</v>
      </c>
    </row>
    <row r="25" spans="1:5" ht="14.1" customHeight="1">
      <c r="A25" s="287" t="s">
        <v>124</v>
      </c>
      <c r="B25" s="288">
        <v>123975</v>
      </c>
      <c r="C25" s="294">
        <f>B25/'- 3 -'!$D25*100</f>
        <v>7.7601044775774675E-2</v>
      </c>
      <c r="D25" s="288">
        <v>956222</v>
      </c>
      <c r="E25" s="294">
        <f>D25/'- 3 -'!$D25*100</f>
        <v>0.59853862663908686</v>
      </c>
    </row>
    <row r="26" spans="1:5" ht="14.1" customHeight="1">
      <c r="A26" s="18" t="s">
        <v>125</v>
      </c>
      <c r="B26" s="19">
        <v>0</v>
      </c>
      <c r="C26" s="69">
        <f>B26/'- 3 -'!$D26*100</f>
        <v>0</v>
      </c>
      <c r="D26" s="19">
        <v>0</v>
      </c>
      <c r="E26" s="69">
        <f>D26/'- 3 -'!$D26*100</f>
        <v>0</v>
      </c>
    </row>
    <row r="27" spans="1:5" ht="14.1" customHeight="1">
      <c r="A27" s="287" t="s">
        <v>126</v>
      </c>
      <c r="B27" s="288">
        <v>0</v>
      </c>
      <c r="C27" s="294">
        <f>B27/'- 3 -'!$D27*100</f>
        <v>0</v>
      </c>
      <c r="D27" s="288">
        <v>0</v>
      </c>
      <c r="E27" s="294">
        <f>D27/'- 3 -'!$D27*100</f>
        <v>0</v>
      </c>
    </row>
    <row r="28" spans="1:5" ht="14.1" customHeight="1">
      <c r="A28" s="18" t="s">
        <v>127</v>
      </c>
      <c r="B28" s="19">
        <v>0</v>
      </c>
      <c r="C28" s="69">
        <f>B28/'- 3 -'!$D28*100</f>
        <v>0</v>
      </c>
      <c r="D28" s="19">
        <v>124845</v>
      </c>
      <c r="E28" s="69">
        <f>D28/'- 3 -'!$D28*100</f>
        <v>0.4540043533069914</v>
      </c>
    </row>
    <row r="29" spans="1:5" ht="14.1" customHeight="1">
      <c r="A29" s="287" t="s">
        <v>128</v>
      </c>
      <c r="B29" s="288">
        <v>0</v>
      </c>
      <c r="C29" s="294">
        <f>B29/'- 3 -'!$D29*100</f>
        <v>0</v>
      </c>
      <c r="D29" s="288">
        <v>0</v>
      </c>
      <c r="E29" s="294">
        <f>D29/'- 3 -'!$D29*100</f>
        <v>0</v>
      </c>
    </row>
    <row r="30" spans="1:5" ht="14.1" customHeight="1">
      <c r="A30" s="18" t="s">
        <v>129</v>
      </c>
      <c r="B30" s="19">
        <v>0</v>
      </c>
      <c r="C30" s="69">
        <f>B30/'- 3 -'!$D30*100</f>
        <v>0</v>
      </c>
      <c r="D30" s="19">
        <v>0</v>
      </c>
      <c r="E30" s="69">
        <f>D30/'- 3 -'!$D30*100</f>
        <v>0</v>
      </c>
    </row>
    <row r="31" spans="1:5" ht="14.1" customHeight="1">
      <c r="A31" s="287" t="s">
        <v>130</v>
      </c>
      <c r="B31" s="288">
        <v>0</v>
      </c>
      <c r="C31" s="294">
        <f>B31/'- 3 -'!$D31*100</f>
        <v>0</v>
      </c>
      <c r="D31" s="288">
        <v>0</v>
      </c>
      <c r="E31" s="294">
        <f>D31/'- 3 -'!$D31*100</f>
        <v>0</v>
      </c>
    </row>
    <row r="32" spans="1:5" ht="14.1" customHeight="1">
      <c r="A32" s="18" t="s">
        <v>131</v>
      </c>
      <c r="B32" s="19">
        <v>67049</v>
      </c>
      <c r="C32" s="69">
        <f>B32/'- 3 -'!$D32*100</f>
        <v>0.25392057511046656</v>
      </c>
      <c r="D32" s="19">
        <v>186426</v>
      </c>
      <c r="E32" s="69">
        <f>D32/'- 3 -'!$D32*100</f>
        <v>0.70601197833739271</v>
      </c>
    </row>
    <row r="33" spans="1:6" ht="14.1" customHeight="1">
      <c r="A33" s="287" t="s">
        <v>132</v>
      </c>
      <c r="B33" s="288">
        <v>0</v>
      </c>
      <c r="C33" s="294">
        <f>B33/'- 3 -'!$D33*100</f>
        <v>0</v>
      </c>
      <c r="D33" s="288">
        <v>0</v>
      </c>
      <c r="E33" s="294">
        <f>D33/'- 3 -'!$D33*100</f>
        <v>0</v>
      </c>
    </row>
    <row r="34" spans="1:6" ht="14.1" customHeight="1">
      <c r="A34" s="18" t="s">
        <v>133</v>
      </c>
      <c r="B34" s="19">
        <v>0</v>
      </c>
      <c r="C34" s="69">
        <f>B34/'- 3 -'!$D34*100</f>
        <v>0</v>
      </c>
      <c r="D34" s="19">
        <v>0</v>
      </c>
      <c r="E34" s="69">
        <f>D34/'- 3 -'!$D34*100</f>
        <v>0</v>
      </c>
    </row>
    <row r="35" spans="1:6" ht="14.1" customHeight="1">
      <c r="A35" s="287" t="s">
        <v>134</v>
      </c>
      <c r="B35" s="288">
        <v>258549</v>
      </c>
      <c r="C35" s="294">
        <f>B35/'- 3 -'!$D35*100</f>
        <v>0.14795113692090353</v>
      </c>
      <c r="D35" s="288">
        <v>721600</v>
      </c>
      <c r="E35" s="294">
        <f>D35/'- 3 -'!$D35*100</f>
        <v>0.41292575257349279</v>
      </c>
    </row>
    <row r="36" spans="1:6" ht="14.1" customHeight="1">
      <c r="A36" s="18" t="s">
        <v>135</v>
      </c>
      <c r="B36" s="19">
        <v>30207</v>
      </c>
      <c r="C36" s="69">
        <f>B36/'- 3 -'!$D36*100</f>
        <v>0.13833827190323914</v>
      </c>
      <c r="D36" s="19">
        <v>86885</v>
      </c>
      <c r="E36" s="69">
        <f>D36/'- 3 -'!$D36*100</f>
        <v>0.39790514630095447</v>
      </c>
    </row>
    <row r="37" spans="1:6" ht="14.1" customHeight="1">
      <c r="A37" s="287" t="s">
        <v>136</v>
      </c>
      <c r="B37" s="288">
        <v>99204</v>
      </c>
      <c r="C37" s="294">
        <f>B37/'- 3 -'!$D37*100</f>
        <v>0.22009333888632468</v>
      </c>
      <c r="D37" s="288">
        <v>197337</v>
      </c>
      <c r="E37" s="294">
        <f>D37/'- 3 -'!$D37*100</f>
        <v>0.4378105642495328</v>
      </c>
    </row>
    <row r="38" spans="1:6" ht="14.1" customHeight="1">
      <c r="A38" s="18" t="s">
        <v>137</v>
      </c>
      <c r="B38" s="19">
        <v>204206</v>
      </c>
      <c r="C38" s="69">
        <f>B38/'- 3 -'!$D38*100</f>
        <v>0.16730959072983315</v>
      </c>
      <c r="D38" s="19">
        <v>544272</v>
      </c>
      <c r="E38" s="69">
        <f>D38/'- 3 -'!$D38*100</f>
        <v>0.44593168450343157</v>
      </c>
    </row>
    <row r="39" spans="1:6" ht="14.1" customHeight="1">
      <c r="A39" s="287" t="s">
        <v>138</v>
      </c>
      <c r="B39" s="288">
        <v>0</v>
      </c>
      <c r="C39" s="294">
        <f>B39/'- 3 -'!$D39*100</f>
        <v>0</v>
      </c>
      <c r="D39" s="288">
        <v>0</v>
      </c>
      <c r="E39" s="294">
        <f>D39/'- 3 -'!$D39*100</f>
        <v>0</v>
      </c>
    </row>
    <row r="40" spans="1:6" ht="14.1" customHeight="1">
      <c r="A40" s="18" t="s">
        <v>139</v>
      </c>
      <c r="B40" s="19">
        <v>0</v>
      </c>
      <c r="C40" s="69">
        <f>B40/'- 3 -'!$D40*100</f>
        <v>0</v>
      </c>
      <c r="D40" s="19">
        <v>0</v>
      </c>
      <c r="E40" s="69">
        <f>D40/'- 3 -'!$D40*100</f>
        <v>0</v>
      </c>
    </row>
    <row r="41" spans="1:6" ht="14.1" customHeight="1">
      <c r="A41" s="287" t="s">
        <v>140</v>
      </c>
      <c r="B41" s="288">
        <v>378605</v>
      </c>
      <c r="C41" s="294">
        <f>B41/'- 3 -'!$D41*100</f>
        <v>0.6336681766269977</v>
      </c>
      <c r="D41" s="288">
        <v>600847</v>
      </c>
      <c r="E41" s="294">
        <f>D41/'- 3 -'!$D41*100</f>
        <v>1.0056328440506641</v>
      </c>
    </row>
    <row r="42" spans="1:6" ht="14.1" customHeight="1">
      <c r="A42" s="18" t="s">
        <v>141</v>
      </c>
      <c r="B42" s="19">
        <v>0</v>
      </c>
      <c r="C42" s="69">
        <f>B42/'- 3 -'!$D42*100</f>
        <v>0</v>
      </c>
      <c r="D42" s="19">
        <v>0</v>
      </c>
      <c r="E42" s="69">
        <f>D42/'- 3 -'!$D42*100</f>
        <v>0</v>
      </c>
    </row>
    <row r="43" spans="1:6" ht="14.1" customHeight="1">
      <c r="A43" s="287" t="s">
        <v>142</v>
      </c>
      <c r="B43" s="288">
        <v>0</v>
      </c>
      <c r="C43" s="294">
        <f>B43/'- 3 -'!$D43*100</f>
        <v>0</v>
      </c>
      <c r="D43" s="288">
        <v>201830</v>
      </c>
      <c r="E43" s="294">
        <f>D43/'- 3 -'!$D43*100</f>
        <v>1.5757456802840668</v>
      </c>
    </row>
    <row r="44" spans="1:6" ht="14.1" customHeight="1">
      <c r="A44" s="18" t="s">
        <v>143</v>
      </c>
      <c r="B44" s="19">
        <v>0</v>
      </c>
      <c r="C44" s="69">
        <f>B44/'- 3 -'!$D44*100</f>
        <v>0</v>
      </c>
      <c r="D44" s="19">
        <v>0</v>
      </c>
      <c r="E44" s="69">
        <f>D44/'- 3 -'!$D44*100</f>
        <v>0</v>
      </c>
    </row>
    <row r="45" spans="1:6" ht="14.1" customHeight="1">
      <c r="A45" s="287" t="s">
        <v>144</v>
      </c>
      <c r="B45" s="288">
        <v>155260</v>
      </c>
      <c r="C45" s="294">
        <f>B45/'- 3 -'!$D45*100</f>
        <v>0.88912004202904693</v>
      </c>
      <c r="D45" s="288">
        <v>213243</v>
      </c>
      <c r="E45" s="294">
        <f>D45/'- 3 -'!$D45*100</f>
        <v>1.2211685245549404</v>
      </c>
    </row>
    <row r="46" spans="1:6" ht="14.1" customHeight="1">
      <c r="A46" s="18" t="s">
        <v>145</v>
      </c>
      <c r="B46" s="19">
        <v>113125</v>
      </c>
      <c r="C46" s="69">
        <f>B46/'- 3 -'!$D46*100</f>
        <v>3.0762520026808439E-2</v>
      </c>
      <c r="D46" s="19">
        <v>637240</v>
      </c>
      <c r="E46" s="69">
        <f>D46/'- 3 -'!$D46*100</f>
        <v>0.17328714485642793</v>
      </c>
    </row>
    <row r="47" spans="1:6" ht="5.0999999999999996" customHeight="1">
      <c r="A47"/>
      <c r="B47"/>
      <c r="C47"/>
      <c r="D47"/>
      <c r="E47"/>
      <c r="F47"/>
    </row>
    <row r="48" spans="1:6" ht="14.1" customHeight="1">
      <c r="A48" s="289" t="s">
        <v>146</v>
      </c>
      <c r="B48" s="290">
        <f>SUM(B11:B46)</f>
        <v>2199682</v>
      </c>
      <c r="C48" s="297">
        <f>B48/'- 3 -'!$D48*100</f>
        <v>0.10290636314102668</v>
      </c>
      <c r="D48" s="290">
        <f>SUM(D11:D46)</f>
        <v>7926816</v>
      </c>
      <c r="E48" s="297">
        <f>D48/'- 3 -'!$D48*100</f>
        <v>0.37083533249265144</v>
      </c>
    </row>
    <row r="49" spans="1:5" ht="5.0999999999999996" customHeight="1">
      <c r="A49" s="20" t="s">
        <v>8</v>
      </c>
      <c r="B49"/>
      <c r="C49"/>
      <c r="D49"/>
      <c r="E49"/>
    </row>
    <row r="50" spans="1:5" ht="14.1" customHeight="1">
      <c r="A50" s="18" t="s">
        <v>147</v>
      </c>
      <c r="B50" s="19">
        <v>0</v>
      </c>
      <c r="C50" s="69">
        <f>B50/'- 3 -'!$D50*100</f>
        <v>0</v>
      </c>
      <c r="D50" s="19">
        <v>0</v>
      </c>
      <c r="E50" s="69">
        <f>D50/'- 3 -'!$D50*100</f>
        <v>0</v>
      </c>
    </row>
    <row r="51" spans="1:5" ht="14.1" customHeight="1">
      <c r="A51" s="287" t="s">
        <v>643</v>
      </c>
      <c r="B51" s="288">
        <v>1033324</v>
      </c>
      <c r="C51" s="294">
        <f>B51/'- 3 -'!$D51*100</f>
        <v>4.6344808037697502</v>
      </c>
      <c r="D51" s="288">
        <v>1753687</v>
      </c>
      <c r="E51" s="294">
        <f>D51/'- 3 -'!$D51*100</f>
        <v>7.8653246584039103</v>
      </c>
    </row>
    <row r="52" spans="1:5" ht="50.1" customHeight="1"/>
  </sheetData>
  <mergeCells count="2">
    <mergeCell ref="B6:C7"/>
    <mergeCell ref="D7:E7"/>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2.xml><?xml version="1.0" encoding="utf-8"?>
<worksheet xmlns="http://schemas.openxmlformats.org/spreadsheetml/2006/main" xmlns:r="http://schemas.openxmlformats.org/officeDocument/2006/relationships">
  <sheetPr transitionEntry="1" codeName="Sheet1">
    <pageSetUpPr fitToPage="1"/>
  </sheetPr>
  <dimension ref="A1:G58"/>
  <sheetViews>
    <sheetView showGridLines="0" showZeros="0" workbookViewId="0"/>
  </sheetViews>
  <sheetFormatPr defaultColWidth="15.83203125" defaultRowHeight="12"/>
  <cols>
    <col min="1" max="1" width="32.83203125" style="1" customWidth="1"/>
    <col min="2" max="2" width="18.83203125" style="1" customWidth="1"/>
    <col min="3" max="3" width="19.83203125" style="1" customWidth="1"/>
    <col min="4" max="4" width="21.83203125" style="1" customWidth="1"/>
    <col min="5" max="5" width="19.83203125" style="1" customWidth="1"/>
    <col min="6" max="6" width="20.83203125" style="1" customWidth="1"/>
    <col min="7" max="16384" width="15.83203125" style="1"/>
  </cols>
  <sheetData>
    <row r="1" spans="1:6" ht="6.95" customHeight="1">
      <c r="A1" s="6"/>
      <c r="B1" s="7"/>
      <c r="C1" s="7"/>
      <c r="D1" s="7"/>
      <c r="E1" s="7"/>
      <c r="F1" s="7"/>
    </row>
    <row r="2" spans="1:6" ht="15.95" customHeight="1">
      <c r="A2" s="8" t="s">
        <v>254</v>
      </c>
      <c r="B2" s="9"/>
      <c r="C2" s="9"/>
      <c r="D2" s="9"/>
      <c r="E2" s="9"/>
      <c r="F2" s="9"/>
    </row>
    <row r="3" spans="1:6" ht="15.95" customHeight="1">
      <c r="A3" s="10" t="str">
        <f>"OPERATING FUND "&amp;FALLYR&amp;"/"&amp;SPRINGYR&amp;" ACTUAL"</f>
        <v>OPERATING FUND 2014/2015 ACTUAL</v>
      </c>
      <c r="B3" s="11"/>
      <c r="C3" s="12"/>
      <c r="D3" s="11"/>
      <c r="E3" s="11"/>
      <c r="F3" s="11"/>
    </row>
    <row r="4" spans="1:6" ht="15.95" customHeight="1">
      <c r="B4" s="7"/>
      <c r="C4" s="7"/>
      <c r="D4" s="7"/>
      <c r="E4" s="7"/>
      <c r="F4" s="7"/>
    </row>
    <row r="5" spans="1:6" ht="15.95" customHeight="1">
      <c r="B5" s="7"/>
      <c r="C5" s="7"/>
      <c r="D5" s="7"/>
      <c r="E5" s="7"/>
      <c r="F5" s="7"/>
    </row>
    <row r="6" spans="1:6" ht="15.95" customHeight="1">
      <c r="B6" s="13"/>
      <c r="C6" s="584" t="s">
        <v>472</v>
      </c>
      <c r="D6" s="587" t="s">
        <v>473</v>
      </c>
      <c r="E6" s="584" t="s">
        <v>474</v>
      </c>
      <c r="F6" s="584" t="s">
        <v>475</v>
      </c>
    </row>
    <row r="7" spans="1:6" ht="15.95" customHeight="1">
      <c r="B7" s="13"/>
      <c r="C7" s="585"/>
      <c r="D7" s="588"/>
      <c r="E7" s="590"/>
      <c r="F7" s="590"/>
    </row>
    <row r="8" spans="1:6" ht="15.95" customHeight="1">
      <c r="A8" s="15"/>
      <c r="B8" s="582" t="s">
        <v>471</v>
      </c>
      <c r="C8" s="585"/>
      <c r="D8" s="588"/>
      <c r="E8" s="590"/>
      <c r="F8" s="590"/>
    </row>
    <row r="9" spans="1:6">
      <c r="A9" s="16" t="s">
        <v>43</v>
      </c>
      <c r="B9" s="583"/>
      <c r="C9" s="586"/>
      <c r="D9" s="589"/>
      <c r="E9" s="591"/>
      <c r="F9" s="591"/>
    </row>
    <row r="10" spans="1:6" ht="5.0999999999999996" customHeight="1">
      <c r="A10" s="17"/>
    </row>
    <row r="11" spans="1:6" ht="14.1" customHeight="1">
      <c r="A11" s="287" t="s">
        <v>111</v>
      </c>
      <c r="B11" s="288">
        <v>17539593</v>
      </c>
      <c r="C11" s="288">
        <f>-Data!K11</f>
        <v>-56337</v>
      </c>
      <c r="D11" s="288">
        <f>B11+C11</f>
        <v>17483256</v>
      </c>
      <c r="E11" s="288">
        <f>-'- 15 -'!H11-'- 16 -'!B11</f>
        <v>-18760</v>
      </c>
      <c r="F11" s="288">
        <f>D11+E11</f>
        <v>17464496</v>
      </c>
    </row>
    <row r="12" spans="1:6" ht="14.1" customHeight="1">
      <c r="A12" s="18" t="s">
        <v>112</v>
      </c>
      <c r="B12" s="19">
        <v>32056582</v>
      </c>
      <c r="C12" s="19">
        <f>-Data!K12</f>
        <v>-390156</v>
      </c>
      <c r="D12" s="19">
        <f t="shared" ref="D12:D46" si="0">B12+C12</f>
        <v>31666426</v>
      </c>
      <c r="E12" s="19">
        <f>-'- 15 -'!H12-'- 16 -'!B12</f>
        <v>-645476</v>
      </c>
      <c r="F12" s="19">
        <f t="shared" ref="F12:F46" si="1">D12+E12</f>
        <v>31020950</v>
      </c>
    </row>
    <row r="13" spans="1:6" ht="14.1" customHeight="1">
      <c r="A13" s="287" t="s">
        <v>113</v>
      </c>
      <c r="B13" s="288">
        <v>86615799</v>
      </c>
      <c r="C13" s="288">
        <f>-Data!K13</f>
        <v>-122720</v>
      </c>
      <c r="D13" s="288">
        <f t="shared" si="0"/>
        <v>86493079</v>
      </c>
      <c r="E13" s="288">
        <f>-'- 15 -'!H13-'- 16 -'!B13</f>
        <v>-241746</v>
      </c>
      <c r="F13" s="288">
        <f t="shared" si="1"/>
        <v>86251333</v>
      </c>
    </row>
    <row r="14" spans="1:6" ht="14.1" customHeight="1">
      <c r="A14" s="18" t="s">
        <v>365</v>
      </c>
      <c r="B14" s="19">
        <v>77743728</v>
      </c>
      <c r="C14" s="19">
        <f>-Data!K14</f>
        <v>-270492</v>
      </c>
      <c r="D14" s="19">
        <f t="shared" si="0"/>
        <v>77473236</v>
      </c>
      <c r="E14" s="19">
        <f>-'- 15 -'!H14-'- 16 -'!B14</f>
        <v>-1187809</v>
      </c>
      <c r="F14" s="19">
        <f t="shared" si="1"/>
        <v>76285427</v>
      </c>
    </row>
    <row r="15" spans="1:6" ht="14.1" customHeight="1">
      <c r="A15" s="287" t="s">
        <v>114</v>
      </c>
      <c r="B15" s="288">
        <v>19712996</v>
      </c>
      <c r="C15" s="288">
        <f>-Data!K15</f>
        <v>-55700</v>
      </c>
      <c r="D15" s="288">
        <f t="shared" si="0"/>
        <v>19657296</v>
      </c>
      <c r="E15" s="288">
        <f>-'- 15 -'!H15-'- 16 -'!B15</f>
        <v>-57901</v>
      </c>
      <c r="F15" s="288">
        <f t="shared" si="1"/>
        <v>19599395</v>
      </c>
    </row>
    <row r="16" spans="1:6" ht="14.1" customHeight="1">
      <c r="A16" s="18" t="s">
        <v>115</v>
      </c>
      <c r="B16" s="19">
        <v>13616389</v>
      </c>
      <c r="C16" s="19">
        <f>-Data!K16</f>
        <v>0</v>
      </c>
      <c r="D16" s="19">
        <f t="shared" si="0"/>
        <v>13616389</v>
      </c>
      <c r="E16" s="19">
        <f>-'- 15 -'!H16-'- 16 -'!B16</f>
        <v>-104067</v>
      </c>
      <c r="F16" s="19">
        <f t="shared" si="1"/>
        <v>13512322</v>
      </c>
    </row>
    <row r="17" spans="1:6" ht="14.1" customHeight="1">
      <c r="A17" s="287" t="s">
        <v>116</v>
      </c>
      <c r="B17" s="288">
        <v>17489940</v>
      </c>
      <c r="C17" s="288">
        <f>-Data!K17</f>
        <v>-126582</v>
      </c>
      <c r="D17" s="288">
        <f t="shared" si="0"/>
        <v>17363358</v>
      </c>
      <c r="E17" s="288">
        <f>-'- 15 -'!H17-'- 16 -'!B17</f>
        <v>-345839</v>
      </c>
      <c r="F17" s="288">
        <f t="shared" si="1"/>
        <v>17017519</v>
      </c>
    </row>
    <row r="18" spans="1:6" ht="14.1" customHeight="1">
      <c r="A18" s="18" t="s">
        <v>117</v>
      </c>
      <c r="B18" s="19">
        <v>127209727</v>
      </c>
      <c r="C18" s="19">
        <f>-Data!K18</f>
        <v>-5035528</v>
      </c>
      <c r="D18" s="19">
        <f t="shared" si="0"/>
        <v>122174199</v>
      </c>
      <c r="E18" s="19">
        <f>-'- 15 -'!H18-'- 16 -'!B18</f>
        <v>-4540333</v>
      </c>
      <c r="F18" s="19">
        <f t="shared" si="1"/>
        <v>117633866</v>
      </c>
    </row>
    <row r="19" spans="1:6" ht="14.1" customHeight="1">
      <c r="A19" s="287" t="s">
        <v>118</v>
      </c>
      <c r="B19" s="288">
        <v>43517536</v>
      </c>
      <c r="C19" s="288">
        <f>-Data!K19</f>
        <v>-444337</v>
      </c>
      <c r="D19" s="288">
        <f t="shared" si="0"/>
        <v>43073199</v>
      </c>
      <c r="E19" s="288">
        <f>-'- 15 -'!H19-'- 16 -'!B19</f>
        <v>-59786</v>
      </c>
      <c r="F19" s="288">
        <f t="shared" si="1"/>
        <v>43013413</v>
      </c>
    </row>
    <row r="20" spans="1:6" ht="14.1" customHeight="1">
      <c r="A20" s="18" t="s">
        <v>119</v>
      </c>
      <c r="B20" s="19">
        <v>75881855</v>
      </c>
      <c r="C20" s="19">
        <f>-Data!K20</f>
        <v>-1225103</v>
      </c>
      <c r="D20" s="19">
        <f t="shared" si="0"/>
        <v>74656752</v>
      </c>
      <c r="E20" s="19">
        <f>-'- 15 -'!H20-'- 16 -'!B20</f>
        <v>-175024</v>
      </c>
      <c r="F20" s="19">
        <f t="shared" si="1"/>
        <v>74481728</v>
      </c>
    </row>
    <row r="21" spans="1:6" ht="14.1" customHeight="1">
      <c r="A21" s="287" t="s">
        <v>120</v>
      </c>
      <c r="B21" s="288">
        <v>35150827</v>
      </c>
      <c r="C21" s="288">
        <f>-Data!K21</f>
        <v>-340023</v>
      </c>
      <c r="D21" s="288">
        <f t="shared" si="0"/>
        <v>34810804</v>
      </c>
      <c r="E21" s="288">
        <f>-'- 15 -'!H21-'- 16 -'!B21</f>
        <v>-258159</v>
      </c>
      <c r="F21" s="288">
        <f t="shared" si="1"/>
        <v>34552645</v>
      </c>
    </row>
    <row r="22" spans="1:6" ht="14.1" customHeight="1">
      <c r="A22" s="18" t="s">
        <v>121</v>
      </c>
      <c r="B22" s="19">
        <v>19453343</v>
      </c>
      <c r="C22" s="19">
        <f>-Data!K22</f>
        <v>-16646</v>
      </c>
      <c r="D22" s="19">
        <f t="shared" si="0"/>
        <v>19436697</v>
      </c>
      <c r="E22" s="19">
        <f>-'- 15 -'!H22-'- 16 -'!B22</f>
        <v>-607063</v>
      </c>
      <c r="F22" s="19">
        <f t="shared" si="1"/>
        <v>18829634</v>
      </c>
    </row>
    <row r="23" spans="1:6" ht="14.1" customHeight="1">
      <c r="A23" s="287" t="s">
        <v>122</v>
      </c>
      <c r="B23" s="288">
        <v>16297451</v>
      </c>
      <c r="C23" s="288">
        <f>-Data!K23</f>
        <v>-51345</v>
      </c>
      <c r="D23" s="288">
        <f t="shared" si="0"/>
        <v>16246106</v>
      </c>
      <c r="E23" s="288">
        <f>-'- 15 -'!H23-'- 16 -'!B23</f>
        <v>-541534</v>
      </c>
      <c r="F23" s="288">
        <f t="shared" si="1"/>
        <v>15704572</v>
      </c>
    </row>
    <row r="24" spans="1:6" ht="14.1" customHeight="1">
      <c r="A24" s="18" t="s">
        <v>123</v>
      </c>
      <c r="B24" s="19">
        <v>54435137</v>
      </c>
      <c r="C24" s="19">
        <f>-Data!K24</f>
        <v>-213328</v>
      </c>
      <c r="D24" s="19">
        <f t="shared" si="0"/>
        <v>54221809</v>
      </c>
      <c r="E24" s="19">
        <f>-'- 15 -'!H24-'- 16 -'!B24</f>
        <v>-831799</v>
      </c>
      <c r="F24" s="19">
        <f t="shared" si="1"/>
        <v>53390010</v>
      </c>
    </row>
    <row r="25" spans="1:6" ht="14.1" customHeight="1">
      <c r="A25" s="287" t="s">
        <v>124</v>
      </c>
      <c r="B25" s="288">
        <v>161132307</v>
      </c>
      <c r="C25" s="288">
        <f>-Data!K25</f>
        <v>-1372860</v>
      </c>
      <c r="D25" s="288">
        <f t="shared" si="0"/>
        <v>159759447</v>
      </c>
      <c r="E25" s="288">
        <f>-'- 15 -'!H25-'- 16 -'!B25</f>
        <v>-2328090</v>
      </c>
      <c r="F25" s="288">
        <f t="shared" si="1"/>
        <v>157431357</v>
      </c>
    </row>
    <row r="26" spans="1:6" ht="14.1" customHeight="1">
      <c r="A26" s="18" t="s">
        <v>125</v>
      </c>
      <c r="B26" s="19">
        <v>38906923</v>
      </c>
      <c r="C26" s="19">
        <f>-Data!K26</f>
        <v>-2901</v>
      </c>
      <c r="D26" s="19">
        <f t="shared" si="0"/>
        <v>38904022</v>
      </c>
      <c r="E26" s="19">
        <f>-'- 15 -'!H26-'- 16 -'!B26</f>
        <v>-102146</v>
      </c>
      <c r="F26" s="19">
        <f t="shared" si="1"/>
        <v>38801876</v>
      </c>
    </row>
    <row r="27" spans="1:6" ht="14.1" customHeight="1">
      <c r="A27" s="287" t="s">
        <v>126</v>
      </c>
      <c r="B27" s="288">
        <v>39049639</v>
      </c>
      <c r="C27" s="288">
        <f>-Data!K27</f>
        <v>0</v>
      </c>
      <c r="D27" s="288">
        <f t="shared" si="0"/>
        <v>39049639</v>
      </c>
      <c r="E27" s="288">
        <f>-'- 15 -'!H27-'- 16 -'!B27</f>
        <v>-45416</v>
      </c>
      <c r="F27" s="288">
        <f t="shared" si="1"/>
        <v>39004223</v>
      </c>
    </row>
    <row r="28" spans="1:6" ht="14.1" customHeight="1">
      <c r="A28" s="18" t="s">
        <v>127</v>
      </c>
      <c r="B28" s="19">
        <v>27632524</v>
      </c>
      <c r="C28" s="19">
        <f>-Data!K28</f>
        <v>-133889</v>
      </c>
      <c r="D28" s="19">
        <f t="shared" si="0"/>
        <v>27498635</v>
      </c>
      <c r="E28" s="19">
        <f>-'- 15 -'!H28-'- 16 -'!B28</f>
        <v>-223597</v>
      </c>
      <c r="F28" s="19">
        <f t="shared" si="1"/>
        <v>27275038</v>
      </c>
    </row>
    <row r="29" spans="1:6" ht="14.1" customHeight="1">
      <c r="A29" s="287" t="s">
        <v>128</v>
      </c>
      <c r="B29" s="288">
        <v>147806277</v>
      </c>
      <c r="C29" s="288">
        <f>-Data!K29</f>
        <v>-1922528</v>
      </c>
      <c r="D29" s="288">
        <f t="shared" si="0"/>
        <v>145883749</v>
      </c>
      <c r="E29" s="288">
        <f>-'- 15 -'!H29-'- 16 -'!B29</f>
        <v>-1256434</v>
      </c>
      <c r="F29" s="288">
        <f t="shared" si="1"/>
        <v>144627315</v>
      </c>
    </row>
    <row r="30" spans="1:6" ht="14.1" customHeight="1">
      <c r="A30" s="18" t="s">
        <v>129</v>
      </c>
      <c r="B30" s="19">
        <v>13640693</v>
      </c>
      <c r="C30" s="19">
        <f>-Data!K30</f>
        <v>-44587</v>
      </c>
      <c r="D30" s="19">
        <f t="shared" si="0"/>
        <v>13596106</v>
      </c>
      <c r="E30" s="19">
        <f>-'- 15 -'!H30-'- 16 -'!B30</f>
        <v>-13615</v>
      </c>
      <c r="F30" s="19">
        <f t="shared" si="1"/>
        <v>13582491</v>
      </c>
    </row>
    <row r="31" spans="1:6" ht="14.1" customHeight="1">
      <c r="A31" s="287" t="s">
        <v>130</v>
      </c>
      <c r="B31" s="288">
        <v>35393415</v>
      </c>
      <c r="C31" s="288">
        <f>-Data!K31</f>
        <v>-42900</v>
      </c>
      <c r="D31" s="288">
        <f t="shared" si="0"/>
        <v>35350515</v>
      </c>
      <c r="E31" s="288">
        <f>-'- 15 -'!H31-'- 16 -'!B31</f>
        <v>-64784</v>
      </c>
      <c r="F31" s="288">
        <f t="shared" si="1"/>
        <v>35285731</v>
      </c>
    </row>
    <row r="32" spans="1:6" ht="14.1" customHeight="1">
      <c r="A32" s="18" t="s">
        <v>131</v>
      </c>
      <c r="B32" s="19">
        <v>26640968</v>
      </c>
      <c r="C32" s="19">
        <f>-Data!K32</f>
        <v>-235467</v>
      </c>
      <c r="D32" s="19">
        <f t="shared" si="0"/>
        <v>26405501</v>
      </c>
      <c r="E32" s="19">
        <f>-'- 15 -'!H32-'- 16 -'!B32</f>
        <v>-288503</v>
      </c>
      <c r="F32" s="19">
        <f t="shared" si="1"/>
        <v>26116998</v>
      </c>
    </row>
    <row r="33" spans="1:7" ht="14.1" customHeight="1">
      <c r="A33" s="287" t="s">
        <v>132</v>
      </c>
      <c r="B33" s="288">
        <v>26442097</v>
      </c>
      <c r="C33" s="288">
        <f>-Data!K33</f>
        <v>-89217</v>
      </c>
      <c r="D33" s="288">
        <f t="shared" si="0"/>
        <v>26352880</v>
      </c>
      <c r="E33" s="288">
        <f>-'- 15 -'!H33-'- 16 -'!B33</f>
        <v>-34918</v>
      </c>
      <c r="F33" s="288">
        <f t="shared" si="1"/>
        <v>26317962</v>
      </c>
    </row>
    <row r="34" spans="1:7" ht="14.1" customHeight="1">
      <c r="A34" s="18" t="s">
        <v>133</v>
      </c>
      <c r="B34" s="19">
        <v>26964324</v>
      </c>
      <c r="C34" s="19">
        <f>-Data!K34</f>
        <v>-457009</v>
      </c>
      <c r="D34" s="19">
        <f t="shared" si="0"/>
        <v>26507315</v>
      </c>
      <c r="E34" s="19">
        <f>-'- 15 -'!H34-'- 16 -'!B34</f>
        <v>-48608</v>
      </c>
      <c r="F34" s="19">
        <f t="shared" si="1"/>
        <v>26458707</v>
      </c>
    </row>
    <row r="35" spans="1:7" ht="14.1" customHeight="1">
      <c r="A35" s="287" t="s">
        <v>134</v>
      </c>
      <c r="B35" s="288">
        <v>175329870</v>
      </c>
      <c r="C35" s="288">
        <f>-Data!K35</f>
        <v>-576904</v>
      </c>
      <c r="D35" s="288">
        <f t="shared" si="0"/>
        <v>174752966</v>
      </c>
      <c r="E35" s="288">
        <f>-'- 15 -'!H35-'- 16 -'!B35</f>
        <v>-2435449</v>
      </c>
      <c r="F35" s="288">
        <f t="shared" si="1"/>
        <v>172317517</v>
      </c>
    </row>
    <row r="36" spans="1:7" ht="14.1" customHeight="1">
      <c r="A36" s="18" t="s">
        <v>135</v>
      </c>
      <c r="B36" s="19">
        <v>22044875</v>
      </c>
      <c r="C36" s="19">
        <f>-Data!K36</f>
        <v>-209269</v>
      </c>
      <c r="D36" s="19">
        <f t="shared" si="0"/>
        <v>21835606</v>
      </c>
      <c r="E36" s="19">
        <f>-'- 15 -'!H36-'- 16 -'!B36</f>
        <v>-152631</v>
      </c>
      <c r="F36" s="19">
        <f t="shared" si="1"/>
        <v>21682975</v>
      </c>
    </row>
    <row r="37" spans="1:7" ht="14.1" customHeight="1">
      <c r="A37" s="287" t="s">
        <v>136</v>
      </c>
      <c r="B37" s="288">
        <v>45658286</v>
      </c>
      <c r="C37" s="288">
        <f>-Data!K37</f>
        <v>-584682</v>
      </c>
      <c r="D37" s="288">
        <f t="shared" si="0"/>
        <v>45073604</v>
      </c>
      <c r="E37" s="288">
        <f>-'- 15 -'!H37-'- 16 -'!B37</f>
        <v>-493594</v>
      </c>
      <c r="F37" s="288">
        <f t="shared" si="1"/>
        <v>44580010</v>
      </c>
    </row>
    <row r="38" spans="1:7" ht="14.1" customHeight="1">
      <c r="A38" s="18" t="s">
        <v>137</v>
      </c>
      <c r="B38" s="19">
        <v>123265623</v>
      </c>
      <c r="C38" s="19">
        <f>-Data!K38</f>
        <v>-1212847</v>
      </c>
      <c r="D38" s="19">
        <f t="shared" si="0"/>
        <v>122052776</v>
      </c>
      <c r="E38" s="19">
        <f>-'- 15 -'!H38-'- 16 -'!B38</f>
        <v>-2525179</v>
      </c>
      <c r="F38" s="19">
        <f t="shared" si="1"/>
        <v>119527597</v>
      </c>
    </row>
    <row r="39" spans="1:7" ht="14.1" customHeight="1">
      <c r="A39" s="287" t="s">
        <v>138</v>
      </c>
      <c r="B39" s="288">
        <v>20331440</v>
      </c>
      <c r="C39" s="288">
        <f>-Data!K39</f>
        <v>-141226</v>
      </c>
      <c r="D39" s="288">
        <f t="shared" si="0"/>
        <v>20190214</v>
      </c>
      <c r="E39" s="288">
        <f>-'- 15 -'!H39-'- 16 -'!B39</f>
        <v>-148637</v>
      </c>
      <c r="F39" s="288">
        <f t="shared" si="1"/>
        <v>20041577</v>
      </c>
    </row>
    <row r="40" spans="1:7" ht="14.1" customHeight="1">
      <c r="A40" s="18" t="s">
        <v>139</v>
      </c>
      <c r="B40" s="19">
        <v>98226052</v>
      </c>
      <c r="C40" s="19">
        <f>-Data!K40</f>
        <v>-452495</v>
      </c>
      <c r="D40" s="19">
        <f t="shared" si="0"/>
        <v>97773557</v>
      </c>
      <c r="E40" s="19">
        <f>-'- 15 -'!H40-'- 16 -'!B40</f>
        <v>-1068570</v>
      </c>
      <c r="F40" s="19">
        <f t="shared" si="1"/>
        <v>96704987</v>
      </c>
    </row>
    <row r="41" spans="1:7" ht="14.1" customHeight="1">
      <c r="A41" s="287" t="s">
        <v>140</v>
      </c>
      <c r="B41" s="288">
        <v>60529909</v>
      </c>
      <c r="C41" s="288">
        <f>-Data!K41</f>
        <v>-781761</v>
      </c>
      <c r="D41" s="288">
        <f t="shared" si="0"/>
        <v>59748148</v>
      </c>
      <c r="E41" s="288">
        <f>-'- 15 -'!H41-'- 16 -'!B41</f>
        <v>-1273736</v>
      </c>
      <c r="F41" s="288">
        <f t="shared" si="1"/>
        <v>58474412</v>
      </c>
    </row>
    <row r="42" spans="1:7" ht="14.1" customHeight="1">
      <c r="A42" s="18" t="s">
        <v>141</v>
      </c>
      <c r="B42" s="19">
        <v>19900753</v>
      </c>
      <c r="C42" s="19">
        <f>-Data!K42</f>
        <v>-1300</v>
      </c>
      <c r="D42" s="19">
        <f t="shared" si="0"/>
        <v>19899453</v>
      </c>
      <c r="E42" s="19">
        <f>-'- 15 -'!H42-'- 16 -'!B42</f>
        <v>-222133</v>
      </c>
      <c r="F42" s="19">
        <f t="shared" si="1"/>
        <v>19677320</v>
      </c>
    </row>
    <row r="43" spans="1:7" ht="14.1" customHeight="1">
      <c r="A43" s="287" t="s">
        <v>142</v>
      </c>
      <c r="B43" s="288">
        <v>12834547</v>
      </c>
      <c r="C43" s="288">
        <f>-Data!K43</f>
        <v>-26008</v>
      </c>
      <c r="D43" s="288">
        <f t="shared" si="0"/>
        <v>12808539</v>
      </c>
      <c r="E43" s="288">
        <f>-'- 15 -'!H43-'- 16 -'!B43</f>
        <v>-215091</v>
      </c>
      <c r="F43" s="288">
        <f t="shared" si="1"/>
        <v>12593448</v>
      </c>
    </row>
    <row r="44" spans="1:7" ht="14.1" customHeight="1">
      <c r="A44" s="18" t="s">
        <v>143</v>
      </c>
      <c r="B44" s="19">
        <v>10754637</v>
      </c>
      <c r="C44" s="19">
        <f>-Data!K44</f>
        <v>-211741</v>
      </c>
      <c r="D44" s="19">
        <f t="shared" si="0"/>
        <v>10542896</v>
      </c>
      <c r="E44" s="19">
        <f>-'- 15 -'!H44-'- 16 -'!B44</f>
        <v>-10038</v>
      </c>
      <c r="F44" s="19">
        <f t="shared" si="1"/>
        <v>10532858</v>
      </c>
    </row>
    <row r="45" spans="1:7" ht="14.1" customHeight="1">
      <c r="A45" s="287" t="s">
        <v>144</v>
      </c>
      <c r="B45" s="288">
        <v>17708254</v>
      </c>
      <c r="C45" s="288">
        <f>-Data!K45</f>
        <v>-246045</v>
      </c>
      <c r="D45" s="288">
        <f t="shared" si="0"/>
        <v>17462209</v>
      </c>
      <c r="E45" s="288">
        <f>-'- 15 -'!H45-'- 16 -'!B45</f>
        <v>-420209</v>
      </c>
      <c r="F45" s="288">
        <f t="shared" si="1"/>
        <v>17042000</v>
      </c>
    </row>
    <row r="46" spans="1:7" ht="14.1" customHeight="1">
      <c r="A46" s="18" t="s">
        <v>145</v>
      </c>
      <c r="B46" s="19">
        <v>370004100</v>
      </c>
      <c r="C46" s="19">
        <f>-Data!K46</f>
        <v>-2267647</v>
      </c>
      <c r="D46" s="19">
        <f t="shared" si="0"/>
        <v>367736453</v>
      </c>
      <c r="E46" s="19">
        <f>-'- 15 -'!H46-'- 16 -'!B46</f>
        <v>-9342640</v>
      </c>
      <c r="F46" s="19">
        <f t="shared" si="1"/>
        <v>358393813</v>
      </c>
    </row>
    <row r="47" spans="1:7" ht="5.0999999999999996" customHeight="1">
      <c r="A47"/>
      <c r="B47" s="21"/>
      <c r="C47"/>
      <c r="D47"/>
      <c r="E47"/>
      <c r="F47"/>
      <c r="G47"/>
    </row>
    <row r="48" spans="1:7" ht="14.1" customHeight="1">
      <c r="A48" s="289" t="s">
        <v>146</v>
      </c>
      <c r="B48" s="290">
        <f>SUM(B11:B46)</f>
        <v>2156918416</v>
      </c>
      <c r="C48" s="290">
        <f>SUM(C11:C46)</f>
        <v>-19361580</v>
      </c>
      <c r="D48" s="290">
        <f>SUM(D11:D46)</f>
        <v>2137556836</v>
      </c>
      <c r="E48" s="290">
        <f>SUM(E11:E46)</f>
        <v>-32329314</v>
      </c>
      <c r="F48" s="290">
        <f>SUM(F11:F46)</f>
        <v>2105227522</v>
      </c>
    </row>
    <row r="49" spans="1:6" ht="5.0999999999999996" customHeight="1">
      <c r="A49" s="20" t="s">
        <v>8</v>
      </c>
      <c r="B49" s="21"/>
      <c r="C49" s="21"/>
      <c r="D49" s="21"/>
      <c r="E49" s="21"/>
      <c r="F49" s="21"/>
    </row>
    <row r="50" spans="1:6" ht="14.1" customHeight="1">
      <c r="A50" s="18" t="s">
        <v>147</v>
      </c>
      <c r="B50" s="19">
        <v>3248227</v>
      </c>
      <c r="C50" s="19">
        <f>-Data!K50</f>
        <v>0</v>
      </c>
      <c r="D50" s="19">
        <f>B50+C50</f>
        <v>3248227</v>
      </c>
      <c r="E50" s="19">
        <f>-'- 15 -'!H50-'- 16 -'!B50</f>
        <v>-65710</v>
      </c>
      <c r="F50" s="19">
        <f>D50+E50</f>
        <v>3182517</v>
      </c>
    </row>
    <row r="51" spans="1:6" ht="14.1" customHeight="1">
      <c r="A51" s="287" t="s">
        <v>643</v>
      </c>
      <c r="B51" s="288">
        <v>22715154</v>
      </c>
      <c r="C51" s="288">
        <f>-Data!K51</f>
        <v>-418719</v>
      </c>
      <c r="D51" s="288">
        <f>B51+C51</f>
        <v>22296435</v>
      </c>
      <c r="E51" s="288">
        <f>-'- 15 -'!H51-'- 16 -'!B51</f>
        <v>-10435818</v>
      </c>
      <c r="F51" s="288">
        <f>D51+E51</f>
        <v>11860617</v>
      </c>
    </row>
    <row r="52" spans="1:6" ht="50.1" customHeight="1">
      <c r="A52" s="22"/>
      <c r="B52" s="22"/>
      <c r="C52" s="22"/>
      <c r="D52" s="22"/>
      <c r="E52" s="22"/>
      <c r="F52" s="22"/>
    </row>
    <row r="53" spans="1:6" ht="14.45" customHeight="1">
      <c r="A53" s="1" t="s">
        <v>344</v>
      </c>
    </row>
    <row r="54" spans="1:6" ht="12" customHeight="1">
      <c r="A54" s="581" t="s">
        <v>470</v>
      </c>
      <c r="B54" s="581"/>
      <c r="C54" s="581"/>
      <c r="D54" s="581"/>
      <c r="E54" s="581"/>
      <c r="F54" s="581"/>
    </row>
    <row r="55" spans="1:6" ht="12" customHeight="1">
      <c r="A55" s="581"/>
      <c r="B55" s="581"/>
      <c r="C55" s="581"/>
      <c r="D55" s="581"/>
      <c r="E55" s="581"/>
      <c r="F55" s="581"/>
    </row>
    <row r="56" spans="1:6" ht="12" customHeight="1">
      <c r="A56" s="1" t="s">
        <v>345</v>
      </c>
    </row>
    <row r="57" spans="1:6" ht="12" customHeight="1">
      <c r="A57" s="1" t="s">
        <v>346</v>
      </c>
    </row>
    <row r="58" spans="1:6" ht="12" customHeight="1">
      <c r="A58" s="1" t="s">
        <v>347</v>
      </c>
    </row>
  </sheetData>
  <mergeCells count="6">
    <mergeCell ref="A54:F55"/>
    <mergeCell ref="B8:B9"/>
    <mergeCell ref="C6:C9"/>
    <mergeCell ref="D6:D9"/>
    <mergeCell ref="E6:E9"/>
    <mergeCell ref="F6:F9"/>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20.xml><?xml version="1.0" encoding="utf-8"?>
<worksheet xmlns="http://schemas.openxmlformats.org/spreadsheetml/2006/main" xmlns:r="http://schemas.openxmlformats.org/officeDocument/2006/relationships">
  <sheetPr codeName="Sheet20">
    <pageSetUpPr fitToPage="1"/>
  </sheetPr>
  <dimension ref="A1:J52"/>
  <sheetViews>
    <sheetView showGridLines="0" showZeros="0" workbookViewId="0"/>
  </sheetViews>
  <sheetFormatPr defaultColWidth="15.83203125" defaultRowHeight="12"/>
  <cols>
    <col min="1" max="1" width="32.83203125" style="1" customWidth="1"/>
    <col min="2" max="2" width="13.83203125" style="1" customWidth="1"/>
    <col min="3" max="3" width="8.83203125" style="1" customWidth="1"/>
    <col min="4" max="4" width="14.83203125" style="1" customWidth="1"/>
    <col min="5" max="5" width="10.5" style="1" customWidth="1"/>
    <col min="6" max="6" width="18.83203125" style="1" customWidth="1"/>
    <col min="7" max="7" width="8.83203125" style="1" customWidth="1"/>
    <col min="8" max="8" width="16.83203125" style="1" customWidth="1"/>
    <col min="9" max="9" width="8.83203125" style="1" customWidth="1"/>
    <col min="10" max="16384" width="15.83203125" style="1"/>
  </cols>
  <sheetData>
    <row r="1" spans="1:9" ht="6.95" customHeight="1">
      <c r="A1" s="6"/>
      <c r="B1" s="7"/>
      <c r="C1" s="7"/>
      <c r="D1" s="7"/>
      <c r="E1" s="7"/>
      <c r="F1" s="7"/>
      <c r="G1" s="7"/>
      <c r="H1" s="7"/>
      <c r="I1" s="7"/>
    </row>
    <row r="2" spans="1:9" ht="15.95" customHeight="1">
      <c r="A2" s="133"/>
      <c r="B2" s="8" t="s">
        <v>266</v>
      </c>
      <c r="C2" s="9"/>
      <c r="D2" s="9"/>
      <c r="E2" s="9"/>
      <c r="F2" s="9"/>
      <c r="G2" s="72"/>
      <c r="H2" s="72"/>
      <c r="I2" s="398" t="s">
        <v>424</v>
      </c>
    </row>
    <row r="3" spans="1:9" ht="15.95" customHeight="1">
      <c r="A3" s="546"/>
      <c r="B3" s="10" t="str">
        <f>OPYEAR</f>
        <v>OPERATING FUND 2014/2015 ACTUAL</v>
      </c>
      <c r="C3" s="11"/>
      <c r="D3" s="11"/>
      <c r="E3" s="11"/>
      <c r="F3" s="11"/>
      <c r="G3" s="74"/>
      <c r="H3" s="74"/>
      <c r="I3" s="65"/>
    </row>
    <row r="4" spans="1:9" ht="15.95" customHeight="1">
      <c r="B4" s="7"/>
      <c r="C4" s="7"/>
      <c r="D4" s="7"/>
      <c r="E4" s="7"/>
      <c r="F4" s="7"/>
      <c r="G4" s="7"/>
      <c r="H4" s="7"/>
      <c r="I4" s="7"/>
    </row>
    <row r="5" spans="1:9" ht="15.95" customHeight="1">
      <c r="B5" s="562" t="s">
        <v>15</v>
      </c>
      <c r="C5" s="563"/>
      <c r="D5" s="165"/>
      <c r="E5" s="165"/>
      <c r="F5" s="165"/>
      <c r="G5" s="165"/>
      <c r="H5" s="165"/>
      <c r="I5" s="166"/>
    </row>
    <row r="6" spans="1:9" ht="15.95" customHeight="1">
      <c r="B6" s="322"/>
      <c r="C6" s="323"/>
      <c r="D6" s="639" t="s">
        <v>514</v>
      </c>
      <c r="E6" s="632"/>
      <c r="F6" s="339"/>
      <c r="G6" s="340"/>
      <c r="H6" s="312"/>
      <c r="I6" s="313"/>
    </row>
    <row r="7" spans="1:9" ht="15.95" customHeight="1">
      <c r="B7" s="672" t="s">
        <v>513</v>
      </c>
      <c r="C7" s="673"/>
      <c r="D7" s="674"/>
      <c r="E7" s="675"/>
      <c r="F7" s="676" t="s">
        <v>515</v>
      </c>
      <c r="G7" s="675"/>
      <c r="H7" s="676" t="s">
        <v>516</v>
      </c>
      <c r="I7" s="675"/>
    </row>
    <row r="8" spans="1:9" ht="15.95" customHeight="1">
      <c r="A8" s="406"/>
      <c r="B8" s="660"/>
      <c r="C8" s="661"/>
      <c r="D8" s="640"/>
      <c r="E8" s="634"/>
      <c r="F8" s="633"/>
      <c r="G8" s="634"/>
      <c r="H8" s="633"/>
      <c r="I8" s="634"/>
    </row>
    <row r="9" spans="1:9" ht="15.95" customHeight="1">
      <c r="A9" s="34" t="s">
        <v>43</v>
      </c>
      <c r="B9" s="76" t="s">
        <v>44</v>
      </c>
      <c r="C9" s="76" t="s">
        <v>45</v>
      </c>
      <c r="D9" s="167" t="s">
        <v>44</v>
      </c>
      <c r="E9" s="167" t="s">
        <v>45</v>
      </c>
      <c r="F9" s="167" t="s">
        <v>44</v>
      </c>
      <c r="G9" s="167" t="s">
        <v>45</v>
      </c>
      <c r="H9" s="167" t="s">
        <v>44</v>
      </c>
      <c r="I9" s="167" t="s">
        <v>45</v>
      </c>
    </row>
    <row r="10" spans="1:9" ht="5.0999999999999996" customHeight="1">
      <c r="A10" s="5"/>
    </row>
    <row r="11" spans="1:9" ht="14.1" customHeight="1">
      <c r="A11" s="287" t="s">
        <v>111</v>
      </c>
      <c r="B11" s="288">
        <v>0</v>
      </c>
      <c r="C11" s="294">
        <f>B11/'- 3 -'!$D11*100</f>
        <v>0</v>
      </c>
      <c r="D11" s="288">
        <v>0</v>
      </c>
      <c r="E11" s="294">
        <f>D11/'- 3 -'!$D11*100</f>
        <v>0</v>
      </c>
      <c r="F11" s="288">
        <v>0</v>
      </c>
      <c r="G11" s="294">
        <f>F11/'- 3 -'!$D11*100</f>
        <v>0</v>
      </c>
      <c r="H11" s="288">
        <v>18760</v>
      </c>
      <c r="I11" s="294">
        <f>H11/'- 3 -'!$D11*100</f>
        <v>0.10730266719196928</v>
      </c>
    </row>
    <row r="12" spans="1:9" ht="14.1" customHeight="1">
      <c r="A12" s="18" t="s">
        <v>112</v>
      </c>
      <c r="B12" s="19">
        <v>0</v>
      </c>
      <c r="C12" s="69">
        <f>B12/'- 3 -'!$D12*100</f>
        <v>0</v>
      </c>
      <c r="D12" s="19">
        <v>0</v>
      </c>
      <c r="E12" s="69">
        <f>D12/'- 3 -'!$D12*100</f>
        <v>0</v>
      </c>
      <c r="F12" s="19">
        <v>0</v>
      </c>
      <c r="G12" s="69">
        <f>F12/'- 3 -'!$D12*100</f>
        <v>0</v>
      </c>
      <c r="H12" s="19">
        <v>61984</v>
      </c>
      <c r="I12" s="69">
        <f>H12/'- 3 -'!$D12*100</f>
        <v>0.19574043499572699</v>
      </c>
    </row>
    <row r="13" spans="1:9" ht="14.1" customHeight="1">
      <c r="A13" s="287" t="s">
        <v>113</v>
      </c>
      <c r="B13" s="288">
        <v>0</v>
      </c>
      <c r="C13" s="294">
        <f>B13/'- 3 -'!$D13*100</f>
        <v>0</v>
      </c>
      <c r="D13" s="288">
        <v>0</v>
      </c>
      <c r="E13" s="294">
        <f>D13/'- 3 -'!$D13*100</f>
        <v>0</v>
      </c>
      <c r="F13" s="288">
        <v>116278</v>
      </c>
      <c r="G13" s="294">
        <f>F13/'- 3 -'!$D13*100</f>
        <v>0.1344361899753852</v>
      </c>
      <c r="H13" s="288">
        <v>125468</v>
      </c>
      <c r="I13" s="294">
        <f>H13/'- 3 -'!$D13*100</f>
        <v>0.14506131756507362</v>
      </c>
    </row>
    <row r="14" spans="1:9" ht="14.1" customHeight="1">
      <c r="A14" s="18" t="s">
        <v>365</v>
      </c>
      <c r="B14" s="19">
        <v>0</v>
      </c>
      <c r="C14" s="69">
        <f>B14/'- 3 -'!$D14*100</f>
        <v>0</v>
      </c>
      <c r="D14" s="19">
        <v>0</v>
      </c>
      <c r="E14" s="69">
        <f>D14/'- 3 -'!$D14*100</f>
        <v>0</v>
      </c>
      <c r="F14" s="19">
        <v>0</v>
      </c>
      <c r="G14" s="69">
        <f>F14/'- 3 -'!$D14*100</f>
        <v>0</v>
      </c>
      <c r="H14" s="19">
        <v>946651</v>
      </c>
      <c r="I14" s="69">
        <f>H14/'- 3 -'!$D14*100</f>
        <v>1.2219071370660184</v>
      </c>
    </row>
    <row r="15" spans="1:9" ht="14.1" customHeight="1">
      <c r="A15" s="287" t="s">
        <v>114</v>
      </c>
      <c r="B15" s="288">
        <v>0</v>
      </c>
      <c r="C15" s="294">
        <f>B15/'- 3 -'!$D15*100</f>
        <v>0</v>
      </c>
      <c r="D15" s="288">
        <v>0</v>
      </c>
      <c r="E15" s="294">
        <f>D15/'- 3 -'!$D15*100</f>
        <v>0</v>
      </c>
      <c r="F15" s="288">
        <v>0</v>
      </c>
      <c r="G15" s="294">
        <f>F15/'- 3 -'!$D15*100</f>
        <v>0</v>
      </c>
      <c r="H15" s="288">
        <v>57901</v>
      </c>
      <c r="I15" s="294">
        <f>H15/'- 3 -'!$D15*100</f>
        <v>0.29455221104672791</v>
      </c>
    </row>
    <row r="16" spans="1:9" ht="14.1" customHeight="1">
      <c r="A16" s="18" t="s">
        <v>115</v>
      </c>
      <c r="B16" s="19">
        <v>0</v>
      </c>
      <c r="C16" s="69">
        <f>B16/'- 3 -'!$D16*100</f>
        <v>0</v>
      </c>
      <c r="D16" s="19">
        <v>0</v>
      </c>
      <c r="E16" s="69">
        <f>D16/'- 3 -'!$D16*100</f>
        <v>0</v>
      </c>
      <c r="F16" s="19">
        <v>0</v>
      </c>
      <c r="G16" s="69">
        <f>F16/'- 3 -'!$D16*100</f>
        <v>0</v>
      </c>
      <c r="H16" s="19">
        <v>11767</v>
      </c>
      <c r="I16" s="69">
        <f>H16/'- 3 -'!$D16*100</f>
        <v>8.6417918877023853E-2</v>
      </c>
    </row>
    <row r="17" spans="1:9" ht="14.1" customHeight="1">
      <c r="A17" s="287" t="s">
        <v>116</v>
      </c>
      <c r="B17" s="288">
        <v>0</v>
      </c>
      <c r="C17" s="294">
        <f>B17/'- 3 -'!$D17*100</f>
        <v>0</v>
      </c>
      <c r="D17" s="288">
        <v>0</v>
      </c>
      <c r="E17" s="294">
        <f>D17/'- 3 -'!$D17*100</f>
        <v>0</v>
      </c>
      <c r="F17" s="288">
        <v>81461</v>
      </c>
      <c r="G17" s="294">
        <f>F17/'- 3 -'!$D17*100</f>
        <v>0.46915464163095644</v>
      </c>
      <c r="H17" s="288">
        <v>264378</v>
      </c>
      <c r="I17" s="294">
        <f>H17/'- 3 -'!$D17*100</f>
        <v>1.5226202212728668</v>
      </c>
    </row>
    <row r="18" spans="1:9" ht="14.1" customHeight="1">
      <c r="A18" s="18" t="s">
        <v>117</v>
      </c>
      <c r="B18" s="19">
        <v>0</v>
      </c>
      <c r="C18" s="69">
        <f>B18/'- 3 -'!$D18*100</f>
        <v>0</v>
      </c>
      <c r="D18" s="19">
        <v>0</v>
      </c>
      <c r="E18" s="69">
        <f>D18/'- 3 -'!$D18*100</f>
        <v>0</v>
      </c>
      <c r="F18" s="19">
        <v>991942</v>
      </c>
      <c r="G18" s="69">
        <f>F18/'- 3 -'!$D18*100</f>
        <v>0.81190792173722381</v>
      </c>
      <c r="H18" s="19">
        <v>1380654</v>
      </c>
      <c r="I18" s="69">
        <f>H18/'- 3 -'!$D18*100</f>
        <v>1.1300700240318335</v>
      </c>
    </row>
    <row r="19" spans="1:9" ht="14.1" customHeight="1">
      <c r="A19" s="287" t="s">
        <v>118</v>
      </c>
      <c r="B19" s="288">
        <v>0</v>
      </c>
      <c r="C19" s="294">
        <f>B19/'- 3 -'!$D19*100</f>
        <v>0</v>
      </c>
      <c r="D19" s="288">
        <v>0</v>
      </c>
      <c r="E19" s="294">
        <f>D19/'- 3 -'!$D19*100</f>
        <v>0</v>
      </c>
      <c r="F19" s="288">
        <v>0</v>
      </c>
      <c r="G19" s="294">
        <f>F19/'- 3 -'!$D19*100</f>
        <v>0</v>
      </c>
      <c r="H19" s="288">
        <v>59786</v>
      </c>
      <c r="I19" s="294">
        <f>H19/'- 3 -'!$D19*100</f>
        <v>0.13880092815952677</v>
      </c>
    </row>
    <row r="20" spans="1:9" ht="14.1" customHeight="1">
      <c r="A20" s="18" t="s">
        <v>119</v>
      </c>
      <c r="B20" s="19">
        <v>0</v>
      </c>
      <c r="C20" s="69">
        <f>B20/'- 3 -'!$D20*100</f>
        <v>0</v>
      </c>
      <c r="D20" s="19">
        <v>0</v>
      </c>
      <c r="E20" s="69">
        <f>D20/'- 3 -'!$D20*100</f>
        <v>0</v>
      </c>
      <c r="F20" s="19">
        <v>0</v>
      </c>
      <c r="G20" s="69">
        <f>F20/'- 3 -'!$D20*100</f>
        <v>0</v>
      </c>
      <c r="H20" s="19">
        <v>175024</v>
      </c>
      <c r="I20" s="69">
        <f>H20/'- 3 -'!$D20*100</f>
        <v>0.23443827291066721</v>
      </c>
    </row>
    <row r="21" spans="1:9" ht="14.1" customHeight="1">
      <c r="A21" s="287" t="s">
        <v>120</v>
      </c>
      <c r="B21" s="288">
        <v>161858</v>
      </c>
      <c r="C21" s="294">
        <f>B21/'- 3 -'!$D21*100</f>
        <v>0.46496484252417725</v>
      </c>
      <c r="D21" s="288">
        <v>0</v>
      </c>
      <c r="E21" s="294">
        <f>D21/'- 3 -'!$D21*100</f>
        <v>0</v>
      </c>
      <c r="F21" s="288">
        <v>0</v>
      </c>
      <c r="G21" s="294">
        <f>F21/'- 3 -'!$D21*100</f>
        <v>0</v>
      </c>
      <c r="H21" s="288">
        <v>96301</v>
      </c>
      <c r="I21" s="294">
        <f>H21/'- 3 -'!$D21*100</f>
        <v>0.27664112555400905</v>
      </c>
    </row>
    <row r="22" spans="1:9" ht="14.1" customHeight="1">
      <c r="A22" s="18" t="s">
        <v>121</v>
      </c>
      <c r="B22" s="19">
        <v>0</v>
      </c>
      <c r="C22" s="69">
        <f>B22/'- 3 -'!$D22*100</f>
        <v>0</v>
      </c>
      <c r="D22" s="19">
        <v>0</v>
      </c>
      <c r="E22" s="69">
        <f>D22/'- 3 -'!$D22*100</f>
        <v>0</v>
      </c>
      <c r="F22" s="19">
        <v>55393</v>
      </c>
      <c r="G22" s="69">
        <f>F22/'- 3 -'!$D22*100</f>
        <v>0.28499183786216353</v>
      </c>
      <c r="H22" s="19">
        <v>0</v>
      </c>
      <c r="I22" s="69">
        <f>H22/'- 3 -'!$D22*100</f>
        <v>0</v>
      </c>
    </row>
    <row r="23" spans="1:9" ht="14.1" customHeight="1">
      <c r="A23" s="287" t="s">
        <v>122</v>
      </c>
      <c r="B23" s="288">
        <v>111031</v>
      </c>
      <c r="C23" s="294">
        <f>B23/'- 3 -'!$D23*100</f>
        <v>0.68343146351501094</v>
      </c>
      <c r="D23" s="288">
        <v>0</v>
      </c>
      <c r="E23" s="294">
        <f>D23/'- 3 -'!$D23*100</f>
        <v>0</v>
      </c>
      <c r="F23" s="288">
        <v>131464</v>
      </c>
      <c r="G23" s="294">
        <f>F23/'- 3 -'!$D23*100</f>
        <v>0.80920314074031041</v>
      </c>
      <c r="H23" s="288">
        <v>35177</v>
      </c>
      <c r="I23" s="294">
        <f>H23/'- 3 -'!$D23*100</f>
        <v>0.21652573238165501</v>
      </c>
    </row>
    <row r="24" spans="1:9" ht="14.1" customHeight="1">
      <c r="A24" s="18" t="s">
        <v>123</v>
      </c>
      <c r="B24" s="19">
        <v>279256</v>
      </c>
      <c r="C24" s="69">
        <f>B24/'- 3 -'!$D24*100</f>
        <v>0.51502523643207843</v>
      </c>
      <c r="D24" s="19">
        <v>0</v>
      </c>
      <c r="E24" s="69">
        <f>D24/'- 3 -'!$D24*100</f>
        <v>0</v>
      </c>
      <c r="F24" s="19">
        <v>227191</v>
      </c>
      <c r="G24" s="69">
        <f>F24/'- 3 -'!$D24*100</f>
        <v>0.41900298826252735</v>
      </c>
      <c r="H24" s="19">
        <v>0</v>
      </c>
      <c r="I24" s="69">
        <f>H24/'- 3 -'!$D24*100</f>
        <v>0</v>
      </c>
    </row>
    <row r="25" spans="1:9" ht="14.1" customHeight="1">
      <c r="A25" s="287" t="s">
        <v>124</v>
      </c>
      <c r="B25" s="288">
        <v>345246</v>
      </c>
      <c r="C25" s="294">
        <f>B25/'- 3 -'!$D25*100</f>
        <v>0.2161036523868288</v>
      </c>
      <c r="D25" s="288">
        <v>227487</v>
      </c>
      <c r="E25" s="294">
        <f>D25/'- 3 -'!$D25*100</f>
        <v>0.14239345733338699</v>
      </c>
      <c r="F25" s="288">
        <v>135518</v>
      </c>
      <c r="G25" s="294">
        <f>F25/'- 3 -'!$D25*100</f>
        <v>8.4826282604746367E-2</v>
      </c>
      <c r="H25" s="288">
        <v>539642</v>
      </c>
      <c r="I25" s="294">
        <f>H25/'- 3 -'!$D25*100</f>
        <v>0.33778409360668354</v>
      </c>
    </row>
    <row r="26" spans="1:9" ht="14.1" customHeight="1">
      <c r="A26" s="18" t="s">
        <v>125</v>
      </c>
      <c r="B26" s="19">
        <v>0</v>
      </c>
      <c r="C26" s="69">
        <f>B26/'- 3 -'!$D26*100</f>
        <v>0</v>
      </c>
      <c r="D26" s="19">
        <v>0</v>
      </c>
      <c r="E26" s="69">
        <f>D26/'- 3 -'!$D26*100</f>
        <v>0</v>
      </c>
      <c r="F26" s="19">
        <v>0</v>
      </c>
      <c r="G26" s="69">
        <f>F26/'- 3 -'!$D26*100</f>
        <v>0</v>
      </c>
      <c r="H26" s="19">
        <v>102146</v>
      </c>
      <c r="I26" s="69">
        <f>H26/'- 3 -'!$D26*100</f>
        <v>0.26255897140917717</v>
      </c>
    </row>
    <row r="27" spans="1:9" ht="14.1" customHeight="1">
      <c r="A27" s="287" t="s">
        <v>126</v>
      </c>
      <c r="B27" s="288">
        <v>0</v>
      </c>
      <c r="C27" s="294">
        <f>B27/'- 3 -'!$D27*100</f>
        <v>0</v>
      </c>
      <c r="D27" s="288">
        <v>0</v>
      </c>
      <c r="E27" s="294">
        <f>D27/'- 3 -'!$D27*100</f>
        <v>0</v>
      </c>
      <c r="F27" s="288">
        <v>0</v>
      </c>
      <c r="G27" s="294">
        <f>F27/'- 3 -'!$D27*100</f>
        <v>0</v>
      </c>
      <c r="H27" s="288">
        <v>45416</v>
      </c>
      <c r="I27" s="294">
        <f>H27/'- 3 -'!$D27*100</f>
        <v>0.11630325186873047</v>
      </c>
    </row>
    <row r="28" spans="1:9" ht="14.1" customHeight="1">
      <c r="A28" s="18" t="s">
        <v>127</v>
      </c>
      <c r="B28" s="19">
        <v>0</v>
      </c>
      <c r="C28" s="69">
        <f>B28/'- 3 -'!$D28*100</f>
        <v>0</v>
      </c>
      <c r="D28" s="19">
        <v>0</v>
      </c>
      <c r="E28" s="69">
        <f>D28/'- 3 -'!$D28*100</f>
        <v>0</v>
      </c>
      <c r="F28" s="19">
        <v>0</v>
      </c>
      <c r="G28" s="69">
        <f>F28/'- 3 -'!$D28*100</f>
        <v>0</v>
      </c>
      <c r="H28" s="19">
        <v>98752</v>
      </c>
      <c r="I28" s="69">
        <f>H28/'- 3 -'!$D28*100</f>
        <v>0.35911600703089441</v>
      </c>
    </row>
    <row r="29" spans="1:9" ht="14.1" customHeight="1">
      <c r="A29" s="287" t="s">
        <v>128</v>
      </c>
      <c r="B29" s="288">
        <v>0</v>
      </c>
      <c r="C29" s="294">
        <f>B29/'- 3 -'!$D29*100</f>
        <v>0</v>
      </c>
      <c r="D29" s="288">
        <v>0</v>
      </c>
      <c r="E29" s="294">
        <f>D29/'- 3 -'!$D29*100</f>
        <v>0</v>
      </c>
      <c r="F29" s="288">
        <v>975153</v>
      </c>
      <c r="G29" s="294">
        <f>F29/'- 3 -'!$D29*100</f>
        <v>0.6684452563664236</v>
      </c>
      <c r="H29" s="288">
        <v>281281</v>
      </c>
      <c r="I29" s="294">
        <f>H29/'- 3 -'!$D29*100</f>
        <v>0.19281174354793967</v>
      </c>
    </row>
    <row r="30" spans="1:9" ht="14.1" customHeight="1">
      <c r="A30" s="18" t="s">
        <v>129</v>
      </c>
      <c r="B30" s="19">
        <v>0</v>
      </c>
      <c r="C30" s="69">
        <f>B30/'- 3 -'!$D30*100</f>
        <v>0</v>
      </c>
      <c r="D30" s="19">
        <v>0</v>
      </c>
      <c r="E30" s="69">
        <f>D30/'- 3 -'!$D30*100</f>
        <v>0</v>
      </c>
      <c r="F30" s="19">
        <v>0</v>
      </c>
      <c r="G30" s="69">
        <f>F30/'- 3 -'!$D30*100</f>
        <v>0</v>
      </c>
      <c r="H30" s="19">
        <v>13615</v>
      </c>
      <c r="I30" s="69">
        <f>H30/'- 3 -'!$D30*100</f>
        <v>0.10013896625989822</v>
      </c>
    </row>
    <row r="31" spans="1:9" ht="14.1" customHeight="1">
      <c r="A31" s="287" t="s">
        <v>130</v>
      </c>
      <c r="B31" s="288">
        <v>0</v>
      </c>
      <c r="C31" s="294">
        <f>B31/'- 3 -'!$D31*100</f>
        <v>0</v>
      </c>
      <c r="D31" s="288">
        <v>0</v>
      </c>
      <c r="E31" s="294">
        <f>D31/'- 3 -'!$D31*100</f>
        <v>0</v>
      </c>
      <c r="F31" s="288">
        <v>0</v>
      </c>
      <c r="G31" s="294">
        <f>F31/'- 3 -'!$D31*100</f>
        <v>0</v>
      </c>
      <c r="H31" s="288">
        <v>64784</v>
      </c>
      <c r="I31" s="294">
        <f>H31/'- 3 -'!$D31*100</f>
        <v>0.18326182801014357</v>
      </c>
    </row>
    <row r="32" spans="1:9" ht="14.1" customHeight="1">
      <c r="A32" s="18" t="s">
        <v>131</v>
      </c>
      <c r="B32" s="19">
        <v>0</v>
      </c>
      <c r="C32" s="69">
        <f>B32/'- 3 -'!$D32*100</f>
        <v>0</v>
      </c>
      <c r="D32" s="19">
        <v>0</v>
      </c>
      <c r="E32" s="69">
        <f>D32/'- 3 -'!$D32*100</f>
        <v>0</v>
      </c>
      <c r="F32" s="19">
        <v>0</v>
      </c>
      <c r="G32" s="69">
        <f>F32/'- 3 -'!$D32*100</f>
        <v>0</v>
      </c>
      <c r="H32" s="19">
        <v>35028</v>
      </c>
      <c r="I32" s="69">
        <f>H32/'- 3 -'!$D32*100</f>
        <v>0.13265417687019079</v>
      </c>
    </row>
    <row r="33" spans="1:10" ht="14.1" customHeight="1">
      <c r="A33" s="287" t="s">
        <v>132</v>
      </c>
      <c r="B33" s="288">
        <v>0</v>
      </c>
      <c r="C33" s="294">
        <f>B33/'- 3 -'!$D33*100</f>
        <v>0</v>
      </c>
      <c r="D33" s="288">
        <v>0</v>
      </c>
      <c r="E33" s="294">
        <f>D33/'- 3 -'!$D33*100</f>
        <v>0</v>
      </c>
      <c r="F33" s="288">
        <v>0</v>
      </c>
      <c r="G33" s="294">
        <f>F33/'- 3 -'!$D33*100</f>
        <v>0</v>
      </c>
      <c r="H33" s="288">
        <v>34918</v>
      </c>
      <c r="I33" s="294">
        <f>H33/'- 3 -'!$D33*100</f>
        <v>0.13250164687882313</v>
      </c>
    </row>
    <row r="34" spans="1:10" ht="14.1" customHeight="1">
      <c r="A34" s="18" t="s">
        <v>133</v>
      </c>
      <c r="B34" s="19">
        <v>0</v>
      </c>
      <c r="C34" s="69">
        <f>B34/'- 3 -'!$D34*100</f>
        <v>0</v>
      </c>
      <c r="D34" s="19">
        <v>0</v>
      </c>
      <c r="E34" s="69">
        <f>D34/'- 3 -'!$D34*100</f>
        <v>0</v>
      </c>
      <c r="F34" s="19">
        <v>0</v>
      </c>
      <c r="G34" s="69">
        <f>F34/'- 3 -'!$D34*100</f>
        <v>0</v>
      </c>
      <c r="H34" s="19">
        <v>48608</v>
      </c>
      <c r="I34" s="69">
        <f>H34/'- 3 -'!$D34*100</f>
        <v>0.18337579645467678</v>
      </c>
    </row>
    <row r="35" spans="1:10" ht="14.1" customHeight="1">
      <c r="A35" s="287" t="s">
        <v>134</v>
      </c>
      <c r="B35" s="288">
        <v>338353</v>
      </c>
      <c r="C35" s="294">
        <f>B35/'- 3 -'!$D35*100</f>
        <v>0.19361788686321924</v>
      </c>
      <c r="D35" s="288">
        <v>177541</v>
      </c>
      <c r="E35" s="294">
        <f>D35/'- 3 -'!$D35*100</f>
        <v>0.10159541440916088</v>
      </c>
      <c r="F35" s="288">
        <v>653824</v>
      </c>
      <c r="G35" s="294">
        <f>F35/'- 3 -'!$D35*100</f>
        <v>0.37414186148920642</v>
      </c>
      <c r="H35" s="288">
        <v>285582</v>
      </c>
      <c r="I35" s="294">
        <f>H35/'- 3 -'!$D35*100</f>
        <v>0.16342040226086921</v>
      </c>
    </row>
    <row r="36" spans="1:10" ht="14.1" customHeight="1">
      <c r="A36" s="18" t="s">
        <v>135</v>
      </c>
      <c r="B36" s="19">
        <v>0</v>
      </c>
      <c r="C36" s="69">
        <f>B36/'- 3 -'!$D36*100</f>
        <v>0</v>
      </c>
      <c r="D36" s="19">
        <v>0</v>
      </c>
      <c r="E36" s="69">
        <f>D36/'- 3 -'!$D36*100</f>
        <v>0</v>
      </c>
      <c r="F36" s="19">
        <v>0</v>
      </c>
      <c r="G36" s="69">
        <f>F36/'- 3 -'!$D36*100</f>
        <v>0</v>
      </c>
      <c r="H36" s="19">
        <v>35539</v>
      </c>
      <c r="I36" s="69">
        <f>H36/'- 3 -'!$D36*100</f>
        <v>0.16275710415364703</v>
      </c>
    </row>
    <row r="37" spans="1:10" ht="14.1" customHeight="1">
      <c r="A37" s="287" t="s">
        <v>136</v>
      </c>
      <c r="B37" s="288">
        <v>0</v>
      </c>
      <c r="C37" s="294">
        <f>B37/'- 3 -'!$D37*100</f>
        <v>0</v>
      </c>
      <c r="D37" s="288">
        <v>0</v>
      </c>
      <c r="E37" s="294">
        <f>D37/'- 3 -'!$D37*100</f>
        <v>0</v>
      </c>
      <c r="F37" s="288">
        <v>0</v>
      </c>
      <c r="G37" s="294">
        <f>F37/'- 3 -'!$D37*100</f>
        <v>0</v>
      </c>
      <c r="H37" s="288">
        <v>197053</v>
      </c>
      <c r="I37" s="294">
        <f>H37/'- 3 -'!$D37*100</f>
        <v>0.43718048372612939</v>
      </c>
    </row>
    <row r="38" spans="1:10" ht="14.1" customHeight="1">
      <c r="A38" s="18" t="s">
        <v>137</v>
      </c>
      <c r="B38" s="19">
        <v>51701</v>
      </c>
      <c r="C38" s="69">
        <f>B38/'- 3 -'!$D38*100</f>
        <v>4.235954453014653E-2</v>
      </c>
      <c r="D38" s="19">
        <v>503473</v>
      </c>
      <c r="E38" s="69">
        <f>D38/'- 3 -'!$D38*100</f>
        <v>0.41250434156450488</v>
      </c>
      <c r="F38" s="19">
        <v>901254</v>
      </c>
      <c r="G38" s="69">
        <f>F38/'- 3 -'!$D38*100</f>
        <v>0.73841335653029305</v>
      </c>
      <c r="H38" s="19">
        <v>320273</v>
      </c>
      <c r="I38" s="69">
        <f>H38/'- 3 -'!$D38*100</f>
        <v>0.26240533849062148</v>
      </c>
    </row>
    <row r="39" spans="1:10" ht="14.1" customHeight="1">
      <c r="A39" s="287" t="s">
        <v>138</v>
      </c>
      <c r="B39" s="288">
        <v>0</v>
      </c>
      <c r="C39" s="294">
        <f>B39/'- 3 -'!$D39*100</f>
        <v>0</v>
      </c>
      <c r="D39" s="288">
        <v>0</v>
      </c>
      <c r="E39" s="294">
        <f>D39/'- 3 -'!$D39*100</f>
        <v>0</v>
      </c>
      <c r="F39" s="288">
        <v>0</v>
      </c>
      <c r="G39" s="294">
        <f>F39/'- 3 -'!$D39*100</f>
        <v>0</v>
      </c>
      <c r="H39" s="288">
        <v>148637</v>
      </c>
      <c r="I39" s="294">
        <f>H39/'- 3 -'!$D39*100</f>
        <v>0.736183380720977</v>
      </c>
    </row>
    <row r="40" spans="1:10" ht="14.1" customHeight="1">
      <c r="A40" s="18" t="s">
        <v>139</v>
      </c>
      <c r="B40" s="19">
        <v>512690</v>
      </c>
      <c r="C40" s="69">
        <f>B40/'- 3 -'!$D40*100</f>
        <v>0.52436468072855325</v>
      </c>
      <c r="D40" s="19">
        <v>0</v>
      </c>
      <c r="E40" s="69">
        <f>D40/'- 3 -'!$D40*100</f>
        <v>0</v>
      </c>
      <c r="F40" s="19">
        <v>464609</v>
      </c>
      <c r="G40" s="69">
        <f>F40/'- 3 -'!$D40*100</f>
        <v>0.47518880795141777</v>
      </c>
      <c r="H40" s="19">
        <v>91271</v>
      </c>
      <c r="I40" s="69">
        <f>H40/'- 3 -'!$D40*100</f>
        <v>9.3349370525611541E-2</v>
      </c>
    </row>
    <row r="41" spans="1:10" ht="14.1" customHeight="1">
      <c r="A41" s="287" t="s">
        <v>140</v>
      </c>
      <c r="B41" s="288">
        <v>0</v>
      </c>
      <c r="C41" s="294">
        <f>B41/'- 3 -'!$D41*100</f>
        <v>0</v>
      </c>
      <c r="D41" s="288">
        <v>0</v>
      </c>
      <c r="E41" s="294">
        <f>D41/'- 3 -'!$D41*100</f>
        <v>0</v>
      </c>
      <c r="F41" s="288">
        <v>0</v>
      </c>
      <c r="G41" s="294">
        <f>F41/'- 3 -'!$D41*100</f>
        <v>0</v>
      </c>
      <c r="H41" s="288">
        <v>294284</v>
      </c>
      <c r="I41" s="294">
        <f>H41/'- 3 -'!$D41*100</f>
        <v>0.49254078971619336</v>
      </c>
    </row>
    <row r="42" spans="1:10" ht="14.1" customHeight="1">
      <c r="A42" s="18" t="s">
        <v>141</v>
      </c>
      <c r="B42" s="19">
        <v>0</v>
      </c>
      <c r="C42" s="69">
        <f>B42/'- 3 -'!$D42*100</f>
        <v>0</v>
      </c>
      <c r="D42" s="19">
        <v>0</v>
      </c>
      <c r="E42" s="69">
        <f>D42/'- 3 -'!$D42*100</f>
        <v>0</v>
      </c>
      <c r="F42" s="19">
        <v>0</v>
      </c>
      <c r="G42" s="69">
        <f>F42/'- 3 -'!$D42*100</f>
        <v>0</v>
      </c>
      <c r="H42" s="19">
        <v>222133</v>
      </c>
      <c r="I42" s="69">
        <f>H42/'- 3 -'!$D42*100</f>
        <v>1.1162769147473552</v>
      </c>
    </row>
    <row r="43" spans="1:10" ht="14.1" customHeight="1">
      <c r="A43" s="287" t="s">
        <v>142</v>
      </c>
      <c r="B43" s="288">
        <v>0</v>
      </c>
      <c r="C43" s="294">
        <f>B43/'- 3 -'!$D43*100</f>
        <v>0</v>
      </c>
      <c r="D43" s="288">
        <v>0</v>
      </c>
      <c r="E43" s="294">
        <f>D43/'- 3 -'!$D43*100</f>
        <v>0</v>
      </c>
      <c r="F43" s="288">
        <v>0</v>
      </c>
      <c r="G43" s="294">
        <f>F43/'- 3 -'!$D43*100</f>
        <v>0</v>
      </c>
      <c r="H43" s="288">
        <v>13261</v>
      </c>
      <c r="I43" s="294">
        <f>H43/'- 3 -'!$D43*100</f>
        <v>0.10353249500196704</v>
      </c>
    </row>
    <row r="44" spans="1:10" ht="14.1" customHeight="1">
      <c r="A44" s="18" t="s">
        <v>143</v>
      </c>
      <c r="B44" s="19">
        <v>0</v>
      </c>
      <c r="C44" s="69">
        <f>B44/'- 3 -'!$D44*100</f>
        <v>0</v>
      </c>
      <c r="D44" s="19">
        <v>0</v>
      </c>
      <c r="E44" s="69">
        <f>D44/'- 3 -'!$D44*100</f>
        <v>0</v>
      </c>
      <c r="F44" s="19">
        <v>0</v>
      </c>
      <c r="G44" s="69">
        <f>F44/'- 3 -'!$D44*100</f>
        <v>0</v>
      </c>
      <c r="H44" s="19">
        <v>10038</v>
      </c>
      <c r="I44" s="69">
        <f>H44/'- 3 -'!$D44*100</f>
        <v>9.5211031200535409E-2</v>
      </c>
    </row>
    <row r="45" spans="1:10" ht="14.1" customHeight="1">
      <c r="A45" s="287" t="s">
        <v>144</v>
      </c>
      <c r="B45" s="288">
        <v>0</v>
      </c>
      <c r="C45" s="294">
        <f>B45/'- 3 -'!$D45*100</f>
        <v>0</v>
      </c>
      <c r="D45" s="288">
        <v>0</v>
      </c>
      <c r="E45" s="294">
        <f>D45/'- 3 -'!$D45*100</f>
        <v>0</v>
      </c>
      <c r="F45" s="288">
        <v>5580</v>
      </c>
      <c r="G45" s="294">
        <f>F45/'- 3 -'!$D45*100</f>
        <v>3.1954720047160129E-2</v>
      </c>
      <c r="H45" s="288">
        <v>46126</v>
      </c>
      <c r="I45" s="294">
        <f>H45/'- 3 -'!$D45*100</f>
        <v>0.26414756575184734</v>
      </c>
    </row>
    <row r="46" spans="1:10" ht="14.1" customHeight="1">
      <c r="A46" s="18" t="s">
        <v>145</v>
      </c>
      <c r="B46" s="19">
        <v>0</v>
      </c>
      <c r="C46" s="69">
        <f>B46/'- 3 -'!$D46*100</f>
        <v>0</v>
      </c>
      <c r="D46" s="19">
        <v>3133670</v>
      </c>
      <c r="E46" s="69">
        <f>D46/'- 3 -'!$D46*100</f>
        <v>0.85215103763455291</v>
      </c>
      <c r="F46" s="19">
        <v>167546</v>
      </c>
      <c r="G46" s="69">
        <f>F46/'- 3 -'!$D46*100</f>
        <v>4.5561433638997978E-2</v>
      </c>
      <c r="H46" s="19">
        <v>5291059</v>
      </c>
      <c r="I46" s="69">
        <f>H46/'- 3 -'!$D46*100</f>
        <v>1.4388181962477351</v>
      </c>
    </row>
    <row r="47" spans="1:10" ht="5.0999999999999996" customHeight="1">
      <c r="A47"/>
      <c r="B47"/>
      <c r="C47"/>
      <c r="D47"/>
      <c r="E47"/>
      <c r="F47"/>
      <c r="G47"/>
      <c r="H47"/>
      <c r="I47"/>
      <c r="J47"/>
    </row>
    <row r="48" spans="1:10" ht="14.1" customHeight="1">
      <c r="A48" s="289" t="s">
        <v>146</v>
      </c>
      <c r="B48" s="290">
        <f>SUM(B11:B46)</f>
        <v>1800135</v>
      </c>
      <c r="C48" s="297">
        <f>B48/'- 3 -'!$D48*100</f>
        <v>8.4214602843898367E-2</v>
      </c>
      <c r="D48" s="290">
        <f>SUM(D11:D46)</f>
        <v>4042171</v>
      </c>
      <c r="E48" s="297">
        <f>D48/'- 3 -'!$D48*100</f>
        <v>0.18910238698326709</v>
      </c>
      <c r="F48" s="290">
        <f>SUM(F11:F46)</f>
        <v>4907213</v>
      </c>
      <c r="G48" s="297">
        <f>F48/'- 3 -'!$D48*100</f>
        <v>0.22957111209182371</v>
      </c>
      <c r="H48" s="290">
        <f>SUM(H11:H46)</f>
        <v>11453297</v>
      </c>
      <c r="I48" s="297">
        <f>H48/'- 3 -'!$D48*100</f>
        <v>0.53581251301053123</v>
      </c>
    </row>
    <row r="49" spans="1:9" ht="5.0999999999999996" customHeight="1">
      <c r="A49" s="20" t="s">
        <v>8</v>
      </c>
      <c r="B49"/>
      <c r="C49"/>
      <c r="D49"/>
      <c r="E49"/>
      <c r="F49"/>
      <c r="G49"/>
      <c r="H49"/>
      <c r="I49"/>
    </row>
    <row r="50" spans="1:9" ht="14.1" customHeight="1">
      <c r="A50" s="18" t="s">
        <v>147</v>
      </c>
      <c r="B50" s="19">
        <v>0</v>
      </c>
      <c r="C50" s="69">
        <f>B50/'- 3 -'!$D50*100</f>
        <v>0</v>
      </c>
      <c r="D50" s="19">
        <v>0</v>
      </c>
      <c r="E50" s="69">
        <f>D50/'- 3 -'!$D50*100</f>
        <v>0</v>
      </c>
      <c r="F50" s="19">
        <v>25613</v>
      </c>
      <c r="G50" s="69">
        <f>F50/'- 3 -'!$D50*100</f>
        <v>0.78852247703131584</v>
      </c>
      <c r="H50" s="19">
        <v>40097</v>
      </c>
      <c r="I50" s="69">
        <f>H50/'- 3 -'!$D50*100</f>
        <v>1.2344272737096267</v>
      </c>
    </row>
    <row r="51" spans="1:9" ht="14.1" customHeight="1">
      <c r="A51" s="287" t="s">
        <v>643</v>
      </c>
      <c r="B51" s="288">
        <v>0</v>
      </c>
      <c r="C51" s="294">
        <f>B51/'- 3 -'!$D51*100</f>
        <v>0</v>
      </c>
      <c r="D51" s="288">
        <v>3864487</v>
      </c>
      <c r="E51" s="294">
        <f>D51/'- 3 -'!$D51*100</f>
        <v>17.332308954323864</v>
      </c>
      <c r="F51" s="288">
        <v>3784320</v>
      </c>
      <c r="G51" s="294">
        <f>F51/'- 3 -'!$D51*100</f>
        <v>16.972758201030793</v>
      </c>
      <c r="H51" s="288">
        <v>0</v>
      </c>
      <c r="I51" s="294">
        <f>H51/'- 3 -'!$D51*100</f>
        <v>0</v>
      </c>
    </row>
    <row r="52" spans="1:9" ht="50.1" customHeight="1"/>
  </sheetData>
  <mergeCells count="4">
    <mergeCell ref="B7:C8"/>
    <mergeCell ref="D6:E8"/>
    <mergeCell ref="F7:G8"/>
    <mergeCell ref="H7:I8"/>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21.xml><?xml version="1.0" encoding="utf-8"?>
<worksheet xmlns="http://schemas.openxmlformats.org/spreadsheetml/2006/main" xmlns:r="http://schemas.openxmlformats.org/officeDocument/2006/relationships">
  <sheetPr codeName="Sheet21">
    <pageSetUpPr fitToPage="1"/>
  </sheetPr>
  <dimension ref="A1:J52"/>
  <sheetViews>
    <sheetView showGridLines="0" showZeros="0" workbookViewId="0"/>
  </sheetViews>
  <sheetFormatPr defaultColWidth="15.83203125" defaultRowHeight="12"/>
  <cols>
    <col min="1" max="1" width="32.83203125" style="1" customWidth="1"/>
    <col min="2" max="2" width="14.83203125" style="1" customWidth="1"/>
    <col min="3" max="3" width="7.83203125" style="1" customWidth="1"/>
    <col min="4" max="4" width="9.83203125" style="1" customWidth="1"/>
    <col min="5" max="5" width="16.83203125" style="1" customWidth="1"/>
    <col min="6" max="6" width="7.83203125" style="1" customWidth="1"/>
    <col min="7" max="7" width="9.83203125" style="1" customWidth="1"/>
    <col min="8" max="8" width="14.83203125" style="1" customWidth="1"/>
    <col min="9" max="9" width="7.83203125" style="1" customWidth="1"/>
    <col min="10" max="10" width="9.83203125" style="1" customWidth="1"/>
    <col min="11" max="16384" width="15.83203125" style="1"/>
  </cols>
  <sheetData>
    <row r="1" spans="1:10" ht="6.95" customHeight="1">
      <c r="A1" s="6"/>
      <c r="B1" s="7"/>
      <c r="C1" s="7"/>
      <c r="D1" s="7"/>
      <c r="E1" s="7"/>
      <c r="F1" s="7"/>
      <c r="G1" s="7"/>
      <c r="H1" s="7"/>
      <c r="I1" s="7"/>
      <c r="J1" s="7"/>
    </row>
    <row r="2" spans="1:10" ht="15.95" customHeight="1">
      <c r="A2" s="133"/>
      <c r="B2" s="8" t="s">
        <v>266</v>
      </c>
      <c r="C2" s="9"/>
      <c r="D2" s="9"/>
      <c r="E2" s="9"/>
      <c r="F2" s="9"/>
      <c r="G2" s="72"/>
      <c r="H2" s="72"/>
      <c r="I2" s="152"/>
      <c r="J2" s="398" t="s">
        <v>425</v>
      </c>
    </row>
    <row r="3" spans="1:10" ht="15.95" customHeight="1">
      <c r="A3" s="546"/>
      <c r="B3" s="10" t="str">
        <f>OPYEAR</f>
        <v>OPERATING FUND 2014/2015 ACTUAL</v>
      </c>
      <c r="C3" s="11"/>
      <c r="D3" s="11"/>
      <c r="E3" s="11"/>
      <c r="F3" s="11"/>
      <c r="G3" s="74"/>
      <c r="H3" s="74"/>
      <c r="I3" s="74"/>
      <c r="J3" s="65"/>
    </row>
    <row r="4" spans="1:10" ht="15.95" customHeight="1">
      <c r="B4" s="7"/>
      <c r="C4" s="7"/>
      <c r="D4" s="7"/>
      <c r="E4" s="7"/>
      <c r="F4" s="7"/>
      <c r="G4" s="7"/>
      <c r="H4" s="7"/>
      <c r="I4" s="7"/>
      <c r="J4" s="7"/>
    </row>
    <row r="5" spans="1:10" ht="15.95" customHeight="1">
      <c r="B5" s="163" t="s">
        <v>95</v>
      </c>
      <c r="C5" s="164"/>
      <c r="D5" s="165"/>
      <c r="E5" s="165"/>
      <c r="F5" s="165"/>
      <c r="G5" s="165"/>
      <c r="H5" s="165"/>
      <c r="I5" s="165"/>
      <c r="J5" s="166"/>
    </row>
    <row r="6" spans="1:10" ht="15.95" customHeight="1">
      <c r="B6" s="312"/>
      <c r="C6" s="315"/>
      <c r="D6" s="313"/>
      <c r="E6" s="631" t="s">
        <v>517</v>
      </c>
      <c r="F6" s="639"/>
      <c r="G6" s="632"/>
      <c r="H6" s="631" t="s">
        <v>518</v>
      </c>
      <c r="I6" s="639"/>
      <c r="J6" s="632"/>
    </row>
    <row r="7" spans="1:10" ht="15.95" customHeight="1">
      <c r="B7" s="636" t="s">
        <v>24</v>
      </c>
      <c r="C7" s="638"/>
      <c r="D7" s="637"/>
      <c r="E7" s="633"/>
      <c r="F7" s="640"/>
      <c r="G7" s="634"/>
      <c r="H7" s="633"/>
      <c r="I7" s="640"/>
      <c r="J7" s="634"/>
    </row>
    <row r="8" spans="1:10" ht="15.95" customHeight="1">
      <c r="A8" s="66"/>
      <c r="B8" s="136"/>
      <c r="C8" s="137"/>
      <c r="D8" s="584" t="s">
        <v>502</v>
      </c>
      <c r="E8" s="136"/>
      <c r="F8" s="138"/>
      <c r="G8" s="584" t="s">
        <v>502</v>
      </c>
      <c r="H8" s="136"/>
      <c r="I8" s="138"/>
      <c r="J8" s="584" t="s">
        <v>502</v>
      </c>
    </row>
    <row r="9" spans="1:10" ht="15.95" customHeight="1">
      <c r="A9" s="34" t="s">
        <v>43</v>
      </c>
      <c r="B9" s="76" t="s">
        <v>44</v>
      </c>
      <c r="C9" s="76" t="s">
        <v>45</v>
      </c>
      <c r="D9" s="586"/>
      <c r="E9" s="76" t="s">
        <v>44</v>
      </c>
      <c r="F9" s="76" t="s">
        <v>45</v>
      </c>
      <c r="G9" s="586"/>
      <c r="H9" s="76" t="s">
        <v>44</v>
      </c>
      <c r="I9" s="76" t="s">
        <v>45</v>
      </c>
      <c r="J9" s="586"/>
    </row>
    <row r="10" spans="1:10" ht="5.0999999999999996" customHeight="1">
      <c r="A10" s="5"/>
    </row>
    <row r="11" spans="1:10" ht="14.1" customHeight="1">
      <c r="A11" s="287" t="s">
        <v>111</v>
      </c>
      <c r="B11" s="288">
        <v>115047</v>
      </c>
      <c r="C11" s="294">
        <f>B11/'- 3 -'!$D11*100</f>
        <v>0.65804104224064441</v>
      </c>
      <c r="D11" s="288">
        <f>B11/'- 7 -'!$E11</f>
        <v>71.949343339587244</v>
      </c>
      <c r="E11" s="288">
        <v>169321</v>
      </c>
      <c r="F11" s="294">
        <f>E11/'- 3 -'!$D11*100</f>
        <v>0.96847520850807201</v>
      </c>
      <c r="G11" s="288">
        <f>E11/'- 7 -'!$E11</f>
        <v>105.89180737961226</v>
      </c>
      <c r="H11" s="288">
        <v>333549</v>
      </c>
      <c r="I11" s="294">
        <f>H11/'- 3 -'!$D11*100</f>
        <v>1.9078196875913733</v>
      </c>
      <c r="J11" s="288">
        <f>H11/'- 7 -'!$E11</f>
        <v>208.59849906191369</v>
      </c>
    </row>
    <row r="12" spans="1:10" ht="14.1" customHeight="1">
      <c r="A12" s="18" t="s">
        <v>112</v>
      </c>
      <c r="B12" s="19">
        <v>178022</v>
      </c>
      <c r="C12" s="69">
        <f>B12/'- 3 -'!$D12*100</f>
        <v>0.5621790094025767</v>
      </c>
      <c r="D12" s="19">
        <f>B12/'- 7 -'!$E12</f>
        <v>83.429562283250547</v>
      </c>
      <c r="E12" s="19">
        <v>169024</v>
      </c>
      <c r="F12" s="69">
        <f>E12/'- 3 -'!$D12*100</f>
        <v>0.53376405660683024</v>
      </c>
      <c r="G12" s="19">
        <f>E12/'- 7 -'!$E12</f>
        <v>79.212672227950151</v>
      </c>
      <c r="H12" s="19">
        <v>691740</v>
      </c>
      <c r="I12" s="69">
        <f>H12/'- 3 -'!$D12*100</f>
        <v>2.1844587071493322</v>
      </c>
      <c r="J12" s="19">
        <f>H12/'- 7 -'!$E12</f>
        <v>324.18221014153158</v>
      </c>
    </row>
    <row r="13" spans="1:10" ht="14.1" customHeight="1">
      <c r="A13" s="287" t="s">
        <v>113</v>
      </c>
      <c r="B13" s="288">
        <v>304198</v>
      </c>
      <c r="C13" s="294">
        <f>B13/'- 3 -'!$D13*100</f>
        <v>0.35170212867552098</v>
      </c>
      <c r="D13" s="288">
        <f>B13/'- 7 -'!$E13</f>
        <v>37.760427010923536</v>
      </c>
      <c r="E13" s="288">
        <v>558791</v>
      </c>
      <c r="F13" s="294">
        <f>E13/'- 3 -'!$D13*100</f>
        <v>0.64605284776600458</v>
      </c>
      <c r="G13" s="288">
        <f>E13/'- 7 -'!$E13</f>
        <v>69.363331678252237</v>
      </c>
      <c r="H13" s="288">
        <v>1580609</v>
      </c>
      <c r="I13" s="294">
        <f>H13/'- 3 -'!$D13*100</f>
        <v>1.8274398579336042</v>
      </c>
      <c r="J13" s="288">
        <f>H13/'- 7 -'!$E13</f>
        <v>196.20270605759683</v>
      </c>
    </row>
    <row r="14" spans="1:10" ht="14.1" customHeight="1">
      <c r="A14" s="18" t="s">
        <v>365</v>
      </c>
      <c r="B14" s="19">
        <v>690483</v>
      </c>
      <c r="C14" s="69">
        <f>B14/'- 3 -'!$D14*100</f>
        <v>0.89125359369266566</v>
      </c>
      <c r="D14" s="19">
        <f>B14/'- 7 -'!$E14</f>
        <v>131.77156488549619</v>
      </c>
      <c r="E14" s="19">
        <v>1173492</v>
      </c>
      <c r="F14" s="69">
        <f>E14/'- 3 -'!$D14*100</f>
        <v>1.5147063174177984</v>
      </c>
      <c r="G14" s="19">
        <f>E14/'- 7 -'!$E14</f>
        <v>223.94885496183207</v>
      </c>
      <c r="H14" s="19">
        <v>926964</v>
      </c>
      <c r="I14" s="69">
        <f>H14/'- 3 -'!$D14*100</f>
        <v>1.1964957808139058</v>
      </c>
      <c r="J14" s="19">
        <f>H14/'- 7 -'!$E14</f>
        <v>176.90152671755726</v>
      </c>
    </row>
    <row r="15" spans="1:10" ht="14.1" customHeight="1">
      <c r="A15" s="287" t="s">
        <v>114</v>
      </c>
      <c r="B15" s="288">
        <v>176740</v>
      </c>
      <c r="C15" s="294">
        <f>B15/'- 3 -'!$D15*100</f>
        <v>0.89910636742713756</v>
      </c>
      <c r="D15" s="288">
        <f>B15/'- 7 -'!$E15</f>
        <v>121.67986230636834</v>
      </c>
      <c r="E15" s="288">
        <v>283430</v>
      </c>
      <c r="F15" s="294">
        <f>E15/'- 3 -'!$D15*100</f>
        <v>1.4418564994900622</v>
      </c>
      <c r="G15" s="288">
        <f>E15/'- 7 -'!$E15</f>
        <v>195.13253012048193</v>
      </c>
      <c r="H15" s="288">
        <v>414707</v>
      </c>
      <c r="I15" s="294">
        <f>H15/'- 3 -'!$D15*100</f>
        <v>2.1096848722225068</v>
      </c>
      <c r="J15" s="288">
        <f>H15/'- 7 -'!$E15</f>
        <v>285.51256454388982</v>
      </c>
    </row>
    <row r="16" spans="1:10" ht="14.1" customHeight="1">
      <c r="A16" s="18" t="s">
        <v>115</v>
      </c>
      <c r="B16" s="19">
        <v>109752</v>
      </c>
      <c r="C16" s="69">
        <f>B16/'- 3 -'!$D16*100</f>
        <v>0.80602867617839069</v>
      </c>
      <c r="D16" s="19">
        <f>B16/'- 7 -'!$E16</f>
        <v>120.1576527260784</v>
      </c>
      <c r="E16" s="19">
        <v>198536</v>
      </c>
      <c r="F16" s="69">
        <f>E16/'- 3 -'!$D16*100</f>
        <v>1.4580664521261841</v>
      </c>
      <c r="G16" s="19">
        <f>E16/'- 7 -'!$E16</f>
        <v>217.359316838187</v>
      </c>
      <c r="H16" s="19">
        <v>332867</v>
      </c>
      <c r="I16" s="69">
        <f>H16/'- 3 -'!$D16*100</f>
        <v>2.4446055411607293</v>
      </c>
      <c r="J16" s="19">
        <f>H16/'- 7 -'!$E16</f>
        <v>364.42631924677033</v>
      </c>
    </row>
    <row r="17" spans="1:10" ht="14.1" customHeight="1">
      <c r="A17" s="287" t="s">
        <v>116</v>
      </c>
      <c r="B17" s="288">
        <v>199121</v>
      </c>
      <c r="C17" s="294">
        <f>B17/'- 3 -'!$D17*100</f>
        <v>1.1467885417095012</v>
      </c>
      <c r="D17" s="288">
        <f>B17/'- 7 -'!$E17</f>
        <v>149.0426646706587</v>
      </c>
      <c r="E17" s="288">
        <v>159177</v>
      </c>
      <c r="F17" s="294">
        <f>E17/'- 3 -'!$D17*100</f>
        <v>0.91674087466260845</v>
      </c>
      <c r="G17" s="288">
        <f>E17/'- 7 -'!$E17</f>
        <v>119.14446107784431</v>
      </c>
      <c r="H17" s="288">
        <v>293452</v>
      </c>
      <c r="I17" s="294">
        <f>H17/'- 3 -'!$D17*100</f>
        <v>1.6900647904627666</v>
      </c>
      <c r="J17" s="288">
        <f>H17/'- 7 -'!$E17</f>
        <v>219.64970059880238</v>
      </c>
    </row>
    <row r="18" spans="1:10" ht="14.1" customHeight="1">
      <c r="A18" s="18" t="s">
        <v>117</v>
      </c>
      <c r="B18" s="19">
        <v>1182561</v>
      </c>
      <c r="C18" s="69">
        <f>B18/'- 3 -'!$D18*100</f>
        <v>0.96793022559534037</v>
      </c>
      <c r="D18" s="19">
        <f>B18/'- 7 -'!$E18</f>
        <v>194.87613438426436</v>
      </c>
      <c r="E18" s="19">
        <v>2006947</v>
      </c>
      <c r="F18" s="69">
        <f>E18/'- 3 -'!$D18*100</f>
        <v>1.6426929879032806</v>
      </c>
      <c r="G18" s="19">
        <f>E18/'- 7 -'!$E18</f>
        <v>330.7280328660392</v>
      </c>
      <c r="H18" s="19">
        <v>2726448</v>
      </c>
      <c r="I18" s="69">
        <f>H18/'- 3 -'!$D18*100</f>
        <v>2.2316070187617929</v>
      </c>
      <c r="J18" s="19">
        <f>H18/'- 7 -'!$E18</f>
        <v>449.29576304284416</v>
      </c>
    </row>
    <row r="19" spans="1:10" ht="14.1" customHeight="1">
      <c r="A19" s="287" t="s">
        <v>118</v>
      </c>
      <c r="B19" s="288">
        <v>189621</v>
      </c>
      <c r="C19" s="294">
        <f>B19/'- 3 -'!$D19*100</f>
        <v>0.44022966578358858</v>
      </c>
      <c r="D19" s="288">
        <f>B19/'- 7 -'!$E19</f>
        <v>44.983986904846631</v>
      </c>
      <c r="E19" s="288">
        <v>407831</v>
      </c>
      <c r="F19" s="294">
        <f>E19/'- 3 -'!$D19*100</f>
        <v>0.94683239106526551</v>
      </c>
      <c r="G19" s="288">
        <f>E19/'- 7 -'!$E19</f>
        <v>96.750171992503496</v>
      </c>
      <c r="H19" s="288">
        <v>739535</v>
      </c>
      <c r="I19" s="294">
        <f>H19/'- 3 -'!$D19*100</f>
        <v>1.7169261098995687</v>
      </c>
      <c r="J19" s="288">
        <f>H19/'- 7 -'!$E19</f>
        <v>175.44065665551679</v>
      </c>
    </row>
    <row r="20" spans="1:10" ht="14.1" customHeight="1">
      <c r="A20" s="18" t="s">
        <v>119</v>
      </c>
      <c r="B20" s="19">
        <v>301548</v>
      </c>
      <c r="C20" s="69">
        <f>B20/'- 3 -'!$D20*100</f>
        <v>0.40391256238953444</v>
      </c>
      <c r="D20" s="19">
        <f>B20/'- 7 -'!$E20</f>
        <v>40.910052910052912</v>
      </c>
      <c r="E20" s="19">
        <v>579041</v>
      </c>
      <c r="F20" s="69">
        <f>E20/'- 3 -'!$D20*100</f>
        <v>0.775604328460472</v>
      </c>
      <c r="G20" s="19">
        <f>E20/'- 7 -'!$E20</f>
        <v>78.556640889974219</v>
      </c>
      <c r="H20" s="19">
        <v>1201415</v>
      </c>
      <c r="I20" s="69">
        <f>H20/'- 3 -'!$D20*100</f>
        <v>1.6092516320559993</v>
      </c>
      <c r="J20" s="19">
        <f>H20/'- 7 -'!$E20</f>
        <v>162.99213132546467</v>
      </c>
    </row>
    <row r="21" spans="1:10" ht="14.1" customHeight="1">
      <c r="A21" s="287" t="s">
        <v>120</v>
      </c>
      <c r="B21" s="288">
        <v>228347</v>
      </c>
      <c r="C21" s="294">
        <f>B21/'- 3 -'!$D21*100</f>
        <v>0.65596588921071752</v>
      </c>
      <c r="D21" s="288">
        <f>B21/'- 7 -'!$E21</f>
        <v>85.299589092267468</v>
      </c>
      <c r="E21" s="288">
        <v>406612</v>
      </c>
      <c r="F21" s="294">
        <f>E21/'- 3 -'!$D21*100</f>
        <v>1.1680626508942453</v>
      </c>
      <c r="G21" s="288">
        <f>E21/'- 7 -'!$E21</f>
        <v>151.89092267463579</v>
      </c>
      <c r="H21" s="288">
        <v>667233</v>
      </c>
      <c r="I21" s="294">
        <f>H21/'- 3 -'!$D21*100</f>
        <v>1.9167411358841351</v>
      </c>
      <c r="J21" s="288">
        <f>H21/'- 7 -'!$E21</f>
        <v>249.24654463952186</v>
      </c>
    </row>
    <row r="22" spans="1:10" ht="14.1" customHeight="1">
      <c r="A22" s="18" t="s">
        <v>121</v>
      </c>
      <c r="B22" s="19">
        <v>92636</v>
      </c>
      <c r="C22" s="69">
        <f>B22/'- 3 -'!$D22*100</f>
        <v>0.47660361222897085</v>
      </c>
      <c r="D22" s="19">
        <f>B22/'- 7 -'!$E22</f>
        <v>60.471310137737447</v>
      </c>
      <c r="E22" s="19">
        <v>125694</v>
      </c>
      <c r="F22" s="69">
        <f>E22/'- 3 -'!$D22*100</f>
        <v>0.64668395046750993</v>
      </c>
      <c r="G22" s="19">
        <f>E22/'- 7 -'!$E22</f>
        <v>82.051047718519484</v>
      </c>
      <c r="H22" s="19">
        <v>514649</v>
      </c>
      <c r="I22" s="69">
        <f>H22/'- 3 -'!$D22*100</f>
        <v>2.6478212836265338</v>
      </c>
      <c r="J22" s="19">
        <f>H22/'- 7 -'!$E22</f>
        <v>335.95469678177426</v>
      </c>
    </row>
    <row r="23" spans="1:10" ht="14.1" customHeight="1">
      <c r="A23" s="287" t="s">
        <v>122</v>
      </c>
      <c r="B23" s="288">
        <v>109823</v>
      </c>
      <c r="C23" s="294">
        <f>B23/'- 3 -'!$D23*100</f>
        <v>0.67599583555591725</v>
      </c>
      <c r="D23" s="288">
        <f>B23/'- 7 -'!$E23</f>
        <v>97.881461675579317</v>
      </c>
      <c r="E23" s="288">
        <v>189995</v>
      </c>
      <c r="F23" s="294">
        <f>E23/'- 3 -'!$D23*100</f>
        <v>1.1694802434503382</v>
      </c>
      <c r="G23" s="288">
        <f>E23/'- 7 -'!$E23</f>
        <v>169.33600713012478</v>
      </c>
      <c r="H23" s="288">
        <v>316650</v>
      </c>
      <c r="I23" s="294">
        <f>H23/'- 3 -'!$D23*100</f>
        <v>1.9490824447409121</v>
      </c>
      <c r="J23" s="288">
        <f>H23/'- 7 -'!$E23</f>
        <v>282.21925133689842</v>
      </c>
    </row>
    <row r="24" spans="1:10" ht="14.1" customHeight="1">
      <c r="A24" s="18" t="s">
        <v>123</v>
      </c>
      <c r="B24" s="19">
        <v>355302</v>
      </c>
      <c r="C24" s="69">
        <f>B24/'- 3 -'!$D24*100</f>
        <v>0.65527507575411215</v>
      </c>
      <c r="D24" s="19">
        <f>B24/'- 7 -'!$E24</f>
        <v>87.791752118801114</v>
      </c>
      <c r="E24" s="19">
        <v>342047</v>
      </c>
      <c r="F24" s="69">
        <f>E24/'- 3 -'!$D24*100</f>
        <v>0.63082919273313065</v>
      </c>
      <c r="G24" s="19">
        <f>E24/'- 7 -'!$E24</f>
        <v>84.516567418645451</v>
      </c>
      <c r="H24" s="19">
        <v>1061215</v>
      </c>
      <c r="I24" s="69">
        <f>H24/'- 3 -'!$D24*100</f>
        <v>1.9571737269038738</v>
      </c>
      <c r="J24" s="19">
        <f>H24/'- 7 -'!$E24</f>
        <v>262.21615477749498</v>
      </c>
    </row>
    <row r="25" spans="1:10" ht="14.1" customHeight="1">
      <c r="A25" s="287" t="s">
        <v>124</v>
      </c>
      <c r="B25" s="288">
        <v>609858</v>
      </c>
      <c r="C25" s="294">
        <f>B25/'- 3 -'!$D25*100</f>
        <v>0.38173517213038427</v>
      </c>
      <c r="D25" s="288">
        <f>B25/'- 7 -'!$E25</f>
        <v>43.893939066784704</v>
      </c>
      <c r="E25" s="288">
        <v>1027993</v>
      </c>
      <c r="F25" s="294">
        <f>E25/'- 3 -'!$D25*100</f>
        <v>0.64346304353444583</v>
      </c>
      <c r="G25" s="288">
        <f>E25/'- 7 -'!$E25</f>
        <v>73.988800840656694</v>
      </c>
      <c r="H25" s="288">
        <v>3695319</v>
      </c>
      <c r="I25" s="294">
        <f>H25/'- 3 -'!$D25*100</f>
        <v>2.3130519474069038</v>
      </c>
      <c r="J25" s="288">
        <f>H25/'- 7 -'!$E25</f>
        <v>265.96700710383692</v>
      </c>
    </row>
    <row r="26" spans="1:10" ht="14.1" customHeight="1">
      <c r="A26" s="18" t="s">
        <v>125</v>
      </c>
      <c r="B26" s="19">
        <v>206105</v>
      </c>
      <c r="C26" s="69">
        <f>B26/'- 3 -'!$D26*100</f>
        <v>0.52977812936667568</v>
      </c>
      <c r="D26" s="19">
        <f>B26/'- 7 -'!$E26</f>
        <v>66.325020112630739</v>
      </c>
      <c r="E26" s="19">
        <v>470263</v>
      </c>
      <c r="F26" s="69">
        <f>E26/'- 3 -'!$D26*100</f>
        <v>1.2087773341275616</v>
      </c>
      <c r="G26" s="19">
        <f>E26/'- 7 -'!$E26</f>
        <v>151.33161705551086</v>
      </c>
      <c r="H26" s="19">
        <v>663734</v>
      </c>
      <c r="I26" s="69">
        <f>H26/'- 3 -'!$D26*100</f>
        <v>1.7060806720703581</v>
      </c>
      <c r="J26" s="19">
        <f>H26/'- 7 -'!$E26</f>
        <v>213.59098954143201</v>
      </c>
    </row>
    <row r="27" spans="1:10" ht="14.1" customHeight="1">
      <c r="A27" s="287" t="s">
        <v>126</v>
      </c>
      <c r="B27" s="288">
        <v>225785</v>
      </c>
      <c r="C27" s="294">
        <f>B27/'- 3 -'!$D27*100</f>
        <v>0.57819996748241387</v>
      </c>
      <c r="D27" s="288">
        <f>B27/'- 7 -'!$E27</f>
        <v>79.014873140857389</v>
      </c>
      <c r="E27" s="288">
        <v>613161</v>
      </c>
      <c r="F27" s="294">
        <f>E27/'- 3 -'!$D27*100</f>
        <v>1.5702091381689856</v>
      </c>
      <c r="G27" s="288">
        <f>E27/'- 7 -'!$E27</f>
        <v>214.57952755905512</v>
      </c>
      <c r="H27" s="288">
        <v>887472</v>
      </c>
      <c r="I27" s="294">
        <f>H27/'- 3 -'!$D27*100</f>
        <v>2.2726765796733739</v>
      </c>
      <c r="J27" s="288">
        <f>H27/'- 7 -'!$E27</f>
        <v>310.57637795275593</v>
      </c>
    </row>
    <row r="28" spans="1:10" ht="14.1" customHeight="1">
      <c r="A28" s="18" t="s">
        <v>127</v>
      </c>
      <c r="B28" s="19">
        <v>199528</v>
      </c>
      <c r="C28" s="69">
        <f>B28/'- 3 -'!$D28*100</f>
        <v>0.72559237940355947</v>
      </c>
      <c r="D28" s="19">
        <f>B28/'- 7 -'!$E28</f>
        <v>99.714142928535736</v>
      </c>
      <c r="E28" s="19">
        <v>376468</v>
      </c>
      <c r="F28" s="69">
        <f>E28/'- 3 -'!$D28*100</f>
        <v>1.3690424997458963</v>
      </c>
      <c r="G28" s="19">
        <f>E28/'- 7 -'!$E28</f>
        <v>188.13993003498251</v>
      </c>
      <c r="H28" s="19">
        <v>496245</v>
      </c>
      <c r="I28" s="69">
        <f>H28/'- 3 -'!$D28*100</f>
        <v>1.8046168473453319</v>
      </c>
      <c r="J28" s="19">
        <f>H28/'- 7 -'!$E28</f>
        <v>247.99850074962518</v>
      </c>
    </row>
    <row r="29" spans="1:10" ht="14.1" customHeight="1">
      <c r="A29" s="287" t="s">
        <v>128</v>
      </c>
      <c r="B29" s="288">
        <v>465054</v>
      </c>
      <c r="C29" s="294">
        <f>B29/'- 3 -'!$D29*100</f>
        <v>0.31878396544360815</v>
      </c>
      <c r="D29" s="288">
        <f>B29/'- 7 -'!$E29</f>
        <v>37.392178303798282</v>
      </c>
      <c r="E29" s="288">
        <v>1962984</v>
      </c>
      <c r="F29" s="294">
        <f>E29/'- 3 -'!$D29*100</f>
        <v>1.3455809940831724</v>
      </c>
      <c r="G29" s="288">
        <f>E29/'- 7 -'!$E29</f>
        <v>157.83166629144822</v>
      </c>
      <c r="H29" s="288">
        <v>1443069</v>
      </c>
      <c r="I29" s="294">
        <f>H29/'- 3 -'!$D29*100</f>
        <v>0.98919105787444506</v>
      </c>
      <c r="J29" s="288">
        <f>H29/'- 7 -'!$E29</f>
        <v>116.02844691731258</v>
      </c>
    </row>
    <row r="30" spans="1:10" ht="14.1" customHeight="1">
      <c r="A30" s="18" t="s">
        <v>129</v>
      </c>
      <c r="B30" s="19">
        <v>105947</v>
      </c>
      <c r="C30" s="69">
        <f>B30/'- 3 -'!$D30*100</f>
        <v>0.77924517505232749</v>
      </c>
      <c r="D30" s="19">
        <f>B30/'- 7 -'!$E30</f>
        <v>101.53042644944897</v>
      </c>
      <c r="E30" s="19">
        <v>99642</v>
      </c>
      <c r="F30" s="69">
        <f>E30/'- 3 -'!$D30*100</f>
        <v>0.73287160308988464</v>
      </c>
      <c r="G30" s="19">
        <f>E30/'- 7 -'!$E30</f>
        <v>95.488260661236225</v>
      </c>
      <c r="H30" s="19">
        <v>268300</v>
      </c>
      <c r="I30" s="69">
        <f>H30/'- 3 -'!$D30*100</f>
        <v>1.9733591367999042</v>
      </c>
      <c r="J30" s="19">
        <f>H30/'- 7 -'!$E30</f>
        <v>257.11547676090083</v>
      </c>
    </row>
    <row r="31" spans="1:10" ht="14.1" customHeight="1">
      <c r="A31" s="287" t="s">
        <v>130</v>
      </c>
      <c r="B31" s="288">
        <v>187332</v>
      </c>
      <c r="C31" s="294">
        <f>B31/'- 3 -'!$D31*100</f>
        <v>0.52992721605328807</v>
      </c>
      <c r="D31" s="288">
        <f>B31/'- 7 -'!$E31</f>
        <v>57.676108374384235</v>
      </c>
      <c r="E31" s="288">
        <v>290525</v>
      </c>
      <c r="F31" s="294">
        <f>E31/'- 3 -'!$D31*100</f>
        <v>0.8218409265041825</v>
      </c>
      <c r="G31" s="288">
        <f>E31/'- 7 -'!$E31</f>
        <v>89.447352216748769</v>
      </c>
      <c r="H31" s="288">
        <v>563060</v>
      </c>
      <c r="I31" s="294">
        <f>H31/'- 3 -'!$D31*100</f>
        <v>1.5927915053005595</v>
      </c>
      <c r="J31" s="288">
        <f>H31/'- 7 -'!$E31</f>
        <v>173.35591133004925</v>
      </c>
    </row>
    <row r="32" spans="1:10" ht="14.1" customHeight="1">
      <c r="A32" s="18" t="s">
        <v>131</v>
      </c>
      <c r="B32" s="19">
        <v>194878</v>
      </c>
      <c r="C32" s="69">
        <f>B32/'- 3 -'!$D32*100</f>
        <v>0.73802046020637901</v>
      </c>
      <c r="D32" s="19">
        <f>B32/'- 7 -'!$E32</f>
        <v>93.064947468958934</v>
      </c>
      <c r="E32" s="19">
        <v>231806</v>
      </c>
      <c r="F32" s="69">
        <f>E32/'- 3 -'!$D32*100</f>
        <v>0.87787010744465699</v>
      </c>
      <c r="G32" s="19">
        <f>E32/'- 7 -'!$E32</f>
        <v>110.70009551098376</v>
      </c>
      <c r="H32" s="19">
        <v>588890</v>
      </c>
      <c r="I32" s="69">
        <f>H32/'- 3 -'!$D32*100</f>
        <v>2.2301792342436526</v>
      </c>
      <c r="J32" s="19">
        <f>H32/'- 7 -'!$E32</f>
        <v>281.22731614135625</v>
      </c>
    </row>
    <row r="33" spans="1:10" ht="14.1" customHeight="1">
      <c r="A33" s="287" t="s">
        <v>132</v>
      </c>
      <c r="B33" s="288">
        <v>232315</v>
      </c>
      <c r="C33" s="294">
        <f>B33/'- 3 -'!$D33*100</f>
        <v>0.8815545018229507</v>
      </c>
      <c r="D33" s="288">
        <f>B33/'- 7 -'!$E33</f>
        <v>115.78121106404187</v>
      </c>
      <c r="E33" s="288">
        <v>219321</v>
      </c>
      <c r="F33" s="294">
        <f>E33/'- 3 -'!$D33*100</f>
        <v>0.83224679807292412</v>
      </c>
      <c r="G33" s="288">
        <f>E33/'- 7 -'!$E33</f>
        <v>109.3052579117867</v>
      </c>
      <c r="H33" s="288">
        <v>405744</v>
      </c>
      <c r="I33" s="294">
        <f>H33/'- 3 -'!$D33*100</f>
        <v>1.5396571456326595</v>
      </c>
      <c r="J33" s="288">
        <f>H33/'- 7 -'!$E33</f>
        <v>202.21480189384499</v>
      </c>
    </row>
    <row r="34" spans="1:10" ht="14.1" customHeight="1">
      <c r="A34" s="18" t="s">
        <v>133</v>
      </c>
      <c r="B34" s="19">
        <v>206600</v>
      </c>
      <c r="C34" s="69">
        <f>B34/'- 3 -'!$D34*100</f>
        <v>0.77940749562903666</v>
      </c>
      <c r="D34" s="19">
        <f>B34/'- 7 -'!$E34</f>
        <v>103.77946111032972</v>
      </c>
      <c r="E34" s="19">
        <v>306791</v>
      </c>
      <c r="F34" s="69">
        <f>E34/'- 3 -'!$D34*100</f>
        <v>1.1573824055737068</v>
      </c>
      <c r="G34" s="19">
        <f>E34/'- 7 -'!$E34</f>
        <v>154.1074765416223</v>
      </c>
      <c r="H34" s="19">
        <v>497499</v>
      </c>
      <c r="I34" s="69">
        <f>H34/'- 3 -'!$D34*100</f>
        <v>1.8768366392446765</v>
      </c>
      <c r="J34" s="19">
        <f>H34/'- 7 -'!$E34</f>
        <v>249.90405674214873</v>
      </c>
    </row>
    <row r="35" spans="1:10" ht="14.1" customHeight="1">
      <c r="A35" s="287" t="s">
        <v>134</v>
      </c>
      <c r="B35" s="288">
        <v>556175</v>
      </c>
      <c r="C35" s="294">
        <f>B35/'- 3 -'!$D35*100</f>
        <v>0.3182635538214556</v>
      </c>
      <c r="D35" s="288">
        <f>B35/'- 7 -'!$E35</f>
        <v>35.76918129783266</v>
      </c>
      <c r="E35" s="288">
        <v>1471799</v>
      </c>
      <c r="F35" s="294">
        <f>E35/'- 3 -'!$D35*100</f>
        <v>0.84221689261628896</v>
      </c>
      <c r="G35" s="288">
        <f>E35/'- 7 -'!$E35</f>
        <v>94.655540549231461</v>
      </c>
      <c r="H35" s="288">
        <v>2160810</v>
      </c>
      <c r="I35" s="294">
        <f>H35/'- 3 -'!$D35*100</f>
        <v>1.2364940346706332</v>
      </c>
      <c r="J35" s="288">
        <f>H35/'- 7 -'!$E35</f>
        <v>138.96777927841018</v>
      </c>
    </row>
    <row r="36" spans="1:10" ht="14.1" customHeight="1">
      <c r="A36" s="18" t="s">
        <v>135</v>
      </c>
      <c r="B36" s="19">
        <v>268372</v>
      </c>
      <c r="C36" s="69">
        <f>B36/'- 3 -'!$D36*100</f>
        <v>1.2290567983320453</v>
      </c>
      <c r="D36" s="19">
        <f>B36/'- 7 -'!$E36</f>
        <v>162.74833232261977</v>
      </c>
      <c r="E36" s="19">
        <v>188401</v>
      </c>
      <c r="F36" s="69">
        <f>E36/'- 3 -'!$D36*100</f>
        <v>0.86281553165962066</v>
      </c>
      <c r="G36" s="19">
        <f>E36/'- 7 -'!$E36</f>
        <v>114.25166767738023</v>
      </c>
      <c r="H36" s="19">
        <v>428533</v>
      </c>
      <c r="I36" s="69">
        <f>H36/'- 3 -'!$D36*100</f>
        <v>1.9625422807134367</v>
      </c>
      <c r="J36" s="19">
        <f>H36/'- 7 -'!$E36</f>
        <v>259.87446937537902</v>
      </c>
    </row>
    <row r="37" spans="1:10" ht="14.1" customHeight="1">
      <c r="A37" s="287" t="s">
        <v>136</v>
      </c>
      <c r="B37" s="288">
        <v>189704</v>
      </c>
      <c r="C37" s="294">
        <f>B37/'- 3 -'!$D37*100</f>
        <v>0.42087604088636893</v>
      </c>
      <c r="D37" s="288">
        <f>B37/'- 7 -'!$E37</f>
        <v>47.989881102959778</v>
      </c>
      <c r="E37" s="288">
        <v>410683</v>
      </c>
      <c r="F37" s="294">
        <f>E37/'- 3 -'!$D37*100</f>
        <v>0.91113859011584708</v>
      </c>
      <c r="G37" s="288">
        <f>E37/'- 7 -'!$E37</f>
        <v>103.89147482924361</v>
      </c>
      <c r="H37" s="288">
        <v>778438</v>
      </c>
      <c r="I37" s="294">
        <f>H37/'- 3 -'!$D37*100</f>
        <v>1.7270374030885125</v>
      </c>
      <c r="J37" s="288">
        <f>H37/'- 7 -'!$E37</f>
        <v>196.9233493549203</v>
      </c>
    </row>
    <row r="38" spans="1:10" ht="14.1" customHeight="1">
      <c r="A38" s="18" t="s">
        <v>137</v>
      </c>
      <c r="B38" s="19">
        <v>459509</v>
      </c>
      <c r="C38" s="69">
        <f>B38/'- 3 -'!$D38*100</f>
        <v>0.37648385809758228</v>
      </c>
      <c r="D38" s="19">
        <f>B38/'- 7 -'!$E38</f>
        <v>43.614472697590095</v>
      </c>
      <c r="E38" s="19">
        <v>1117650</v>
      </c>
      <c r="F38" s="69">
        <f>E38/'- 3 -'!$D38*100</f>
        <v>0.91571043005199659</v>
      </c>
      <c r="G38" s="19">
        <f>E38/'- 7 -'!$E38</f>
        <v>106.08217773854608</v>
      </c>
      <c r="H38" s="19">
        <v>1559523</v>
      </c>
      <c r="I38" s="69">
        <f>H38/'- 3 -'!$D38*100</f>
        <v>1.2777448011506105</v>
      </c>
      <c r="J38" s="19">
        <f>H38/'- 7 -'!$E38</f>
        <v>148.02272274267489</v>
      </c>
    </row>
    <row r="39" spans="1:10" ht="14.1" customHeight="1">
      <c r="A39" s="287" t="s">
        <v>138</v>
      </c>
      <c r="B39" s="288">
        <v>163022</v>
      </c>
      <c r="C39" s="294">
        <f>B39/'- 3 -'!$D39*100</f>
        <v>0.80743076819294735</v>
      </c>
      <c r="D39" s="288">
        <f>B39/'- 7 -'!$E39</f>
        <v>105.41351438732622</v>
      </c>
      <c r="E39" s="288">
        <v>223477</v>
      </c>
      <c r="F39" s="294">
        <f>E39/'- 3 -'!$D39*100</f>
        <v>1.106858005566459</v>
      </c>
      <c r="G39" s="288">
        <f>E39/'- 7 -'!$E39</f>
        <v>144.50501131587455</v>
      </c>
      <c r="H39" s="288">
        <v>386984</v>
      </c>
      <c r="I39" s="294">
        <f>H39/'- 3 -'!$D39*100</f>
        <v>1.9166909275949229</v>
      </c>
      <c r="J39" s="288">
        <f>H39/'- 7 -'!$E39</f>
        <v>250.23213708373748</v>
      </c>
    </row>
    <row r="40" spans="1:10" ht="14.1" customHeight="1">
      <c r="A40" s="18" t="s">
        <v>139</v>
      </c>
      <c r="B40" s="19">
        <v>478355</v>
      </c>
      <c r="C40" s="69">
        <f>B40/'- 3 -'!$D40*100</f>
        <v>0.48924782392850863</v>
      </c>
      <c r="D40" s="19">
        <f>B40/'- 7 -'!$E40</f>
        <v>60.669533013722948</v>
      </c>
      <c r="E40" s="19">
        <v>1404278</v>
      </c>
      <c r="F40" s="69">
        <f>E40/'- 3 -'!$D40*100</f>
        <v>1.4362554079933902</v>
      </c>
      <c r="G40" s="19">
        <f>E40/'- 7 -'!$E40</f>
        <v>178.10389873931462</v>
      </c>
      <c r="H40" s="19">
        <v>1479441</v>
      </c>
      <c r="I40" s="69">
        <f>H40/'- 3 -'!$D40*100</f>
        <v>1.5131299764413808</v>
      </c>
      <c r="J40" s="19">
        <f>H40/'- 7 -'!$E40</f>
        <v>187.63678563275244</v>
      </c>
    </row>
    <row r="41" spans="1:10" ht="14.1" customHeight="1">
      <c r="A41" s="287" t="s">
        <v>140</v>
      </c>
      <c r="B41" s="288">
        <v>267720</v>
      </c>
      <c r="C41" s="294">
        <f>B41/'- 3 -'!$D41*100</f>
        <v>0.4480808342377407</v>
      </c>
      <c r="D41" s="288">
        <f>B41/'- 7 -'!$E41</f>
        <v>61.467110549879465</v>
      </c>
      <c r="E41" s="288">
        <v>561147</v>
      </c>
      <c r="F41" s="294">
        <f>E41/'- 3 -'!$D41*100</f>
        <v>0.93918726987152812</v>
      </c>
      <c r="G41" s="288">
        <f>E41/'- 7 -'!$E41</f>
        <v>128.83641372976697</v>
      </c>
      <c r="H41" s="288">
        <v>1011594</v>
      </c>
      <c r="I41" s="294">
        <f>H41/'- 3 -'!$D41*100</f>
        <v>1.6930968303820897</v>
      </c>
      <c r="J41" s="288">
        <f>H41/'- 7 -'!$E41</f>
        <v>232.25668694753759</v>
      </c>
    </row>
    <row r="42" spans="1:10" ht="14.1" customHeight="1">
      <c r="A42" s="18" t="s">
        <v>141</v>
      </c>
      <c r="B42" s="19">
        <v>221149</v>
      </c>
      <c r="C42" s="69">
        <f>B42/'- 3 -'!$D42*100</f>
        <v>1.1113320552077488</v>
      </c>
      <c r="D42" s="19">
        <f>B42/'- 7 -'!$E42</f>
        <v>156.91003263800198</v>
      </c>
      <c r="E42" s="19">
        <v>201433</v>
      </c>
      <c r="F42" s="69">
        <f>E42/'- 3 -'!$D42*100</f>
        <v>1.0122539549202685</v>
      </c>
      <c r="G42" s="19">
        <f>E42/'- 7 -'!$E42</f>
        <v>142.92110117780615</v>
      </c>
      <c r="H42" s="19">
        <v>388261</v>
      </c>
      <c r="I42" s="69">
        <f>H42/'- 3 -'!$D42*100</f>
        <v>1.9511139326292035</v>
      </c>
      <c r="J42" s="19">
        <f>H42/'- 7 -'!$E42</f>
        <v>275.47963672484741</v>
      </c>
    </row>
    <row r="43" spans="1:10" ht="14.1" customHeight="1">
      <c r="A43" s="287" t="s">
        <v>142</v>
      </c>
      <c r="B43" s="288">
        <v>122345</v>
      </c>
      <c r="C43" s="294">
        <f>B43/'- 3 -'!$D43*100</f>
        <v>0.95518310089854896</v>
      </c>
      <c r="D43" s="288">
        <f>B43/'- 7 -'!$E43</f>
        <v>127.01535458820842</v>
      </c>
      <c r="E43" s="288">
        <v>111766</v>
      </c>
      <c r="F43" s="294">
        <f>E43/'- 3 -'!$D43*100</f>
        <v>0.87258976218911455</v>
      </c>
      <c r="G43" s="288">
        <f>E43/'- 7 -'!$E43</f>
        <v>116.03251559855902</v>
      </c>
      <c r="H43" s="288">
        <v>297921</v>
      </c>
      <c r="I43" s="294">
        <f>H43/'- 3 -'!$D43*100</f>
        <v>2.3259561453495987</v>
      </c>
      <c r="J43" s="288">
        <f>H43/'- 7 -'!$E43</f>
        <v>309.29373046935831</v>
      </c>
    </row>
    <row r="44" spans="1:10" ht="14.1" customHeight="1">
      <c r="A44" s="18" t="s">
        <v>143</v>
      </c>
      <c r="B44" s="19">
        <v>92548</v>
      </c>
      <c r="C44" s="69">
        <f>B44/'- 3 -'!$D44*100</f>
        <v>0.87782332292759035</v>
      </c>
      <c r="D44" s="19">
        <f>B44/'- 7 -'!$E44</f>
        <v>133.16258992805754</v>
      </c>
      <c r="E44" s="19">
        <v>49241</v>
      </c>
      <c r="F44" s="69">
        <f>E44/'- 3 -'!$D44*100</f>
        <v>0.46705383416473045</v>
      </c>
      <c r="G44" s="19">
        <f>E44/'- 7 -'!$E44</f>
        <v>70.850359712230215</v>
      </c>
      <c r="H44" s="19">
        <v>236198</v>
      </c>
      <c r="I44" s="69">
        <f>H44/'- 3 -'!$D44*100</f>
        <v>2.2403521764797834</v>
      </c>
      <c r="J44" s="19">
        <f>H44/'- 7 -'!$E44</f>
        <v>339.85323741007193</v>
      </c>
    </row>
    <row r="45" spans="1:10" ht="14.1" customHeight="1">
      <c r="A45" s="287" t="s">
        <v>144</v>
      </c>
      <c r="B45" s="288">
        <v>143119</v>
      </c>
      <c r="C45" s="294">
        <f>B45/'- 3 -'!$D45*100</f>
        <v>0.81959275599095172</v>
      </c>
      <c r="D45" s="288">
        <f>B45/'- 7 -'!$E45</f>
        <v>89.059738643434969</v>
      </c>
      <c r="E45" s="288">
        <v>163982</v>
      </c>
      <c r="F45" s="294">
        <f>E45/'- 3 -'!$D45*100</f>
        <v>0.93906790372283377</v>
      </c>
      <c r="G45" s="288">
        <f>E45/'- 7 -'!$E45</f>
        <v>102.04231487243311</v>
      </c>
      <c r="H45" s="288">
        <v>353527</v>
      </c>
      <c r="I45" s="294">
        <f>H45/'- 3 -'!$D45*100</f>
        <v>2.0245262211670929</v>
      </c>
      <c r="J45" s="288">
        <f>H45/'- 7 -'!$E45</f>
        <v>219.99191039203484</v>
      </c>
    </row>
    <row r="46" spans="1:10" ht="14.1" customHeight="1">
      <c r="A46" s="18" t="s">
        <v>145</v>
      </c>
      <c r="B46" s="19">
        <v>969726</v>
      </c>
      <c r="C46" s="69">
        <f>B46/'- 3 -'!$D46*100</f>
        <v>0.26370135244655768</v>
      </c>
      <c r="D46" s="19">
        <f>B46/'- 7 -'!$E46</f>
        <v>32.427969502407706</v>
      </c>
      <c r="E46" s="19">
        <v>2085446</v>
      </c>
      <c r="F46" s="69">
        <f>E46/'- 3 -'!$D46*100</f>
        <v>0.56710341957858612</v>
      </c>
      <c r="G46" s="19">
        <f>E46/'- 7 -'!$E46</f>
        <v>69.738028357410386</v>
      </c>
      <c r="H46" s="19">
        <v>4677479</v>
      </c>
      <c r="I46" s="69">
        <f>H46/'- 3 -'!$D46*100</f>
        <v>1.271965006961113</v>
      </c>
      <c r="J46" s="19">
        <f>H46/'- 7 -'!$E46</f>
        <v>156.41649946495451</v>
      </c>
    </row>
    <row r="47" spans="1:10" ht="5.0999999999999996" customHeight="1">
      <c r="A47" s="20"/>
      <c r="B47" s="21"/>
      <c r="C47"/>
      <c r="D47" s="21"/>
      <c r="E47" s="557"/>
      <c r="F47"/>
      <c r="G47" s="21"/>
      <c r="H47"/>
      <c r="I47"/>
      <c r="J47"/>
    </row>
    <row r="48" spans="1:10" ht="14.1" customHeight="1">
      <c r="A48" s="289" t="s">
        <v>146</v>
      </c>
      <c r="B48" s="290">
        <f>SUM(B11:B46)</f>
        <v>10798347</v>
      </c>
      <c r="C48" s="297">
        <f>B48/'- 3 -'!$D48*100</f>
        <v>0.50517239205704101</v>
      </c>
      <c r="D48" s="290">
        <f>B48/'- 7 -'!$E48</f>
        <v>62.600905788258515</v>
      </c>
      <c r="E48" s="290">
        <f>SUM(E11:E46)</f>
        <v>20358195</v>
      </c>
      <c r="F48" s="297">
        <f>E48/'- 3 -'!$D48*100</f>
        <v>0.95240485104930339</v>
      </c>
      <c r="G48" s="290">
        <f>E48/'- 7 -'!$E48</f>
        <v>118.02190161271865</v>
      </c>
      <c r="H48" s="290">
        <f>SUM(H11:H46)</f>
        <v>35069074</v>
      </c>
      <c r="I48" s="297">
        <f>H48/'- 3 -'!$D48*100</f>
        <v>1.6406148088967116</v>
      </c>
      <c r="J48" s="290">
        <f>H48/'- 7 -'!$E48</f>
        <v>203.30480188823958</v>
      </c>
    </row>
    <row r="49" spans="1:10" ht="5.0999999999999996" customHeight="1">
      <c r="A49" s="20" t="s">
        <v>8</v>
      </c>
      <c r="B49" s="21"/>
      <c r="C49"/>
      <c r="D49" s="21"/>
      <c r="E49" s="557"/>
      <c r="F49"/>
      <c r="H49"/>
      <c r="I49"/>
      <c r="J49"/>
    </row>
    <row r="50" spans="1:10" ht="14.1" customHeight="1">
      <c r="A50" s="18" t="s">
        <v>147</v>
      </c>
      <c r="B50" s="19">
        <v>39600</v>
      </c>
      <c r="C50" s="69">
        <f>B50/'- 3 -'!$D50*100</f>
        <v>1.2191266189216456</v>
      </c>
      <c r="D50" s="19">
        <f>B50/'- 7 -'!$E50</f>
        <v>237.98076923076923</v>
      </c>
      <c r="E50" s="19">
        <v>47214</v>
      </c>
      <c r="F50" s="69">
        <f>E50/'- 3 -'!$D50*100</f>
        <v>1.4535314188324893</v>
      </c>
      <c r="G50" s="19">
        <f>E50/'- 7 -'!$E50</f>
        <v>283.73798076923077</v>
      </c>
      <c r="H50" s="19">
        <v>87417</v>
      </c>
      <c r="I50" s="69">
        <f>H50/'- 3 -'!$D50*100</f>
        <v>2.6912220112695326</v>
      </c>
      <c r="J50" s="19">
        <f>H50/'- 7 -'!$E50</f>
        <v>525.34254807692309</v>
      </c>
    </row>
    <row r="51" spans="1:10" ht="14.1" customHeight="1">
      <c r="A51" s="287" t="s">
        <v>643</v>
      </c>
      <c r="B51" s="288">
        <v>149499</v>
      </c>
      <c r="C51" s="294">
        <f>B51/'- 3 -'!$D51*100</f>
        <v>0.670506293943404</v>
      </c>
      <c r="D51" s="288">
        <f>B51/'- 7 -'!$E51</f>
        <v>201.20995962314939</v>
      </c>
      <c r="E51" s="288">
        <v>347540</v>
      </c>
      <c r="F51" s="294">
        <f>E51/'- 3 -'!$D51*100</f>
        <v>1.5587245225525963</v>
      </c>
      <c r="G51" s="288">
        <f>E51/'- 7 -'!$E51</f>
        <v>467.75235531628533</v>
      </c>
      <c r="H51" s="288">
        <v>1756180</v>
      </c>
      <c r="I51" s="294">
        <f>H51/'- 3 -'!$D51*100</f>
        <v>7.8765058180825767</v>
      </c>
      <c r="J51" s="288">
        <f>H51/'- 7 -'!$E51</f>
        <v>2363.6339165545087</v>
      </c>
    </row>
    <row r="52" spans="1:10" ht="50.1" customHeight="1"/>
  </sheetData>
  <mergeCells count="6">
    <mergeCell ref="D8:D9"/>
    <mergeCell ref="G8:G9"/>
    <mergeCell ref="J8:J9"/>
    <mergeCell ref="B7:D7"/>
    <mergeCell ref="E6:G7"/>
    <mergeCell ref="H6:J7"/>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22.xml><?xml version="1.0" encoding="utf-8"?>
<worksheet xmlns="http://schemas.openxmlformats.org/spreadsheetml/2006/main" xmlns:r="http://schemas.openxmlformats.org/officeDocument/2006/relationships">
  <sheetPr codeName="Sheet22">
    <pageSetUpPr fitToPage="1"/>
  </sheetPr>
  <dimension ref="A1:E52"/>
  <sheetViews>
    <sheetView showGridLines="0" showZeros="0" workbookViewId="0"/>
  </sheetViews>
  <sheetFormatPr defaultColWidth="15.83203125" defaultRowHeight="12"/>
  <cols>
    <col min="1" max="1" width="35.83203125" style="1" customWidth="1"/>
    <col min="2" max="2" width="20.83203125" style="1" customWidth="1"/>
    <col min="3" max="4" width="15.83203125" style="1" customWidth="1"/>
    <col min="5" max="5" width="44.83203125" style="1" customWidth="1"/>
    <col min="6" max="16384" width="15.83203125" style="1"/>
  </cols>
  <sheetData>
    <row r="1" spans="1:5" ht="6.95" customHeight="1">
      <c r="A1" s="6"/>
      <c r="B1" s="7"/>
      <c r="C1" s="7"/>
      <c r="D1" s="7"/>
      <c r="E1" s="7"/>
    </row>
    <row r="2" spans="1:5" ht="15.95" customHeight="1">
      <c r="A2" s="133"/>
      <c r="B2" s="8" t="s">
        <v>266</v>
      </c>
      <c r="C2" s="9"/>
      <c r="D2" s="9"/>
      <c r="E2" s="398" t="s">
        <v>426</v>
      </c>
    </row>
    <row r="3" spans="1:5" ht="15.95" customHeight="1">
      <c r="A3" s="546"/>
      <c r="B3" s="10" t="str">
        <f>OPYEAR</f>
        <v>OPERATING FUND 2014/2015 ACTUAL</v>
      </c>
      <c r="C3" s="11"/>
      <c r="D3" s="11"/>
      <c r="E3" s="65"/>
    </row>
    <row r="4" spans="1:5" ht="15.95" customHeight="1">
      <c r="B4" s="7"/>
      <c r="C4" s="7"/>
      <c r="D4" s="7"/>
      <c r="E4" s="7"/>
    </row>
    <row r="5" spans="1:5" ht="15.95" customHeight="1">
      <c r="B5" s="163" t="s">
        <v>95</v>
      </c>
      <c r="C5" s="154"/>
      <c r="D5" s="156"/>
      <c r="E5" s="42"/>
    </row>
    <row r="6" spans="1:5" ht="15.95" customHeight="1">
      <c r="B6" s="631" t="s">
        <v>519</v>
      </c>
      <c r="C6" s="639"/>
      <c r="D6" s="632"/>
      <c r="E6" s="68"/>
    </row>
    <row r="7" spans="1:5" ht="15.95" customHeight="1">
      <c r="B7" s="633"/>
      <c r="C7" s="640"/>
      <c r="D7" s="634"/>
      <c r="E7" s="68"/>
    </row>
    <row r="8" spans="1:5" ht="15.95" customHeight="1">
      <c r="A8" s="66"/>
      <c r="B8" s="138"/>
      <c r="C8" s="67"/>
      <c r="D8" s="584" t="s">
        <v>502</v>
      </c>
      <c r="E8" s="68"/>
    </row>
    <row r="9" spans="1:5" ht="15.95" customHeight="1">
      <c r="A9" s="34" t="s">
        <v>43</v>
      </c>
      <c r="B9" s="76" t="s">
        <v>44</v>
      </c>
      <c r="C9" s="76" t="s">
        <v>45</v>
      </c>
      <c r="D9" s="586"/>
    </row>
    <row r="10" spans="1:5" ht="5.0999999999999996" customHeight="1">
      <c r="A10" s="5"/>
    </row>
    <row r="11" spans="1:5" ht="14.1" customHeight="1">
      <c r="A11" s="287" t="s">
        <v>111</v>
      </c>
      <c r="B11" s="288">
        <v>24904</v>
      </c>
      <c r="C11" s="294">
        <f>B11/'- 3 -'!$D11*100</f>
        <v>0.14244486267317713</v>
      </c>
      <c r="D11" s="288">
        <f>B11/'- 7 -'!$E11</f>
        <v>15.57473420888055</v>
      </c>
    </row>
    <row r="12" spans="1:5" ht="14.1" customHeight="1">
      <c r="A12" s="18" t="s">
        <v>112</v>
      </c>
      <c r="B12" s="19">
        <v>72381</v>
      </c>
      <c r="C12" s="69">
        <f>B12/'- 3 -'!$D12*100</f>
        <v>0.22857331610457082</v>
      </c>
      <c r="D12" s="19">
        <f>B12/'- 7 -'!$E12</f>
        <v>33.921173493298348</v>
      </c>
    </row>
    <row r="13" spans="1:5" ht="14.1" customHeight="1">
      <c r="A13" s="287" t="s">
        <v>113</v>
      </c>
      <c r="B13" s="288">
        <v>176032</v>
      </c>
      <c r="C13" s="294">
        <f>B13/'- 3 -'!$D13*100</f>
        <v>0.203521486383899</v>
      </c>
      <c r="D13" s="288">
        <f>B13/'- 7 -'!$E13</f>
        <v>21.851042701092354</v>
      </c>
    </row>
    <row r="14" spans="1:5" ht="14.1" customHeight="1">
      <c r="A14" s="18" t="s">
        <v>365</v>
      </c>
      <c r="B14" s="19">
        <v>114261</v>
      </c>
      <c r="C14" s="69">
        <f>B14/'- 3 -'!$D14*100</f>
        <v>0.14748448096320643</v>
      </c>
      <c r="D14" s="19">
        <f>B14/'- 7 -'!$E14</f>
        <v>21.805534351145038</v>
      </c>
    </row>
    <row r="15" spans="1:5" ht="14.1" customHeight="1">
      <c r="A15" s="287" t="s">
        <v>114</v>
      </c>
      <c r="B15" s="288">
        <v>41576</v>
      </c>
      <c r="C15" s="294">
        <f>B15/'- 3 -'!$D15*100</f>
        <v>0.21150416618847273</v>
      </c>
      <c r="D15" s="288">
        <f>B15/'- 7 -'!$E15</f>
        <v>28.623752151462995</v>
      </c>
    </row>
    <row r="16" spans="1:5" ht="14.1" customHeight="1">
      <c r="A16" s="18" t="s">
        <v>115</v>
      </c>
      <c r="B16" s="19">
        <v>29625</v>
      </c>
      <c r="C16" s="69">
        <f>B16/'- 3 -'!$D16*100</f>
        <v>0.21756869607647078</v>
      </c>
      <c r="D16" s="19">
        <f>B16/'- 7 -'!$E16</f>
        <v>32.433763958835122</v>
      </c>
    </row>
    <row r="17" spans="1:4" ht="14.1" customHeight="1">
      <c r="A17" s="287" t="s">
        <v>116</v>
      </c>
      <c r="B17" s="288">
        <v>77946</v>
      </c>
      <c r="C17" s="294">
        <f>B17/'- 3 -'!$D17*100</f>
        <v>0.44891086159716342</v>
      </c>
      <c r="D17" s="288">
        <f>B17/'- 7 -'!$E17</f>
        <v>58.342814371257482</v>
      </c>
    </row>
    <row r="18" spans="1:4" ht="14.1" customHeight="1">
      <c r="A18" s="18" t="s">
        <v>117</v>
      </c>
      <c r="B18" s="19">
        <v>1147953</v>
      </c>
      <c r="C18" s="69">
        <f>B18/'- 3 -'!$D18*100</f>
        <v>0.93960345915588928</v>
      </c>
      <c r="D18" s="19">
        <f>B18/'- 7 -'!$E18</f>
        <v>189.17302624965598</v>
      </c>
    </row>
    <row r="19" spans="1:4" ht="14.1" customHeight="1">
      <c r="A19" s="287" t="s">
        <v>118</v>
      </c>
      <c r="B19" s="288">
        <v>48374</v>
      </c>
      <c r="C19" s="294">
        <f>B19/'- 3 -'!$D19*100</f>
        <v>0.11230649481130946</v>
      </c>
      <c r="D19" s="288">
        <f>B19/'- 7 -'!$E19</f>
        <v>11.475814295542428</v>
      </c>
    </row>
    <row r="20" spans="1:4" ht="14.1" customHeight="1">
      <c r="A20" s="18" t="s">
        <v>119</v>
      </c>
      <c r="B20" s="19">
        <v>58093</v>
      </c>
      <c r="C20" s="69">
        <f>B20/'- 3 -'!$D20*100</f>
        <v>7.781345751553724E-2</v>
      </c>
      <c r="D20" s="19">
        <f>B20/'- 7 -'!$E20</f>
        <v>7.8812915479582148</v>
      </c>
    </row>
    <row r="21" spans="1:4" ht="14.1" customHeight="1">
      <c r="A21" s="287" t="s">
        <v>120</v>
      </c>
      <c r="B21" s="288">
        <v>51157</v>
      </c>
      <c r="C21" s="294">
        <f>B21/'- 3 -'!$D21*100</f>
        <v>0.14695724924939968</v>
      </c>
      <c r="D21" s="288">
        <f>B21/'- 7 -'!$E21</f>
        <v>19.109824430332463</v>
      </c>
    </row>
    <row r="22" spans="1:4" ht="14.1" customHeight="1">
      <c r="A22" s="18" t="s">
        <v>121</v>
      </c>
      <c r="B22" s="19">
        <v>57225</v>
      </c>
      <c r="C22" s="69">
        <f>B22/'- 3 -'!$D22*100</f>
        <v>0.29441730763205293</v>
      </c>
      <c r="D22" s="19">
        <f>B22/'- 7 -'!$E22</f>
        <v>37.355571512500816</v>
      </c>
    </row>
    <row r="23" spans="1:4" ht="14.1" customHeight="1">
      <c r="A23" s="287" t="s">
        <v>122</v>
      </c>
      <c r="B23" s="288">
        <v>54240</v>
      </c>
      <c r="C23" s="294">
        <f>B23/'- 3 -'!$D23*100</f>
        <v>0.33386461962023395</v>
      </c>
      <c r="D23" s="288">
        <f>B23/'- 7 -'!$E23</f>
        <v>48.342245989304814</v>
      </c>
    </row>
    <row r="24" spans="1:4" ht="14.1" customHeight="1">
      <c r="A24" s="18" t="s">
        <v>123</v>
      </c>
      <c r="B24" s="19">
        <v>215324</v>
      </c>
      <c r="C24" s="69">
        <f>B24/'- 3 -'!$D24*100</f>
        <v>0.39711696081552716</v>
      </c>
      <c r="D24" s="19">
        <f>B24/'- 7 -'!$E24</f>
        <v>53.204516814509155</v>
      </c>
    </row>
    <row r="25" spans="1:4" ht="14.1" customHeight="1">
      <c r="A25" s="287" t="s">
        <v>124</v>
      </c>
      <c r="B25" s="288">
        <v>375113</v>
      </c>
      <c r="C25" s="294">
        <f>B25/'- 3 -'!$D25*100</f>
        <v>0.23479863447449212</v>
      </c>
      <c r="D25" s="288">
        <f>B25/'- 7 -'!$E25</f>
        <v>26.998394979091543</v>
      </c>
    </row>
    <row r="26" spans="1:4" ht="14.1" customHeight="1">
      <c r="A26" s="18" t="s">
        <v>125</v>
      </c>
      <c r="B26" s="19">
        <v>22362</v>
      </c>
      <c r="C26" s="69">
        <f>B26/'- 3 -'!$D26*100</f>
        <v>5.7479918143167823E-2</v>
      </c>
      <c r="D26" s="19">
        <f>B26/'- 7 -'!$E26</f>
        <v>7.1961383748994372</v>
      </c>
    </row>
    <row r="27" spans="1:4" ht="14.1" customHeight="1">
      <c r="A27" s="287" t="s">
        <v>126</v>
      </c>
      <c r="B27" s="288">
        <v>156218</v>
      </c>
      <c r="C27" s="294">
        <f>B27/'- 3 -'!$D27*100</f>
        <v>0.40004979303393817</v>
      </c>
      <c r="D27" s="288">
        <f>B27/'- 7 -'!$E27</f>
        <v>54.669466316710412</v>
      </c>
    </row>
    <row r="28" spans="1:4" ht="14.1" customHeight="1">
      <c r="A28" s="18" t="s">
        <v>127</v>
      </c>
      <c r="B28" s="19">
        <v>67668</v>
      </c>
      <c r="C28" s="69">
        <f>B28/'- 3 -'!$D28*100</f>
        <v>0.24607766894611313</v>
      </c>
      <c r="D28" s="19">
        <f>B28/'- 7 -'!$E28</f>
        <v>33.817091454272862</v>
      </c>
    </row>
    <row r="29" spans="1:4" ht="14.1" customHeight="1">
      <c r="A29" s="287" t="s">
        <v>128</v>
      </c>
      <c r="B29" s="288">
        <v>728111</v>
      </c>
      <c r="C29" s="294">
        <f>B29/'- 3 -'!$D29*100</f>
        <v>0.49910357047377496</v>
      </c>
      <c r="D29" s="288">
        <f>B29/'- 7 -'!$E29</f>
        <v>58.543000032161579</v>
      </c>
    </row>
    <row r="30" spans="1:4" ht="14.1" customHeight="1">
      <c r="A30" s="18" t="s">
        <v>129</v>
      </c>
      <c r="B30" s="19">
        <v>39805</v>
      </c>
      <c r="C30" s="69">
        <f>B30/'- 3 -'!$D30*100</f>
        <v>0.29276764979619901</v>
      </c>
      <c r="D30" s="19">
        <f>B30/'- 7 -'!$E30</f>
        <v>38.145663632007668</v>
      </c>
    </row>
    <row r="31" spans="1:4" ht="14.1" customHeight="1">
      <c r="A31" s="287" t="s">
        <v>130</v>
      </c>
      <c r="B31" s="288">
        <v>133398</v>
      </c>
      <c r="C31" s="294">
        <f>B31/'- 3 -'!$D31*100</f>
        <v>0.37735801020154869</v>
      </c>
      <c r="D31" s="288">
        <f>B31/'- 7 -'!$E31</f>
        <v>41.070812807881772</v>
      </c>
    </row>
    <row r="32" spans="1:4" ht="14.1" customHeight="1">
      <c r="A32" s="18" t="s">
        <v>131</v>
      </c>
      <c r="B32" s="19">
        <v>54144</v>
      </c>
      <c r="C32" s="69">
        <f>B32/'- 3 -'!$D32*100</f>
        <v>0.205048182952484</v>
      </c>
      <c r="D32" s="19">
        <f>B32/'- 7 -'!$E32</f>
        <v>25.856733524355302</v>
      </c>
    </row>
    <row r="33" spans="1:5" ht="14.1" customHeight="1">
      <c r="A33" s="287" t="s">
        <v>132</v>
      </c>
      <c r="B33" s="288">
        <v>64086</v>
      </c>
      <c r="C33" s="294">
        <f>B33/'- 3 -'!$D33*100</f>
        <v>0.24318404667725124</v>
      </c>
      <c r="D33" s="288">
        <f>B33/'- 7 -'!$E33</f>
        <v>31.939197607774734</v>
      </c>
    </row>
    <row r="34" spans="1:5" ht="14.1" customHeight="1">
      <c r="A34" s="18" t="s">
        <v>133</v>
      </c>
      <c r="B34" s="19">
        <v>30493</v>
      </c>
      <c r="C34" s="69">
        <f>B34/'- 3 -'!$D34*100</f>
        <v>0.11503617020433793</v>
      </c>
      <c r="D34" s="19">
        <f>B34/'- 7 -'!$E34</f>
        <v>15.317265767847456</v>
      </c>
    </row>
    <row r="35" spans="1:5" ht="14.1" customHeight="1">
      <c r="A35" s="287" t="s">
        <v>134</v>
      </c>
      <c r="B35" s="288">
        <v>1016479</v>
      </c>
      <c r="C35" s="294">
        <f>B35/'- 3 -'!$D35*100</f>
        <v>0.58166623621140712</v>
      </c>
      <c r="D35" s="288">
        <f>B35/'- 7 -'!$E35</f>
        <v>65.372628464853051</v>
      </c>
    </row>
    <row r="36" spans="1:5" ht="14.1" customHeight="1">
      <c r="A36" s="18" t="s">
        <v>135</v>
      </c>
      <c r="B36" s="19">
        <v>37656</v>
      </c>
      <c r="C36" s="69">
        <f>B36/'- 3 -'!$D36*100</f>
        <v>0.17245227817354827</v>
      </c>
      <c r="D36" s="19">
        <f>B36/'- 7 -'!$E36</f>
        <v>22.835657974530019</v>
      </c>
    </row>
    <row r="37" spans="1:5" ht="14.1" customHeight="1">
      <c r="A37" s="287" t="s">
        <v>136</v>
      </c>
      <c r="B37" s="288">
        <v>243403</v>
      </c>
      <c r="C37" s="294">
        <f>B37/'- 3 -'!$D37*100</f>
        <v>0.54001228745764374</v>
      </c>
      <c r="D37" s="288">
        <f>B37/'- 7 -'!$E37</f>
        <v>61.574247407032637</v>
      </c>
    </row>
    <row r="38" spans="1:5" ht="14.1" customHeight="1">
      <c r="A38" s="18" t="s">
        <v>137</v>
      </c>
      <c r="B38" s="19">
        <v>479152</v>
      </c>
      <c r="C38" s="69">
        <f>B38/'- 3 -'!$D38*100</f>
        <v>0.39257771572520395</v>
      </c>
      <c r="D38" s="19">
        <f>B38/'- 7 -'!$E38</f>
        <v>45.478895564604152</v>
      </c>
    </row>
    <row r="39" spans="1:5" ht="14.1" customHeight="1">
      <c r="A39" s="287" t="s">
        <v>138</v>
      </c>
      <c r="B39" s="288">
        <v>58340</v>
      </c>
      <c r="C39" s="294">
        <f>B39/'- 3 -'!$D39*100</f>
        <v>0.28895186549285706</v>
      </c>
      <c r="D39" s="288">
        <f>B39/'- 7 -'!$E39</f>
        <v>37.723892660847071</v>
      </c>
    </row>
    <row r="40" spans="1:5" ht="14.1" customHeight="1">
      <c r="A40" s="18" t="s">
        <v>139</v>
      </c>
      <c r="B40" s="19">
        <v>407136</v>
      </c>
      <c r="C40" s="69">
        <f>B40/'- 3 -'!$D40*100</f>
        <v>0.41640706597183536</v>
      </c>
      <c r="D40" s="19">
        <f>B40/'- 7 -'!$E40</f>
        <v>51.636861730461909</v>
      </c>
    </row>
    <row r="41" spans="1:5" ht="14.1" customHeight="1">
      <c r="A41" s="287" t="s">
        <v>140</v>
      </c>
      <c r="B41" s="288">
        <v>155048</v>
      </c>
      <c r="C41" s="294">
        <f>B41/'- 3 -'!$D41*100</f>
        <v>0.25950260416440019</v>
      </c>
      <c r="D41" s="288">
        <f>B41/'- 7 -'!$E41</f>
        <v>35.598209160831132</v>
      </c>
    </row>
    <row r="42" spans="1:5" ht="14.1" customHeight="1">
      <c r="A42" s="18" t="s">
        <v>141</v>
      </c>
      <c r="B42" s="19">
        <v>38724</v>
      </c>
      <c r="C42" s="69">
        <f>B42/'- 3 -'!$D42*100</f>
        <v>0.19459831383304857</v>
      </c>
      <c r="D42" s="19">
        <f>B42/'- 7 -'!$E42</f>
        <v>27.475521498510002</v>
      </c>
    </row>
    <row r="43" spans="1:5" ht="14.1" customHeight="1">
      <c r="A43" s="287" t="s">
        <v>142</v>
      </c>
      <c r="B43" s="288">
        <v>20048</v>
      </c>
      <c r="C43" s="294">
        <f>B43/'- 3 -'!$D43*100</f>
        <v>0.15652058365126575</v>
      </c>
      <c r="D43" s="288">
        <f>B43/'- 7 -'!$E43</f>
        <v>20.813305233433343</v>
      </c>
    </row>
    <row r="44" spans="1:5" ht="14.1" customHeight="1">
      <c r="A44" s="18" t="s">
        <v>143</v>
      </c>
      <c r="B44" s="19">
        <v>5626</v>
      </c>
      <c r="C44" s="69">
        <f>B44/'- 3 -'!$D44*100</f>
        <v>5.3362946954992246E-2</v>
      </c>
      <c r="D44" s="19">
        <f>B44/'- 7 -'!$E44</f>
        <v>8.0949640287769782</v>
      </c>
    </row>
    <row r="45" spans="1:5" ht="14.1" customHeight="1">
      <c r="A45" s="287" t="s">
        <v>144</v>
      </c>
      <c r="B45" s="288">
        <v>55222</v>
      </c>
      <c r="C45" s="294">
        <f>B45/'- 3 -'!$D45*100</f>
        <v>0.31623719542012124</v>
      </c>
      <c r="D45" s="288">
        <f>B45/'- 7 -'!$E45</f>
        <v>34.363410080896081</v>
      </c>
    </row>
    <row r="46" spans="1:5" ht="14.1" customHeight="1">
      <c r="A46" s="18" t="s">
        <v>145</v>
      </c>
      <c r="B46" s="19">
        <v>1229535</v>
      </c>
      <c r="C46" s="69">
        <f>B46/'- 3 -'!$D46*100</f>
        <v>0.33435222153513294</v>
      </c>
      <c r="D46" s="19">
        <f>B46/'- 7 -'!$E46</f>
        <v>41.116071428571431</v>
      </c>
    </row>
    <row r="47" spans="1:5" ht="5.0999999999999996" customHeight="1">
      <c r="A47" s="20"/>
      <c r="B47" s="21"/>
      <c r="C47"/>
      <c r="D47" s="21"/>
    </row>
    <row r="48" spans="1:5" ht="14.1" customHeight="1">
      <c r="A48" s="289" t="s">
        <v>146</v>
      </c>
      <c r="B48" s="290">
        <f>SUM(B11:B46)</f>
        <v>7586858</v>
      </c>
      <c r="C48" s="297">
        <f>B48/'- 3 -'!$D48*100</f>
        <v>0.35493128754401926</v>
      </c>
      <c r="D48" s="290">
        <f>B48/'- 7 -'!$E48</f>
        <v>43.983045079667789</v>
      </c>
      <c r="E48" s="5"/>
    </row>
    <row r="49" spans="1:4" ht="5.0999999999999996" customHeight="1">
      <c r="A49" s="20" t="s">
        <v>8</v>
      </c>
      <c r="B49" s="21"/>
      <c r="C49"/>
      <c r="D49" s="21"/>
    </row>
    <row r="50" spans="1:4" ht="14.1" customHeight="1">
      <c r="A50" s="18" t="s">
        <v>147</v>
      </c>
      <c r="B50" s="19">
        <v>0</v>
      </c>
      <c r="C50" s="69">
        <f>B50/'- 3 -'!$D50*100</f>
        <v>0</v>
      </c>
      <c r="D50" s="19">
        <f>B50/'- 7 -'!$E50</f>
        <v>0</v>
      </c>
    </row>
    <row r="51" spans="1:4" ht="14.1" customHeight="1">
      <c r="A51" s="287" t="s">
        <v>643</v>
      </c>
      <c r="B51" s="288">
        <v>923459</v>
      </c>
      <c r="C51" s="294">
        <f>B51/'- 3 -'!$D51*100</f>
        <v>4.1417338691140531</v>
      </c>
      <c r="D51" s="288">
        <f>B51/'- 7 -'!$E51</f>
        <v>1242.878869448183</v>
      </c>
    </row>
    <row r="52" spans="1:4" ht="50.1" customHeight="1"/>
  </sheetData>
  <mergeCells count="2">
    <mergeCell ref="D8:D9"/>
    <mergeCell ref="B6:D7"/>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23.xml><?xml version="1.0" encoding="utf-8"?>
<worksheet xmlns="http://schemas.openxmlformats.org/spreadsheetml/2006/main" xmlns:r="http://schemas.openxmlformats.org/officeDocument/2006/relationships">
  <sheetPr codeName="Sheet24">
    <pageSetUpPr fitToPage="1"/>
  </sheetPr>
  <dimension ref="A1:J52"/>
  <sheetViews>
    <sheetView showGridLines="0" showZeros="0" workbookViewId="0"/>
  </sheetViews>
  <sheetFormatPr defaultColWidth="15.83203125" defaultRowHeight="12"/>
  <cols>
    <col min="1" max="1" width="32.83203125" style="1" customWidth="1"/>
    <col min="2" max="2" width="15.83203125" style="1" customWidth="1"/>
    <col min="3" max="3" width="7.83203125" style="1" customWidth="1"/>
    <col min="4" max="4" width="9.83203125" style="1" customWidth="1"/>
    <col min="5" max="5" width="15.83203125" style="1" customWidth="1"/>
    <col min="6" max="6" width="7.83203125" style="1" customWidth="1"/>
    <col min="7" max="7" width="9.83203125" style="1" customWidth="1"/>
    <col min="8" max="8" width="14.83203125" style="1" customWidth="1"/>
    <col min="9" max="9" width="7.83203125" style="1" customWidth="1"/>
    <col min="10" max="10" width="9.83203125" style="1" customWidth="1"/>
    <col min="11" max="16384" width="15.83203125" style="1"/>
  </cols>
  <sheetData>
    <row r="1" spans="1:10" ht="6.95" customHeight="1">
      <c r="A1" s="6"/>
      <c r="B1" s="7"/>
      <c r="C1" s="7"/>
      <c r="D1" s="7"/>
      <c r="E1" s="7"/>
      <c r="F1" s="7"/>
      <c r="G1" s="7"/>
    </row>
    <row r="2" spans="1:10" ht="15.95" customHeight="1">
      <c r="A2" s="133"/>
      <c r="B2" s="8" t="s">
        <v>266</v>
      </c>
      <c r="C2" s="9"/>
      <c r="D2" s="9"/>
      <c r="E2" s="9"/>
      <c r="F2" s="9"/>
      <c r="G2" s="9"/>
      <c r="H2" s="72"/>
      <c r="I2" s="134"/>
      <c r="J2" s="398" t="s">
        <v>427</v>
      </c>
    </row>
    <row r="3" spans="1:10" ht="15.95" customHeight="1">
      <c r="A3" s="546"/>
      <c r="B3" s="10" t="str">
        <f>OPYEAR</f>
        <v>OPERATING FUND 2014/2015 ACTUAL</v>
      </c>
      <c r="C3" s="11"/>
      <c r="D3" s="11"/>
      <c r="E3" s="11"/>
      <c r="F3" s="11"/>
      <c r="G3" s="11"/>
      <c r="H3" s="74"/>
      <c r="I3" s="11"/>
      <c r="J3" s="11"/>
    </row>
    <row r="4" spans="1:10" ht="15.95" customHeight="1">
      <c r="B4" s="7"/>
      <c r="C4" s="7"/>
      <c r="D4" s="7"/>
      <c r="E4" s="7"/>
      <c r="F4" s="7"/>
      <c r="G4" s="7"/>
    </row>
    <row r="5" spans="1:10" ht="15.95" customHeight="1">
      <c r="B5" s="396" t="s">
        <v>252</v>
      </c>
      <c r="C5" s="165"/>
      <c r="D5" s="165"/>
      <c r="E5" s="165"/>
      <c r="F5" s="165"/>
      <c r="G5" s="165"/>
      <c r="H5" s="38"/>
      <c r="I5" s="38"/>
      <c r="J5" s="182"/>
    </row>
    <row r="6" spans="1:10" ht="15.95" customHeight="1">
      <c r="B6" s="631" t="s">
        <v>520</v>
      </c>
      <c r="C6" s="639"/>
      <c r="D6" s="632"/>
      <c r="E6" s="631" t="s">
        <v>521</v>
      </c>
      <c r="F6" s="639"/>
      <c r="G6" s="632"/>
      <c r="H6" s="631" t="s">
        <v>522</v>
      </c>
      <c r="I6" s="639"/>
      <c r="J6" s="632"/>
    </row>
    <row r="7" spans="1:10" ht="15.95" customHeight="1">
      <c r="B7" s="633"/>
      <c r="C7" s="640"/>
      <c r="D7" s="634"/>
      <c r="E7" s="633"/>
      <c r="F7" s="640"/>
      <c r="G7" s="634"/>
      <c r="H7" s="633"/>
      <c r="I7" s="640"/>
      <c r="J7" s="634"/>
    </row>
    <row r="8" spans="1:10" ht="15.95" customHeight="1">
      <c r="A8" s="66"/>
      <c r="B8" s="136"/>
      <c r="C8" s="137"/>
      <c r="D8" s="584" t="s">
        <v>502</v>
      </c>
      <c r="E8" s="136"/>
      <c r="F8" s="138"/>
      <c r="G8" s="584" t="s">
        <v>502</v>
      </c>
      <c r="H8" s="136"/>
      <c r="I8" s="138"/>
      <c r="J8" s="584" t="s">
        <v>502</v>
      </c>
    </row>
    <row r="9" spans="1:10" ht="15.95" customHeight="1">
      <c r="A9" s="34" t="s">
        <v>43</v>
      </c>
      <c r="B9" s="76" t="s">
        <v>44</v>
      </c>
      <c r="C9" s="76" t="s">
        <v>45</v>
      </c>
      <c r="D9" s="586"/>
      <c r="E9" s="76" t="s">
        <v>44</v>
      </c>
      <c r="F9" s="76" t="s">
        <v>45</v>
      </c>
      <c r="G9" s="586"/>
      <c r="H9" s="76" t="s">
        <v>44</v>
      </c>
      <c r="I9" s="76" t="s">
        <v>45</v>
      </c>
      <c r="J9" s="586"/>
    </row>
    <row r="10" spans="1:10" ht="5.0999999999999996" customHeight="1">
      <c r="A10" s="5"/>
    </row>
    <row r="11" spans="1:10" ht="14.1" customHeight="1">
      <c r="A11" s="287" t="s">
        <v>111</v>
      </c>
      <c r="B11" s="288">
        <v>0</v>
      </c>
      <c r="C11" s="294">
        <f>B11/'- 3 -'!$D11*100</f>
        <v>0</v>
      </c>
      <c r="D11" s="288">
        <f>B11/'- 7 -'!$E11</f>
        <v>0</v>
      </c>
      <c r="E11" s="288">
        <v>0</v>
      </c>
      <c r="F11" s="294">
        <f>E11/'- 3 -'!$D11*100</f>
        <v>0</v>
      </c>
      <c r="G11" s="288">
        <f>E11/'- 7 -'!$E11</f>
        <v>0</v>
      </c>
      <c r="H11" s="288">
        <v>216993</v>
      </c>
      <c r="I11" s="294">
        <f>H11/'- 3 -'!$D11*100</f>
        <v>1.2411475299566626</v>
      </c>
      <c r="J11" s="288">
        <f>H11/'- 7 -'!$E11</f>
        <v>135.70544090056285</v>
      </c>
    </row>
    <row r="12" spans="1:10" ht="14.1" customHeight="1">
      <c r="A12" s="18" t="s">
        <v>112</v>
      </c>
      <c r="B12" s="19">
        <v>0</v>
      </c>
      <c r="C12" s="69">
        <f>B12/'- 3 -'!$D12*100</f>
        <v>0</v>
      </c>
      <c r="D12" s="19">
        <f>B12/'- 7 -'!$E12</f>
        <v>0</v>
      </c>
      <c r="E12" s="19">
        <v>0</v>
      </c>
      <c r="F12" s="69">
        <f>E12/'- 3 -'!$D12*100</f>
        <v>0</v>
      </c>
      <c r="G12" s="19">
        <f>E12/'- 7 -'!$E12</f>
        <v>0</v>
      </c>
      <c r="H12" s="19">
        <v>235581</v>
      </c>
      <c r="I12" s="69">
        <f>H12/'- 3 -'!$D12*100</f>
        <v>0.74394565398697032</v>
      </c>
      <c r="J12" s="19">
        <f>H12/'- 7 -'!$E12</f>
        <v>110.4044427781423</v>
      </c>
    </row>
    <row r="13" spans="1:10" ht="14.1" customHeight="1">
      <c r="A13" s="287" t="s">
        <v>113</v>
      </c>
      <c r="B13" s="288">
        <v>0</v>
      </c>
      <c r="C13" s="294">
        <f>B13/'- 3 -'!$D13*100</f>
        <v>0</v>
      </c>
      <c r="D13" s="288">
        <f>B13/'- 7 -'!$E13</f>
        <v>0</v>
      </c>
      <c r="E13" s="288">
        <v>383752</v>
      </c>
      <c r="F13" s="294">
        <f>E13/'- 3 -'!$D13*100</f>
        <v>0.44367943011948974</v>
      </c>
      <c r="G13" s="288">
        <f>E13/'- 7 -'!$E13</f>
        <v>47.635551142005959</v>
      </c>
      <c r="H13" s="288">
        <v>987454</v>
      </c>
      <c r="I13" s="294">
        <f>H13/'- 3 -'!$D13*100</f>
        <v>1.1416566636505101</v>
      </c>
      <c r="J13" s="288">
        <f>H13/'- 7 -'!$E13</f>
        <v>122.57373386295929</v>
      </c>
    </row>
    <row r="14" spans="1:10" ht="14.1" customHeight="1">
      <c r="A14" s="18" t="s">
        <v>365</v>
      </c>
      <c r="B14" s="19">
        <v>173005</v>
      </c>
      <c r="C14" s="69">
        <f>B14/'- 3 -'!$D14*100</f>
        <v>0.22330937615668978</v>
      </c>
      <c r="D14" s="19">
        <f>B14/'- 7 -'!$E14</f>
        <v>33.016221374045799</v>
      </c>
      <c r="E14" s="19">
        <v>1220072</v>
      </c>
      <c r="F14" s="69">
        <f>E14/'- 3 -'!$D14*100</f>
        <v>1.5748303065590288</v>
      </c>
      <c r="G14" s="19">
        <f>E14/'- 7 -'!$E14</f>
        <v>232.83816793893129</v>
      </c>
      <c r="H14" s="19">
        <v>759851</v>
      </c>
      <c r="I14" s="69">
        <f>H14/'- 3 -'!$D14*100</f>
        <v>0.98079161169929707</v>
      </c>
      <c r="J14" s="19">
        <f>H14/'- 7 -'!$E14</f>
        <v>145.00973282442749</v>
      </c>
    </row>
    <row r="15" spans="1:10" ht="14.1" customHeight="1">
      <c r="A15" s="287" t="s">
        <v>114</v>
      </c>
      <c r="B15" s="288">
        <v>0</v>
      </c>
      <c r="C15" s="294">
        <f>B15/'- 3 -'!$D15*100</f>
        <v>0</v>
      </c>
      <c r="D15" s="288">
        <f>B15/'- 7 -'!$E15</f>
        <v>0</v>
      </c>
      <c r="E15" s="288">
        <v>91167</v>
      </c>
      <c r="F15" s="294">
        <f>E15/'- 3 -'!$D15*100</f>
        <v>0.46378199727978864</v>
      </c>
      <c r="G15" s="288">
        <f>E15/'- 7 -'!$E15</f>
        <v>62.765576592082617</v>
      </c>
      <c r="H15" s="288">
        <v>190206</v>
      </c>
      <c r="I15" s="294">
        <f>H15/'- 3 -'!$D15*100</f>
        <v>0.96761019419964978</v>
      </c>
      <c r="J15" s="288">
        <f>H15/'- 7 -'!$E15</f>
        <v>130.95077452667815</v>
      </c>
    </row>
    <row r="16" spans="1:10" ht="14.1" customHeight="1">
      <c r="A16" s="18" t="s">
        <v>115</v>
      </c>
      <c r="B16" s="19">
        <v>0</v>
      </c>
      <c r="C16" s="69">
        <f>B16/'- 3 -'!$D16*100</f>
        <v>0</v>
      </c>
      <c r="D16" s="19">
        <f>B16/'- 7 -'!$E16</f>
        <v>0</v>
      </c>
      <c r="E16" s="19">
        <v>0</v>
      </c>
      <c r="F16" s="69">
        <f>E16/'- 3 -'!$D16*100</f>
        <v>0</v>
      </c>
      <c r="G16" s="19">
        <f>E16/'- 7 -'!$E16</f>
        <v>0</v>
      </c>
      <c r="H16" s="19">
        <v>173695</v>
      </c>
      <c r="I16" s="69">
        <f>H16/'- 3 -'!$D16*100</f>
        <v>1.275631887426248</v>
      </c>
      <c r="J16" s="19">
        <f>H16/'- 7 -'!$E16</f>
        <v>190.16312677906723</v>
      </c>
    </row>
    <row r="17" spans="1:10" ht="14.1" customHeight="1">
      <c r="A17" s="287" t="s">
        <v>116</v>
      </c>
      <c r="B17" s="288">
        <v>0</v>
      </c>
      <c r="C17" s="294">
        <f>B17/'- 3 -'!$D17*100</f>
        <v>0</v>
      </c>
      <c r="D17" s="288">
        <f>B17/'- 7 -'!$E17</f>
        <v>0</v>
      </c>
      <c r="E17" s="288">
        <v>107264</v>
      </c>
      <c r="F17" s="294">
        <f>E17/'- 3 -'!$D17*100</f>
        <v>0.61776068891743174</v>
      </c>
      <c r="G17" s="288">
        <f>E17/'- 7 -'!$E17</f>
        <v>80.287425149700596</v>
      </c>
      <c r="H17" s="288">
        <v>216162</v>
      </c>
      <c r="I17" s="294">
        <f>H17/'- 3 -'!$D17*100</f>
        <v>1.2449319999046269</v>
      </c>
      <c r="J17" s="288">
        <f>H17/'- 7 -'!$E17</f>
        <v>161.79790419161677</v>
      </c>
    </row>
    <row r="18" spans="1:10" ht="14.1" customHeight="1">
      <c r="A18" s="18" t="s">
        <v>117</v>
      </c>
      <c r="B18" s="19">
        <v>0</v>
      </c>
      <c r="C18" s="69">
        <f>B18/'- 3 -'!$D18*100</f>
        <v>0</v>
      </c>
      <c r="D18" s="19">
        <f>B18/'- 7 -'!$E18</f>
        <v>0</v>
      </c>
      <c r="E18" s="19">
        <v>2016973</v>
      </c>
      <c r="F18" s="69">
        <f>E18/'- 3 -'!$D18*100</f>
        <v>1.6508993032154033</v>
      </c>
      <c r="G18" s="19">
        <f>E18/'- 7 -'!$E18</f>
        <v>332.38023357563191</v>
      </c>
      <c r="H18" s="19">
        <v>1880844</v>
      </c>
      <c r="I18" s="69">
        <f>H18/'- 3 -'!$D18*100</f>
        <v>1.539477250839189</v>
      </c>
      <c r="J18" s="19">
        <f>H18/'- 7 -'!$E18</f>
        <v>309.94731612139867</v>
      </c>
    </row>
    <row r="19" spans="1:10" ht="14.1" customHeight="1">
      <c r="A19" s="287" t="s">
        <v>118</v>
      </c>
      <c r="B19" s="288">
        <v>0</v>
      </c>
      <c r="C19" s="294">
        <f>B19/'- 3 -'!$D19*100</f>
        <v>0</v>
      </c>
      <c r="D19" s="288">
        <f>B19/'- 7 -'!$E19</f>
        <v>0</v>
      </c>
      <c r="E19" s="288">
        <v>92065</v>
      </c>
      <c r="F19" s="294">
        <f>E19/'- 3 -'!$D19*100</f>
        <v>0.21374079970238571</v>
      </c>
      <c r="G19" s="288">
        <f>E19/'- 7 -'!$E19</f>
        <v>21.84067563399995</v>
      </c>
      <c r="H19" s="288">
        <v>451190</v>
      </c>
      <c r="I19" s="294">
        <f>H19/'- 3 -'!$D19*100</f>
        <v>1.0474959150352403</v>
      </c>
      <c r="J19" s="288">
        <f>H19/'- 7 -'!$E19</f>
        <v>107.03627262591037</v>
      </c>
    </row>
    <row r="20" spans="1:10" ht="14.1" customHeight="1">
      <c r="A20" s="18" t="s">
        <v>119</v>
      </c>
      <c r="B20" s="19">
        <v>4473</v>
      </c>
      <c r="C20" s="69">
        <f>B20/'- 3 -'!$D20*100</f>
        <v>5.9914205750606457E-3</v>
      </c>
      <c r="D20" s="19">
        <f>B20/'- 7 -'!$E20</f>
        <v>0.60683760683760679</v>
      </c>
      <c r="E20" s="19">
        <v>334137</v>
      </c>
      <c r="F20" s="69">
        <f>E20/'- 3 -'!$D20*100</f>
        <v>0.44756434086497632</v>
      </c>
      <c r="G20" s="19">
        <f>E20/'- 7 -'!$E20</f>
        <v>45.331298331298328</v>
      </c>
      <c r="H20" s="19">
        <v>818841</v>
      </c>
      <c r="I20" s="69">
        <f>H20/'- 3 -'!$D20*100</f>
        <v>1.0968076939645057</v>
      </c>
      <c r="J20" s="19">
        <f>H20/'- 7 -'!$E20</f>
        <v>111.08954008954009</v>
      </c>
    </row>
    <row r="21" spans="1:10" ht="14.1" customHeight="1">
      <c r="A21" s="287" t="s">
        <v>120</v>
      </c>
      <c r="B21" s="288">
        <v>0</v>
      </c>
      <c r="C21" s="294">
        <f>B21/'- 3 -'!$D21*100</f>
        <v>0</v>
      </c>
      <c r="D21" s="288">
        <f>B21/'- 7 -'!$E21</f>
        <v>0</v>
      </c>
      <c r="E21" s="288">
        <v>98414</v>
      </c>
      <c r="F21" s="294">
        <f>E21/'- 3 -'!$D21*100</f>
        <v>0.28271108015775792</v>
      </c>
      <c r="G21" s="288">
        <f>E21/'- 7 -'!$E21</f>
        <v>36.762794172581245</v>
      </c>
      <c r="H21" s="288">
        <v>526354</v>
      </c>
      <c r="I21" s="294">
        <f>H21/'- 3 -'!$D21*100</f>
        <v>1.5120420660206528</v>
      </c>
      <c r="J21" s="288">
        <f>H21/'- 7 -'!$E21</f>
        <v>196.62084422861412</v>
      </c>
    </row>
    <row r="22" spans="1:10" ht="14.1" customHeight="1">
      <c r="A22" s="18" t="s">
        <v>121</v>
      </c>
      <c r="B22" s="19">
        <v>20721</v>
      </c>
      <c r="C22" s="69">
        <f>B22/'- 3 -'!$D22*100</f>
        <v>0.10660761959709512</v>
      </c>
      <c r="D22" s="19">
        <f>B22/'- 7 -'!$E22</f>
        <v>13.526339839415105</v>
      </c>
      <c r="E22" s="19">
        <v>67921</v>
      </c>
      <c r="F22" s="69">
        <f>E22/'- 3 -'!$D22*100</f>
        <v>0.34944723375581765</v>
      </c>
      <c r="G22" s="19">
        <f>E22/'- 7 -'!$E22</f>
        <v>44.337750505907692</v>
      </c>
      <c r="H22" s="19">
        <v>192193</v>
      </c>
      <c r="I22" s="69">
        <f>H22/'- 3 -'!$D22*100</f>
        <v>0.98881512635608815</v>
      </c>
      <c r="J22" s="19">
        <f>H22/'- 7 -'!$E22</f>
        <v>125.46053919968665</v>
      </c>
    </row>
    <row r="23" spans="1:10" ht="14.1" customHeight="1">
      <c r="A23" s="287" t="s">
        <v>122</v>
      </c>
      <c r="B23" s="288">
        <v>0</v>
      </c>
      <c r="C23" s="294">
        <f>B23/'- 3 -'!$D23*100</f>
        <v>0</v>
      </c>
      <c r="D23" s="288">
        <f>B23/'- 7 -'!$E23</f>
        <v>0</v>
      </c>
      <c r="E23" s="288">
        <v>0</v>
      </c>
      <c r="F23" s="294">
        <f>E23/'- 3 -'!$D23*100</f>
        <v>0</v>
      </c>
      <c r="G23" s="288">
        <f>E23/'- 7 -'!$E23</f>
        <v>0</v>
      </c>
      <c r="H23" s="288">
        <v>191219</v>
      </c>
      <c r="I23" s="294">
        <f>H23/'- 3 -'!$D23*100</f>
        <v>1.1770143565479629</v>
      </c>
      <c r="J23" s="288">
        <f>H23/'- 7 -'!$E23</f>
        <v>170.42691622103388</v>
      </c>
    </row>
    <row r="24" spans="1:10" ht="14.1" customHeight="1">
      <c r="A24" s="18" t="s">
        <v>123</v>
      </c>
      <c r="B24" s="19">
        <v>0</v>
      </c>
      <c r="C24" s="69">
        <f>B24/'- 3 -'!$D24*100</f>
        <v>0</v>
      </c>
      <c r="D24" s="19">
        <f>B24/'- 7 -'!$E24</f>
        <v>0</v>
      </c>
      <c r="E24" s="19">
        <v>108656</v>
      </c>
      <c r="F24" s="69">
        <f>E24/'- 3 -'!$D24*100</f>
        <v>0.20039169109979343</v>
      </c>
      <c r="G24" s="19">
        <f>E24/'- 7 -'!$E24</f>
        <v>26.847866373452597</v>
      </c>
      <c r="H24" s="19">
        <v>718151</v>
      </c>
      <c r="I24" s="69">
        <f>H24/'- 3 -'!$D24*100</f>
        <v>1.3244689051226601</v>
      </c>
      <c r="J24" s="19">
        <f>H24/'- 7 -'!$E24</f>
        <v>177.4482963109387</v>
      </c>
    </row>
    <row r="25" spans="1:10" ht="14.1" customHeight="1">
      <c r="A25" s="287" t="s">
        <v>124</v>
      </c>
      <c r="B25" s="288">
        <v>0</v>
      </c>
      <c r="C25" s="294">
        <f>B25/'- 3 -'!$D25*100</f>
        <v>0</v>
      </c>
      <c r="D25" s="288">
        <f>B25/'- 7 -'!$E25</f>
        <v>0</v>
      </c>
      <c r="E25" s="288">
        <v>1691238</v>
      </c>
      <c r="F25" s="294">
        <f>E25/'- 3 -'!$D25*100</f>
        <v>1.0586153318369962</v>
      </c>
      <c r="G25" s="288">
        <f>E25/'- 7 -'!$E25</f>
        <v>121.72521754151103</v>
      </c>
      <c r="H25" s="288">
        <v>3682790</v>
      </c>
      <c r="I25" s="294">
        <f>H25/'- 3 -'!$D25*100</f>
        <v>2.3052095316779608</v>
      </c>
      <c r="J25" s="288">
        <f>H25/'- 7 -'!$E25</f>
        <v>265.06524445979892</v>
      </c>
    </row>
    <row r="26" spans="1:10" ht="14.1" customHeight="1">
      <c r="A26" s="18" t="s">
        <v>125</v>
      </c>
      <c r="B26" s="19">
        <v>20655</v>
      </c>
      <c r="C26" s="69">
        <f>B26/'- 3 -'!$D26*100</f>
        <v>5.3092196997009712E-2</v>
      </c>
      <c r="D26" s="19">
        <f>B26/'- 7 -'!$E26</f>
        <v>6.6468222043443284</v>
      </c>
      <c r="E26" s="19">
        <v>130324</v>
      </c>
      <c r="F26" s="69">
        <f>E26/'- 3 -'!$D26*100</f>
        <v>0.33498850067481456</v>
      </c>
      <c r="G26" s="19">
        <f>E26/'- 7 -'!$E26</f>
        <v>41.938535800482704</v>
      </c>
      <c r="H26" s="19">
        <v>527635</v>
      </c>
      <c r="I26" s="69">
        <f>H26/'- 3 -'!$D26*100</f>
        <v>1.3562479478342881</v>
      </c>
      <c r="J26" s="19">
        <f>H26/'- 7 -'!$E26</f>
        <v>169.7940466613033</v>
      </c>
    </row>
    <row r="27" spans="1:10" ht="14.1" customHeight="1">
      <c r="A27" s="287" t="s">
        <v>126</v>
      </c>
      <c r="B27" s="288">
        <v>0</v>
      </c>
      <c r="C27" s="294">
        <f>B27/'- 3 -'!$D27*100</f>
        <v>0</v>
      </c>
      <c r="D27" s="288">
        <f>B27/'- 7 -'!$E27</f>
        <v>0</v>
      </c>
      <c r="E27" s="288">
        <v>490017</v>
      </c>
      <c r="F27" s="294">
        <f>E27/'- 3 -'!$D27*100</f>
        <v>1.2548566710181368</v>
      </c>
      <c r="G27" s="288">
        <f>E27/'- 7 -'!$E27</f>
        <v>171.48451443569553</v>
      </c>
      <c r="H27" s="288">
        <v>979216</v>
      </c>
      <c r="I27" s="294">
        <f>H27/'- 3 -'!$D27*100</f>
        <v>2.5076185723509505</v>
      </c>
      <c r="J27" s="288">
        <f>H27/'- 7 -'!$E27</f>
        <v>342.68276465441818</v>
      </c>
    </row>
    <row r="28" spans="1:10" ht="14.1" customHeight="1">
      <c r="A28" s="18" t="s">
        <v>127</v>
      </c>
      <c r="B28" s="19">
        <v>0</v>
      </c>
      <c r="C28" s="69">
        <f>B28/'- 3 -'!$D28*100</f>
        <v>0</v>
      </c>
      <c r="D28" s="19">
        <f>B28/'- 7 -'!$E28</f>
        <v>0</v>
      </c>
      <c r="E28" s="19">
        <v>100064</v>
      </c>
      <c r="F28" s="69">
        <f>E28/'- 3 -'!$D28*100</f>
        <v>0.36388715294413704</v>
      </c>
      <c r="G28" s="19">
        <f>E28/'- 7 -'!$E28</f>
        <v>50.006996501749128</v>
      </c>
      <c r="H28" s="19">
        <v>273724</v>
      </c>
      <c r="I28" s="69">
        <f>H28/'- 3 -'!$D28*100</f>
        <v>0.99540940850336745</v>
      </c>
      <c r="J28" s="19">
        <f>H28/'- 7 -'!$E28</f>
        <v>136.7936031984008</v>
      </c>
    </row>
    <row r="29" spans="1:10" ht="14.1" customHeight="1">
      <c r="A29" s="287" t="s">
        <v>128</v>
      </c>
      <c r="B29" s="288">
        <v>357409</v>
      </c>
      <c r="C29" s="294">
        <f>B29/'- 3 -'!$D29*100</f>
        <v>0.24499576028855688</v>
      </c>
      <c r="D29" s="288">
        <f>B29/'- 7 -'!$E29</f>
        <v>28.737095166114557</v>
      </c>
      <c r="E29" s="288">
        <v>465602</v>
      </c>
      <c r="F29" s="294">
        <f>E29/'- 3 -'!$D29*100</f>
        <v>0.31915960701009954</v>
      </c>
      <c r="G29" s="288">
        <f>E29/'- 7 -'!$E29</f>
        <v>37.436239668092497</v>
      </c>
      <c r="H29" s="288">
        <v>3023573</v>
      </c>
      <c r="I29" s="294">
        <f>H29/'- 3 -'!$D29*100</f>
        <v>2.0725906900020781</v>
      </c>
      <c r="J29" s="288">
        <f>H29/'- 7 -'!$E29</f>
        <v>243.10721062618595</v>
      </c>
    </row>
    <row r="30" spans="1:10" ht="14.1" customHeight="1">
      <c r="A30" s="18" t="s">
        <v>129</v>
      </c>
      <c r="B30" s="19">
        <v>0</v>
      </c>
      <c r="C30" s="69">
        <f>B30/'- 3 -'!$D30*100</f>
        <v>0</v>
      </c>
      <c r="D30" s="19">
        <f>B30/'- 7 -'!$E30</f>
        <v>0</v>
      </c>
      <c r="E30" s="19">
        <v>0</v>
      </c>
      <c r="F30" s="69">
        <f>E30/'- 3 -'!$D30*100</f>
        <v>0</v>
      </c>
      <c r="G30" s="19">
        <f>E30/'- 7 -'!$E30</f>
        <v>0</v>
      </c>
      <c r="H30" s="19">
        <v>378510</v>
      </c>
      <c r="I30" s="69">
        <f>H30/'- 3 -'!$D30*100</f>
        <v>2.7839588776374646</v>
      </c>
      <c r="J30" s="19">
        <f>H30/'- 7 -'!$E30</f>
        <v>362.73119310014374</v>
      </c>
    </row>
    <row r="31" spans="1:10" ht="14.1" customHeight="1">
      <c r="A31" s="287" t="s">
        <v>130</v>
      </c>
      <c r="B31" s="288">
        <v>0</v>
      </c>
      <c r="C31" s="294">
        <f>B31/'- 3 -'!$D31*100</f>
        <v>0</v>
      </c>
      <c r="D31" s="288">
        <f>B31/'- 7 -'!$E31</f>
        <v>0</v>
      </c>
      <c r="E31" s="288">
        <v>102432</v>
      </c>
      <c r="F31" s="294">
        <f>E31/'- 3 -'!$D31*100</f>
        <v>0.28976098368015291</v>
      </c>
      <c r="G31" s="288">
        <f>E31/'- 7 -'!$E31</f>
        <v>31.536945812807883</v>
      </c>
      <c r="H31" s="288">
        <v>471256</v>
      </c>
      <c r="I31" s="294">
        <f>H31/'- 3 -'!$D31*100</f>
        <v>1.3330951472701318</v>
      </c>
      <c r="J31" s="288">
        <f>H31/'- 7 -'!$E31</f>
        <v>145.09113300492612</v>
      </c>
    </row>
    <row r="32" spans="1:10" ht="14.1" customHeight="1">
      <c r="A32" s="18" t="s">
        <v>131</v>
      </c>
      <c r="B32" s="19">
        <v>0</v>
      </c>
      <c r="C32" s="69">
        <f>B32/'- 3 -'!$D32*100</f>
        <v>0</v>
      </c>
      <c r="D32" s="19">
        <f>B32/'- 7 -'!$E32</f>
        <v>0</v>
      </c>
      <c r="E32" s="19">
        <v>42292</v>
      </c>
      <c r="F32" s="69">
        <f>E32/'- 3 -'!$D32*100</f>
        <v>0.16016359621428883</v>
      </c>
      <c r="G32" s="19">
        <f>E32/'- 7 -'!$E32</f>
        <v>20.196752626552055</v>
      </c>
      <c r="H32" s="19">
        <v>331292</v>
      </c>
      <c r="I32" s="69">
        <f>H32/'- 3 -'!$D32*100</f>
        <v>1.2546325100970437</v>
      </c>
      <c r="J32" s="19">
        <f>H32/'- 7 -'!$E32</f>
        <v>158.21012416427888</v>
      </c>
    </row>
    <row r="33" spans="1:10" ht="14.1" customHeight="1">
      <c r="A33" s="287" t="s">
        <v>132</v>
      </c>
      <c r="B33" s="288">
        <v>0</v>
      </c>
      <c r="C33" s="294">
        <f>B33/'- 3 -'!$D33*100</f>
        <v>0</v>
      </c>
      <c r="D33" s="288">
        <f>B33/'- 7 -'!$E33</f>
        <v>0</v>
      </c>
      <c r="E33" s="288">
        <v>96087</v>
      </c>
      <c r="F33" s="294">
        <f>E33/'- 3 -'!$D33*100</f>
        <v>0.3646166946458983</v>
      </c>
      <c r="G33" s="288">
        <f>E33/'- 7 -'!$E33</f>
        <v>47.887864440568151</v>
      </c>
      <c r="H33" s="288">
        <v>363375</v>
      </c>
      <c r="I33" s="294">
        <f>H33/'- 3 -'!$D33*100</f>
        <v>1.3788815491893105</v>
      </c>
      <c r="J33" s="288">
        <f>H33/'- 7 -'!$E33</f>
        <v>181.09892848243209</v>
      </c>
    </row>
    <row r="34" spans="1:10" ht="14.1" customHeight="1">
      <c r="A34" s="18" t="s">
        <v>133</v>
      </c>
      <c r="B34" s="19">
        <v>7083</v>
      </c>
      <c r="C34" s="69">
        <f>B34/'- 3 -'!$D34*100</f>
        <v>2.6720925902906423E-2</v>
      </c>
      <c r="D34" s="19">
        <f>B34/'- 7 -'!$E34</f>
        <v>3.5579376720448472</v>
      </c>
      <c r="E34" s="19">
        <v>200948</v>
      </c>
      <c r="F34" s="69">
        <f>E34/'- 3 -'!$D34*100</f>
        <v>0.75808507953370607</v>
      </c>
      <c r="G34" s="19">
        <f>E34/'- 7 -'!$E34</f>
        <v>100.94034439108682</v>
      </c>
      <c r="H34" s="19">
        <v>223008</v>
      </c>
      <c r="I34" s="69">
        <f>H34/'- 3 -'!$D34*100</f>
        <v>0.8413073900544058</v>
      </c>
      <c r="J34" s="19">
        <f>H34/'- 7 -'!$E34</f>
        <v>112.02153951254797</v>
      </c>
    </row>
    <row r="35" spans="1:10" ht="14.1" customHeight="1">
      <c r="A35" s="287" t="s">
        <v>134</v>
      </c>
      <c r="B35" s="288">
        <v>384619</v>
      </c>
      <c r="C35" s="294">
        <f>B35/'- 3 -'!$D35*100</f>
        <v>0.2200929739870624</v>
      </c>
      <c r="D35" s="288">
        <f>B35/'- 7 -'!$E35</f>
        <v>24.735931571162133</v>
      </c>
      <c r="E35" s="288">
        <v>601446</v>
      </c>
      <c r="F35" s="294">
        <f>E35/'- 3 -'!$D35*100</f>
        <v>0.34416926577372081</v>
      </c>
      <c r="G35" s="288">
        <f>E35/'- 7 -'!$E35</f>
        <v>38.680686860891377</v>
      </c>
      <c r="H35" s="288">
        <v>3903268</v>
      </c>
      <c r="I35" s="294">
        <f>H35/'- 3 -'!$D35*100</f>
        <v>2.2335918464468292</v>
      </c>
      <c r="J35" s="288">
        <f>H35/'- 7 -'!$E35</f>
        <v>251.03016271142837</v>
      </c>
    </row>
    <row r="36" spans="1:10" ht="14.1" customHeight="1">
      <c r="A36" s="18" t="s">
        <v>135</v>
      </c>
      <c r="B36" s="19">
        <v>18188</v>
      </c>
      <c r="C36" s="69">
        <f>B36/'- 3 -'!$D36*100</f>
        <v>8.3295146468570641E-2</v>
      </c>
      <c r="D36" s="19">
        <f>B36/'- 7 -'!$E36</f>
        <v>11.029714978775015</v>
      </c>
      <c r="E36" s="19">
        <v>233949</v>
      </c>
      <c r="F36" s="69">
        <f>E36/'- 3 -'!$D36*100</f>
        <v>1.0714106125563907</v>
      </c>
      <c r="G36" s="19">
        <f>E36/'- 7 -'!$E36</f>
        <v>141.87325651910248</v>
      </c>
      <c r="H36" s="19">
        <v>281012</v>
      </c>
      <c r="I36" s="69">
        <f>H36/'- 3 -'!$D36*100</f>
        <v>1.2869439025415645</v>
      </c>
      <c r="J36" s="19">
        <f>H36/'- 7 -'!$E36</f>
        <v>170.41358399029716</v>
      </c>
    </row>
    <row r="37" spans="1:10" ht="14.1" customHeight="1">
      <c r="A37" s="287" t="s">
        <v>136</v>
      </c>
      <c r="B37" s="288">
        <v>38967</v>
      </c>
      <c r="C37" s="294">
        <f>B37/'- 3 -'!$D37*100</f>
        <v>8.6451928716416826E-2</v>
      </c>
      <c r="D37" s="288">
        <f>B37/'- 7 -'!$E37</f>
        <v>9.8575765241588673</v>
      </c>
      <c r="E37" s="288">
        <v>474544</v>
      </c>
      <c r="F37" s="294">
        <f>E37/'- 3 -'!$D37*100</f>
        <v>1.0528201827393258</v>
      </c>
      <c r="G37" s="288">
        <f>E37/'- 7 -'!$E37</f>
        <v>120.04654692638502</v>
      </c>
      <c r="H37" s="288">
        <v>494128</v>
      </c>
      <c r="I37" s="294">
        <f>H37/'- 3 -'!$D37*100</f>
        <v>1.0962691157334568</v>
      </c>
      <c r="J37" s="288">
        <f>H37/'- 7 -'!$E37</f>
        <v>125.00075891727802</v>
      </c>
    </row>
    <row r="38" spans="1:10" ht="14.1" customHeight="1">
      <c r="A38" s="18" t="s">
        <v>137</v>
      </c>
      <c r="B38" s="19">
        <v>78201</v>
      </c>
      <c r="C38" s="69">
        <f>B38/'- 3 -'!$D38*100</f>
        <v>6.4071463642908041E-2</v>
      </c>
      <c r="D38" s="19">
        <f>B38/'- 7 -'!$E38</f>
        <v>7.4224778609869295</v>
      </c>
      <c r="E38" s="19">
        <v>348629</v>
      </c>
      <c r="F38" s="69">
        <f>E38/'- 3 -'!$D38*100</f>
        <v>0.28563791125897864</v>
      </c>
      <c r="G38" s="19">
        <f>E38/'- 7 -'!$E38</f>
        <v>33.090255037633945</v>
      </c>
      <c r="H38" s="19">
        <v>1558494</v>
      </c>
      <c r="I38" s="69">
        <f>H38/'- 3 -'!$D38*100</f>
        <v>1.2769017232348734</v>
      </c>
      <c r="J38" s="19">
        <f>H38/'- 7 -'!$E38</f>
        <v>147.92505481363364</v>
      </c>
    </row>
    <row r="39" spans="1:10" ht="14.1" customHeight="1">
      <c r="A39" s="287" t="s">
        <v>138</v>
      </c>
      <c r="B39" s="288">
        <v>0</v>
      </c>
      <c r="C39" s="294">
        <f>B39/'- 3 -'!$D39*100</f>
        <v>0</v>
      </c>
      <c r="D39" s="288">
        <f>B39/'- 7 -'!$E39</f>
        <v>0</v>
      </c>
      <c r="E39" s="288">
        <v>106069</v>
      </c>
      <c r="F39" s="294">
        <f>E39/'- 3 -'!$D39*100</f>
        <v>0.52534856738021696</v>
      </c>
      <c r="G39" s="288">
        <f>E39/'- 7 -'!$E39</f>
        <v>68.586485612673783</v>
      </c>
      <c r="H39" s="288">
        <v>219159</v>
      </c>
      <c r="I39" s="294">
        <f>H39/'- 3 -'!$D39*100</f>
        <v>1.0854714070886025</v>
      </c>
      <c r="J39" s="288">
        <f>H39/'- 7 -'!$E39</f>
        <v>141.71290009699322</v>
      </c>
    </row>
    <row r="40" spans="1:10" ht="14.1" customHeight="1">
      <c r="A40" s="18" t="s">
        <v>139</v>
      </c>
      <c r="B40" s="19">
        <v>0</v>
      </c>
      <c r="C40" s="69">
        <f>B40/'- 3 -'!$D40*100</f>
        <v>0</v>
      </c>
      <c r="D40" s="19">
        <f>B40/'- 7 -'!$E40</f>
        <v>0</v>
      </c>
      <c r="E40" s="19">
        <v>1215916</v>
      </c>
      <c r="F40" s="69">
        <f>E40/'- 3 -'!$D40*100</f>
        <v>1.2436041372617752</v>
      </c>
      <c r="G40" s="19">
        <f>E40/'- 7 -'!$E40</f>
        <v>154.21403749080486</v>
      </c>
      <c r="H40" s="19">
        <v>1262599</v>
      </c>
      <c r="I40" s="69">
        <f>H40/'- 3 -'!$D40*100</f>
        <v>1.2913501755899093</v>
      </c>
      <c r="J40" s="19">
        <f>H40/'- 7 -'!$E40</f>
        <v>160.13481977525808</v>
      </c>
    </row>
    <row r="41" spans="1:10" ht="14.1" customHeight="1">
      <c r="A41" s="287" t="s">
        <v>140</v>
      </c>
      <c r="B41" s="288">
        <v>48568</v>
      </c>
      <c r="C41" s="294">
        <f>B41/'- 3 -'!$D41*100</f>
        <v>8.1287875232551141E-2</v>
      </c>
      <c r="D41" s="288">
        <f>B41/'- 7 -'!$E41</f>
        <v>11.150958558144874</v>
      </c>
      <c r="E41" s="288">
        <v>309089</v>
      </c>
      <c r="F41" s="294">
        <f>E41/'- 3 -'!$D41*100</f>
        <v>0.51731980043967218</v>
      </c>
      <c r="G41" s="288">
        <f>E41/'- 7 -'!$E41</f>
        <v>70.965216393066243</v>
      </c>
      <c r="H41" s="288">
        <v>590572</v>
      </c>
      <c r="I41" s="294">
        <f>H41/'- 3 -'!$D41*100</f>
        <v>0.98843565829019508</v>
      </c>
      <c r="J41" s="288">
        <f>H41/'- 7 -'!$E41</f>
        <v>135.59223969693491</v>
      </c>
    </row>
    <row r="42" spans="1:10" ht="14.1" customHeight="1">
      <c r="A42" s="18" t="s">
        <v>141</v>
      </c>
      <c r="B42" s="19">
        <v>0</v>
      </c>
      <c r="C42" s="69">
        <f>B42/'- 3 -'!$D42*100</f>
        <v>0</v>
      </c>
      <c r="D42" s="19">
        <f>B42/'- 7 -'!$E42</f>
        <v>0</v>
      </c>
      <c r="E42" s="19">
        <v>0</v>
      </c>
      <c r="F42" s="69">
        <f>E42/'- 3 -'!$D42*100</f>
        <v>0</v>
      </c>
      <c r="G42" s="19">
        <f>E42/'- 7 -'!$E42</f>
        <v>0</v>
      </c>
      <c r="H42" s="19">
        <v>238373</v>
      </c>
      <c r="I42" s="69">
        <f>H42/'- 3 -'!$D42*100</f>
        <v>1.1978871982059003</v>
      </c>
      <c r="J42" s="19">
        <f>H42/'- 7 -'!$E42</f>
        <v>169.13083581665956</v>
      </c>
    </row>
    <row r="43" spans="1:10" ht="14.1" customHeight="1">
      <c r="A43" s="287" t="s">
        <v>142</v>
      </c>
      <c r="B43" s="288">
        <v>0</v>
      </c>
      <c r="C43" s="294">
        <f>B43/'- 3 -'!$D43*100</f>
        <v>0</v>
      </c>
      <c r="D43" s="288">
        <f>B43/'- 7 -'!$E43</f>
        <v>0</v>
      </c>
      <c r="E43" s="288">
        <v>43992</v>
      </c>
      <c r="F43" s="294">
        <f>E43/'- 3 -'!$D43*100</f>
        <v>0.34345837569764981</v>
      </c>
      <c r="G43" s="288">
        <f>E43/'- 7 -'!$E43</f>
        <v>45.671334987490006</v>
      </c>
      <c r="H43" s="288">
        <v>252382</v>
      </c>
      <c r="I43" s="294">
        <f>H43/'- 3 -'!$D43*100</f>
        <v>1.9704198894190821</v>
      </c>
      <c r="J43" s="288">
        <f>H43/'- 7 -'!$E43</f>
        <v>262.01634085317107</v>
      </c>
    </row>
    <row r="44" spans="1:10" ht="14.1" customHeight="1">
      <c r="A44" s="18" t="s">
        <v>143</v>
      </c>
      <c r="B44" s="19">
        <v>0</v>
      </c>
      <c r="C44" s="69">
        <f>B44/'- 3 -'!$D44*100</f>
        <v>0</v>
      </c>
      <c r="D44" s="19">
        <f>B44/'- 7 -'!$E44</f>
        <v>0</v>
      </c>
      <c r="E44" s="19">
        <v>0</v>
      </c>
      <c r="F44" s="69">
        <f>E44/'- 3 -'!$D44*100</f>
        <v>0</v>
      </c>
      <c r="G44" s="19">
        <f>E44/'- 7 -'!$E44</f>
        <v>0</v>
      </c>
      <c r="H44" s="19">
        <v>122600</v>
      </c>
      <c r="I44" s="69">
        <f>H44/'- 3 -'!$D44*100</f>
        <v>1.1628683428158639</v>
      </c>
      <c r="J44" s="19">
        <f>H44/'- 7 -'!$E44</f>
        <v>176.40287769784172</v>
      </c>
    </row>
    <row r="45" spans="1:10" ht="14.1" customHeight="1">
      <c r="A45" s="287" t="s">
        <v>144</v>
      </c>
      <c r="B45" s="288">
        <v>0</v>
      </c>
      <c r="C45" s="294">
        <f>B45/'- 3 -'!$D45*100</f>
        <v>0</v>
      </c>
      <c r="D45" s="288">
        <f>B45/'- 7 -'!$E45</f>
        <v>0</v>
      </c>
      <c r="E45" s="288">
        <v>0</v>
      </c>
      <c r="F45" s="294">
        <f>E45/'- 3 -'!$D45*100</f>
        <v>0</v>
      </c>
      <c r="G45" s="288">
        <f>E45/'- 7 -'!$E45</f>
        <v>0</v>
      </c>
      <c r="H45" s="288">
        <v>225110</v>
      </c>
      <c r="I45" s="294">
        <f>H45/'- 3 -'!$D45*100</f>
        <v>1.2891267078523685</v>
      </c>
      <c r="J45" s="288">
        <f>H45/'- 7 -'!$E45</f>
        <v>140.08089607965152</v>
      </c>
    </row>
    <row r="46" spans="1:10" ht="14.1" customHeight="1">
      <c r="A46" s="18" t="s">
        <v>145</v>
      </c>
      <c r="B46" s="19">
        <v>183978</v>
      </c>
      <c r="C46" s="69">
        <f>B46/'- 3 -'!$D46*100</f>
        <v>5.0029851133632383E-2</v>
      </c>
      <c r="D46" s="19">
        <f>B46/'- 7 -'!$E46</f>
        <v>6.1522873194221512</v>
      </c>
      <c r="E46" s="19">
        <v>719086</v>
      </c>
      <c r="F46" s="69">
        <f>E46/'- 3 -'!$D46*100</f>
        <v>0.19554384509169126</v>
      </c>
      <c r="G46" s="19">
        <f>E46/'- 7 -'!$E46</f>
        <v>24.046482075976456</v>
      </c>
      <c r="H46" s="19">
        <v>3275191</v>
      </c>
      <c r="I46" s="69">
        <f>H46/'- 3 -'!$D46*100</f>
        <v>0.89063539208064313</v>
      </c>
      <c r="J46" s="19">
        <f>H46/'- 7 -'!$E46</f>
        <v>109.52350856072766</v>
      </c>
    </row>
    <row r="47" spans="1:10" ht="5.0999999999999996" customHeight="1">
      <c r="A47" s="20"/>
      <c r="B47" s="21"/>
      <c r="C47"/>
      <c r="D47" s="21"/>
      <c r="E47" s="21"/>
      <c r="F47"/>
      <c r="G47" s="21"/>
      <c r="H47"/>
      <c r="I47"/>
      <c r="J47"/>
    </row>
    <row r="48" spans="1:10" ht="14.1" customHeight="1">
      <c r="A48" s="289" t="s">
        <v>146</v>
      </c>
      <c r="B48" s="290">
        <f>SUM(B11:B46)</f>
        <v>1335867</v>
      </c>
      <c r="C48" s="297">
        <f>B48/'- 3 -'!$D48*100</f>
        <v>6.2495040014926645E-2</v>
      </c>
      <c r="D48" s="290">
        <f>B48/'- 7 -'!$E48</f>
        <v>7.7443783027757434</v>
      </c>
      <c r="E48" s="290">
        <f>SUM(E11:E46)</f>
        <v>11892145</v>
      </c>
      <c r="F48" s="297">
        <f>E48/'- 3 -'!$D48*100</f>
        <v>0.55634286769439611</v>
      </c>
      <c r="G48" s="290">
        <f>E48/'- 7 -'!$E48</f>
        <v>68.941945351942252</v>
      </c>
      <c r="H48" s="290">
        <f>SUM(H11:H46)</f>
        <v>30236001</v>
      </c>
      <c r="I48" s="297">
        <f>H48/'- 3 -'!$D48*100</f>
        <v>1.4145121425908134</v>
      </c>
      <c r="J48" s="290">
        <f>H48/'- 7 -'!$E48</f>
        <v>175.28618500726918</v>
      </c>
    </row>
    <row r="49" spans="1:10" ht="5.0999999999999996" customHeight="1">
      <c r="A49" s="20" t="s">
        <v>8</v>
      </c>
      <c r="B49" s="21"/>
      <c r="C49"/>
      <c r="D49" s="21"/>
      <c r="E49" s="21"/>
      <c r="F49"/>
      <c r="H49"/>
      <c r="I49"/>
      <c r="J49"/>
    </row>
    <row r="50" spans="1:10" ht="14.1" customHeight="1">
      <c r="A50" s="18" t="s">
        <v>147</v>
      </c>
      <c r="B50" s="19">
        <v>0</v>
      </c>
      <c r="C50" s="69">
        <f>B50/'- 3 -'!$D50*100</f>
        <v>0</v>
      </c>
      <c r="D50" s="19">
        <f>B50/'- 7 -'!$E50</f>
        <v>0</v>
      </c>
      <c r="E50" s="19">
        <v>0</v>
      </c>
      <c r="F50" s="69">
        <f>E50/'- 3 -'!$D50*100</f>
        <v>0</v>
      </c>
      <c r="G50" s="19">
        <f>E50/'- 7 -'!$E50</f>
        <v>0</v>
      </c>
      <c r="H50" s="19">
        <v>17964</v>
      </c>
      <c r="I50" s="69">
        <f>H50/'- 3 -'!$D50*100</f>
        <v>0.55304016621991015</v>
      </c>
      <c r="J50" s="19">
        <f>H50/'- 7 -'!$E50</f>
        <v>107.95673076923076</v>
      </c>
    </row>
    <row r="51" spans="1:10" ht="14.1" customHeight="1">
      <c r="A51" s="287" t="s">
        <v>643</v>
      </c>
      <c r="B51" s="288">
        <v>0</v>
      </c>
      <c r="C51" s="294">
        <f>B51/'- 3 -'!$D51*100</f>
        <v>0</v>
      </c>
      <c r="D51" s="288">
        <f>B51/'- 7 -'!$E51</f>
        <v>0</v>
      </c>
      <c r="E51" s="288">
        <v>172220</v>
      </c>
      <c r="F51" s="294">
        <f>E51/'- 3 -'!$D51*100</f>
        <v>0.77241047728033652</v>
      </c>
      <c r="G51" s="288">
        <f>E51/'- 7 -'!$E51</f>
        <v>231.79004037685061</v>
      </c>
      <c r="H51" s="288">
        <v>14582</v>
      </c>
      <c r="I51" s="294">
        <f>H51/'- 3 -'!$D51*100</f>
        <v>6.540058982523439E-2</v>
      </c>
      <c r="J51" s="288">
        <f>H51/'- 7 -'!$E51</f>
        <v>19.625841184387617</v>
      </c>
    </row>
    <row r="52" spans="1:10" ht="50.1" customHeight="1">
      <c r="A52" s="183"/>
      <c r="B52" s="183"/>
      <c r="C52" s="183"/>
      <c r="D52" s="183"/>
      <c r="E52" s="183"/>
      <c r="F52" s="183"/>
      <c r="G52" s="183"/>
      <c r="H52" s="183"/>
      <c r="I52" s="183"/>
      <c r="J52" s="183"/>
    </row>
  </sheetData>
  <mergeCells count="6">
    <mergeCell ref="D8:D9"/>
    <mergeCell ref="G8:G9"/>
    <mergeCell ref="J8:J9"/>
    <mergeCell ref="B6:D7"/>
    <mergeCell ref="E6:G7"/>
    <mergeCell ref="H6:J7"/>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24.xml><?xml version="1.0" encoding="utf-8"?>
<worksheet xmlns="http://schemas.openxmlformats.org/spreadsheetml/2006/main" xmlns:r="http://schemas.openxmlformats.org/officeDocument/2006/relationships">
  <sheetPr codeName="Sheet25">
    <pageSetUpPr fitToPage="1"/>
  </sheetPr>
  <dimension ref="A1:J53"/>
  <sheetViews>
    <sheetView showGridLines="0" showZeros="0" workbookViewId="0"/>
  </sheetViews>
  <sheetFormatPr defaultColWidth="15.83203125" defaultRowHeight="12"/>
  <cols>
    <col min="1" max="1" width="32.83203125" style="1" customWidth="1"/>
    <col min="2" max="2" width="15.83203125" style="1" customWidth="1"/>
    <col min="3" max="3" width="7.83203125" style="1" customWidth="1"/>
    <col min="4" max="4" width="9.83203125" style="1" customWidth="1"/>
    <col min="5" max="5" width="15.83203125" style="1" customWidth="1"/>
    <col min="6" max="6" width="7.83203125" style="1" customWidth="1"/>
    <col min="7" max="7" width="9.83203125" style="1" customWidth="1"/>
    <col min="8" max="8" width="14.83203125" style="1" customWidth="1"/>
    <col min="9" max="9" width="7.83203125" style="1" customWidth="1"/>
    <col min="10" max="10" width="9.83203125" style="1" customWidth="1"/>
    <col min="11" max="16384" width="15.83203125" style="1"/>
  </cols>
  <sheetData>
    <row r="1" spans="1:10" ht="6.95" customHeight="1">
      <c r="A1" s="6"/>
      <c r="B1" s="7"/>
      <c r="C1" s="7"/>
      <c r="D1" s="7"/>
      <c r="E1" s="7"/>
      <c r="F1" s="7"/>
      <c r="G1" s="7"/>
      <c r="H1" s="7"/>
      <c r="I1" s="7"/>
      <c r="J1" s="7"/>
    </row>
    <row r="2" spans="1:10" ht="15.95" customHeight="1">
      <c r="A2" s="133"/>
      <c r="B2" s="8" t="s">
        <v>266</v>
      </c>
      <c r="C2" s="9"/>
      <c r="D2" s="9"/>
      <c r="E2" s="9"/>
      <c r="F2" s="9"/>
      <c r="G2" s="9"/>
      <c r="H2" s="72"/>
      <c r="I2" s="152"/>
      <c r="J2" s="398" t="s">
        <v>428</v>
      </c>
    </row>
    <row r="3" spans="1:10" ht="15.95" customHeight="1">
      <c r="A3" s="546"/>
      <c r="B3" s="10" t="str">
        <f>OPYEAR</f>
        <v>OPERATING FUND 2014/2015 ACTUAL</v>
      </c>
      <c r="C3" s="11"/>
      <c r="D3" s="11"/>
      <c r="E3" s="11"/>
      <c r="F3" s="11"/>
      <c r="G3" s="11"/>
      <c r="H3" s="74"/>
      <c r="I3" s="74"/>
      <c r="J3" s="65"/>
    </row>
    <row r="4" spans="1:10" ht="15.95" customHeight="1">
      <c r="B4" s="7"/>
      <c r="C4" s="7"/>
      <c r="D4" s="7"/>
      <c r="E4" s="7"/>
      <c r="F4" s="7"/>
      <c r="G4" s="7"/>
      <c r="H4" s="7"/>
      <c r="I4" s="7"/>
      <c r="J4" s="7"/>
    </row>
    <row r="5" spans="1:10" ht="15.95" customHeight="1">
      <c r="B5" s="396" t="s">
        <v>252</v>
      </c>
      <c r="C5" s="171"/>
      <c r="D5" s="172"/>
      <c r="E5" s="180"/>
      <c r="F5" s="180"/>
      <c r="G5" s="181"/>
    </row>
    <row r="6" spans="1:10" ht="15.95" customHeight="1">
      <c r="B6" s="631" t="s">
        <v>523</v>
      </c>
      <c r="C6" s="639"/>
      <c r="D6" s="632"/>
      <c r="E6" s="390"/>
      <c r="F6" s="391"/>
      <c r="G6" s="392"/>
    </row>
    <row r="7" spans="1:10" ht="15.95" customHeight="1">
      <c r="B7" s="633"/>
      <c r="C7" s="640"/>
      <c r="D7" s="634"/>
      <c r="E7" s="636" t="s">
        <v>284</v>
      </c>
      <c r="F7" s="638"/>
      <c r="G7" s="637"/>
    </row>
    <row r="8" spans="1:10" ht="15.95" customHeight="1">
      <c r="A8" s="66"/>
      <c r="B8" s="136"/>
      <c r="C8" s="137"/>
      <c r="D8" s="584" t="s">
        <v>502</v>
      </c>
      <c r="E8" s="136"/>
      <c r="F8" s="138"/>
      <c r="G8" s="584" t="s">
        <v>502</v>
      </c>
    </row>
    <row r="9" spans="1:10" ht="15.95" customHeight="1">
      <c r="A9" s="34" t="s">
        <v>43</v>
      </c>
      <c r="B9" s="76" t="s">
        <v>44</v>
      </c>
      <c r="C9" s="76" t="s">
        <v>45</v>
      </c>
      <c r="D9" s="586"/>
      <c r="E9" s="76" t="s">
        <v>44</v>
      </c>
      <c r="F9" s="76" t="s">
        <v>45</v>
      </c>
      <c r="G9" s="586"/>
    </row>
    <row r="10" spans="1:10" ht="5.0999999999999996" customHeight="1">
      <c r="A10" s="5"/>
    </row>
    <row r="11" spans="1:10" ht="14.1" customHeight="1">
      <c r="A11" s="287" t="s">
        <v>111</v>
      </c>
      <c r="B11" s="288">
        <v>122815</v>
      </c>
      <c r="C11" s="294">
        <f>B11/'- 3 -'!$D11*100</f>
        <v>0.7024721253295152</v>
      </c>
      <c r="D11" s="288">
        <f>B11/'- 7 -'!$E11</f>
        <v>76.807379612257662</v>
      </c>
      <c r="E11" s="288">
        <v>9522</v>
      </c>
      <c r="F11" s="294">
        <f>E11/'- 3 -'!$D11*100</f>
        <v>5.4463539285817243E-2</v>
      </c>
      <c r="G11" s="288">
        <f>E11/'- 7 -'!$E11</f>
        <v>5.9549718574108814</v>
      </c>
    </row>
    <row r="12" spans="1:10" ht="14.1" customHeight="1">
      <c r="A12" s="18" t="s">
        <v>112</v>
      </c>
      <c r="B12" s="19">
        <v>367123</v>
      </c>
      <c r="C12" s="69">
        <f>B12/'- 3 -'!$D12*100</f>
        <v>1.159344600492648</v>
      </c>
      <c r="D12" s="19">
        <f>B12/'- 7 -'!$E12</f>
        <v>172.05127003467993</v>
      </c>
      <c r="E12" s="19">
        <v>136582</v>
      </c>
      <c r="F12" s="69">
        <f>E12/'- 3 -'!$D12*100</f>
        <v>0.43131485694028115</v>
      </c>
      <c r="G12" s="19">
        <f>E12/'- 7 -'!$E12</f>
        <v>64.008810572687239</v>
      </c>
    </row>
    <row r="13" spans="1:10" ht="14.1" customHeight="1">
      <c r="A13" s="287" t="s">
        <v>113</v>
      </c>
      <c r="B13" s="288">
        <v>1056168</v>
      </c>
      <c r="C13" s="294">
        <f>B13/'- 3 -'!$D13*100</f>
        <v>1.2211011704185026</v>
      </c>
      <c r="D13" s="288">
        <f>B13/'- 7 -'!$E13</f>
        <v>131.10327706057598</v>
      </c>
      <c r="E13" s="288">
        <v>57044</v>
      </c>
      <c r="F13" s="294">
        <f>E13/'- 3 -'!$D13*100</f>
        <v>6.5952097739519711E-2</v>
      </c>
      <c r="G13" s="288">
        <f>E13/'- 7 -'!$E13</f>
        <v>7.0809334657398209</v>
      </c>
    </row>
    <row r="14" spans="1:10" ht="14.1" customHeight="1">
      <c r="A14" s="18" t="s">
        <v>365</v>
      </c>
      <c r="B14" s="19">
        <v>556432</v>
      </c>
      <c r="C14" s="69">
        <f>B14/'- 3 -'!$D14*100</f>
        <v>0.71822480733862726</v>
      </c>
      <c r="D14" s="19">
        <f>B14/'- 7 -'!$E14</f>
        <v>106.18931297709923</v>
      </c>
      <c r="E14" s="19">
        <v>4495</v>
      </c>
      <c r="F14" s="69">
        <f>E14/'- 3 -'!$D14*100</f>
        <v>5.8020036751788712E-3</v>
      </c>
      <c r="G14" s="19">
        <f>E14/'- 7 -'!$E14</f>
        <v>0.85782442748091603</v>
      </c>
    </row>
    <row r="15" spans="1:10" ht="14.1" customHeight="1">
      <c r="A15" s="287" t="s">
        <v>114</v>
      </c>
      <c r="B15" s="288">
        <v>353434</v>
      </c>
      <c r="C15" s="294">
        <f>B15/'- 3 -'!$D15*100</f>
        <v>1.7979787250494677</v>
      </c>
      <c r="D15" s="288">
        <f>B15/'- 7 -'!$E15</f>
        <v>243.32805507745266</v>
      </c>
      <c r="E15" s="288">
        <v>8947</v>
      </c>
      <c r="F15" s="294">
        <f>E15/'- 3 -'!$D15*100</f>
        <v>4.5514907035026586E-2</v>
      </c>
      <c r="G15" s="288">
        <f>E15/'- 7 -'!$E15</f>
        <v>6.1597246127366612</v>
      </c>
    </row>
    <row r="16" spans="1:10" ht="14.1" customHeight="1">
      <c r="A16" s="18" t="s">
        <v>115</v>
      </c>
      <c r="B16" s="19">
        <v>82063</v>
      </c>
      <c r="C16" s="69">
        <f>B16/'- 3 -'!$D16*100</f>
        <v>0.60267814029108602</v>
      </c>
      <c r="D16" s="19">
        <f>B16/'- 7 -'!$E16</f>
        <v>89.843442084519381</v>
      </c>
      <c r="E16" s="19">
        <v>42873</v>
      </c>
      <c r="F16" s="69">
        <f>E16/'- 3 -'!$D16*100</f>
        <v>0.31486321373456649</v>
      </c>
      <c r="G16" s="19">
        <f>E16/'- 7 -'!$E16</f>
        <v>46.937814758046862</v>
      </c>
    </row>
    <row r="17" spans="1:7" ht="14.1" customHeight="1">
      <c r="A17" s="287" t="s">
        <v>116</v>
      </c>
      <c r="B17" s="288">
        <v>130053</v>
      </c>
      <c r="C17" s="294">
        <f>B17/'- 3 -'!$D17*100</f>
        <v>0.74900834274107575</v>
      </c>
      <c r="D17" s="288">
        <f>B17/'- 7 -'!$E17</f>
        <v>97.345059880239518</v>
      </c>
      <c r="E17" s="288">
        <v>298125</v>
      </c>
      <c r="F17" s="294">
        <f>E17/'- 3 -'!$D17*100</f>
        <v>1.7169777873611773</v>
      </c>
      <c r="G17" s="288">
        <f>E17/'- 7 -'!$E17</f>
        <v>223.14745508982037</v>
      </c>
    </row>
    <row r="18" spans="1:7" ht="14.1" customHeight="1">
      <c r="A18" s="18" t="s">
        <v>117</v>
      </c>
      <c r="B18" s="19">
        <v>848058</v>
      </c>
      <c r="C18" s="69">
        <f>B18/'- 3 -'!$D18*100</f>
        <v>0.69413837532096279</v>
      </c>
      <c r="D18" s="19">
        <f>B18/'- 7 -'!$E18</f>
        <v>139.75284553917342</v>
      </c>
      <c r="E18" s="19">
        <v>1547567</v>
      </c>
      <c r="F18" s="69">
        <f>E18/'- 3 -'!$D18*100</f>
        <v>1.2666888857605687</v>
      </c>
      <c r="G18" s="19">
        <f>E18/'- 7 -'!$E18</f>
        <v>255.02606179355894</v>
      </c>
    </row>
    <row r="19" spans="1:7" ht="14.1" customHeight="1">
      <c r="A19" s="287" t="s">
        <v>118</v>
      </c>
      <c r="B19" s="288">
        <v>347700</v>
      </c>
      <c r="C19" s="294">
        <f>B19/'- 3 -'!$D19*100</f>
        <v>0.80723050080399172</v>
      </c>
      <c r="D19" s="288">
        <f>B19/'- 7 -'!$E19</f>
        <v>82.485232367802993</v>
      </c>
      <c r="E19" s="288">
        <v>168978</v>
      </c>
      <c r="F19" s="294">
        <f>E19/'- 3 -'!$D19*100</f>
        <v>0.39230427254776223</v>
      </c>
      <c r="G19" s="288">
        <f>E19/'- 7 -'!$E19</f>
        <v>40.086826560387159</v>
      </c>
    </row>
    <row r="20" spans="1:7" ht="14.1" customHeight="1">
      <c r="A20" s="18" t="s">
        <v>119</v>
      </c>
      <c r="B20" s="19">
        <v>756823</v>
      </c>
      <c r="C20" s="69">
        <f>B20/'- 3 -'!$D20*100</f>
        <v>1.0137368419135084</v>
      </c>
      <c r="D20" s="19">
        <f>B20/'- 7 -'!$E20</f>
        <v>102.67575634242301</v>
      </c>
      <c r="E20" s="19">
        <v>159802</v>
      </c>
      <c r="F20" s="69">
        <f>E20/'- 3 -'!$D20*100</f>
        <v>0.21404895835811341</v>
      </c>
      <c r="G20" s="19">
        <f>E20/'- 7 -'!$E20</f>
        <v>21.679826346493012</v>
      </c>
    </row>
    <row r="21" spans="1:7" ht="14.1" customHeight="1">
      <c r="A21" s="287" t="s">
        <v>120</v>
      </c>
      <c r="B21" s="288">
        <v>882958</v>
      </c>
      <c r="C21" s="294">
        <f>B21/'- 3 -'!$D21*100</f>
        <v>2.5364481670690515</v>
      </c>
      <c r="D21" s="288">
        <f>B21/'- 7 -'!$E21</f>
        <v>329.83115427717593</v>
      </c>
      <c r="E21" s="288">
        <v>44385</v>
      </c>
      <c r="F21" s="294">
        <f>E21/'- 3 -'!$D21*100</f>
        <v>0.1275035187351605</v>
      </c>
      <c r="G21" s="288">
        <f>E21/'- 7 -'!$E21</f>
        <v>16.580127007844602</v>
      </c>
    </row>
    <row r="22" spans="1:7" ht="14.1" customHeight="1">
      <c r="A22" s="18" t="s">
        <v>121</v>
      </c>
      <c r="B22" s="19">
        <v>162829</v>
      </c>
      <c r="C22" s="69">
        <f>B22/'- 3 -'!$D22*100</f>
        <v>0.83774007486971691</v>
      </c>
      <c r="D22" s="19">
        <f>B22/'- 7 -'!$E22</f>
        <v>106.29218617403224</v>
      </c>
      <c r="E22" s="19">
        <v>24858</v>
      </c>
      <c r="F22" s="69">
        <f>E22/'- 3 -'!$D22*100</f>
        <v>0.12789210018554079</v>
      </c>
      <c r="G22" s="19">
        <f>E22/'- 7 -'!$E22</f>
        <v>16.226907761603236</v>
      </c>
    </row>
    <row r="23" spans="1:7" ht="14.1" customHeight="1">
      <c r="A23" s="287" t="s">
        <v>122</v>
      </c>
      <c r="B23" s="288">
        <v>277344</v>
      </c>
      <c r="C23" s="294">
        <f>B23/'- 3 -'!$D23*100</f>
        <v>1.7071413912970896</v>
      </c>
      <c r="D23" s="288">
        <f>B23/'- 7 -'!$E23</f>
        <v>247.18716577540107</v>
      </c>
      <c r="E23" s="288">
        <v>25673</v>
      </c>
      <c r="F23" s="294">
        <f>E23/'- 3 -'!$D23*100</f>
        <v>0.15802556009421581</v>
      </c>
      <c r="G23" s="288">
        <f>E23/'- 7 -'!$E23</f>
        <v>22.881461675579324</v>
      </c>
    </row>
    <row r="24" spans="1:7" ht="14.1" customHeight="1">
      <c r="A24" s="18" t="s">
        <v>123</v>
      </c>
      <c r="B24" s="19">
        <v>578592</v>
      </c>
      <c r="C24" s="69">
        <f>B24/'- 3 -'!$D24*100</f>
        <v>1.0670835419747799</v>
      </c>
      <c r="D24" s="19">
        <f>B24/'- 7 -'!$E24</f>
        <v>142.96459193002397</v>
      </c>
      <c r="E24" s="19">
        <v>71444</v>
      </c>
      <c r="F24" s="69">
        <f>E24/'- 3 -'!$D24*100</f>
        <v>0.13176247955873252</v>
      </c>
      <c r="G24" s="19">
        <f>E24/'- 7 -'!$E24</f>
        <v>17.653134343109883</v>
      </c>
    </row>
    <row r="25" spans="1:7" ht="14.1" customHeight="1">
      <c r="A25" s="287" t="s">
        <v>124</v>
      </c>
      <c r="B25" s="288">
        <v>1476709</v>
      </c>
      <c r="C25" s="294">
        <f>B25/'- 3 -'!$D25*100</f>
        <v>0.9243328189537362</v>
      </c>
      <c r="D25" s="288">
        <f>B25/'- 7 -'!$E25</f>
        <v>106.28470048006679</v>
      </c>
      <c r="E25" s="288">
        <v>278451</v>
      </c>
      <c r="F25" s="294">
        <f>E25/'- 3 -'!$D25*100</f>
        <v>0.17429391828077623</v>
      </c>
      <c r="G25" s="288">
        <f>E25/'- 7 -'!$E25</f>
        <v>20.041241120203832</v>
      </c>
    </row>
    <row r="26" spans="1:7" ht="14.1" customHeight="1">
      <c r="A26" s="18" t="s">
        <v>125</v>
      </c>
      <c r="B26" s="19">
        <v>254573</v>
      </c>
      <c r="C26" s="69">
        <f>B26/'- 3 -'!$D26*100</f>
        <v>0.65436164929168505</v>
      </c>
      <c r="D26" s="19">
        <f>B26/'- 7 -'!$E26</f>
        <v>81.922123893805306</v>
      </c>
      <c r="E26" s="19">
        <v>262833</v>
      </c>
      <c r="F26" s="69">
        <f>E26/'- 3 -'!$D26*100</f>
        <v>0.67559338723384432</v>
      </c>
      <c r="G26" s="19">
        <f>E26/'- 7 -'!$E26</f>
        <v>84.580209171359613</v>
      </c>
    </row>
    <row r="27" spans="1:7" ht="14.1" customHeight="1">
      <c r="A27" s="287" t="s">
        <v>126</v>
      </c>
      <c r="B27" s="288">
        <v>246707</v>
      </c>
      <c r="C27" s="294">
        <f>B27/'- 3 -'!$D27*100</f>
        <v>0.63177792757571971</v>
      </c>
      <c r="D27" s="288">
        <f>B27/'- 7 -'!$E27</f>
        <v>86.336657917760277</v>
      </c>
      <c r="E27" s="288">
        <v>4104</v>
      </c>
      <c r="F27" s="294">
        <f>E27/'- 3 -'!$D27*100</f>
        <v>1.0509700230519416E-2</v>
      </c>
      <c r="G27" s="288">
        <f>E27/'- 7 -'!$E27</f>
        <v>1.4362204724409449</v>
      </c>
    </row>
    <row r="28" spans="1:7" ht="14.1" customHeight="1">
      <c r="A28" s="18" t="s">
        <v>127</v>
      </c>
      <c r="B28" s="19">
        <v>357454</v>
      </c>
      <c r="C28" s="69">
        <f>B28/'- 3 -'!$D28*100</f>
        <v>1.2998972494452907</v>
      </c>
      <c r="D28" s="19">
        <f>B28/'- 7 -'!$E28</f>
        <v>178.63768115942028</v>
      </c>
      <c r="E28" s="19">
        <v>0</v>
      </c>
      <c r="F28" s="69">
        <f>E28/'- 3 -'!$D28*100</f>
        <v>0</v>
      </c>
      <c r="G28" s="19">
        <f>E28/'- 7 -'!$E28</f>
        <v>0</v>
      </c>
    </row>
    <row r="29" spans="1:7" ht="14.1" customHeight="1">
      <c r="A29" s="287" t="s">
        <v>128</v>
      </c>
      <c r="B29" s="288">
        <v>1434774</v>
      </c>
      <c r="C29" s="294">
        <f>B29/'- 3 -'!$D29*100</f>
        <v>0.98350502357874015</v>
      </c>
      <c r="D29" s="288">
        <f>B29/'- 7 -'!$E29</f>
        <v>115.3614961566912</v>
      </c>
      <c r="E29" s="288">
        <v>465862</v>
      </c>
      <c r="F29" s="294">
        <f>E29/'- 3 -'!$D29*100</f>
        <v>0.31933783111098962</v>
      </c>
      <c r="G29" s="288">
        <f>E29/'- 7 -'!$E29</f>
        <v>37.457144694947416</v>
      </c>
    </row>
    <row r="30" spans="1:7" ht="14.1" customHeight="1">
      <c r="A30" s="18" t="s">
        <v>129</v>
      </c>
      <c r="B30" s="19">
        <v>137213</v>
      </c>
      <c r="C30" s="69">
        <f>B30/'- 3 -'!$D30*100</f>
        <v>1.009208077665767</v>
      </c>
      <c r="D30" s="19">
        <f>B30/'- 7 -'!$E30</f>
        <v>131.49305222807857</v>
      </c>
      <c r="E30" s="19">
        <v>3485</v>
      </c>
      <c r="F30" s="69">
        <f>E30/'- 3 -'!$D30*100</f>
        <v>2.5632339141810165E-2</v>
      </c>
      <c r="G30" s="19">
        <f>E30/'- 7 -'!$E30</f>
        <v>3.3397220891231432</v>
      </c>
    </row>
    <row r="31" spans="1:7" ht="14.1" customHeight="1">
      <c r="A31" s="287" t="s">
        <v>130</v>
      </c>
      <c r="B31" s="288">
        <v>224250</v>
      </c>
      <c r="C31" s="294">
        <f>B31/'- 3 -'!$D31*100</f>
        <v>0.63436133815872275</v>
      </c>
      <c r="D31" s="288">
        <f>B31/'- 7 -'!$E31</f>
        <v>69.042487684729068</v>
      </c>
      <c r="E31" s="288">
        <v>400637</v>
      </c>
      <c r="F31" s="294">
        <f>E31/'- 3 -'!$D31*100</f>
        <v>1.1333271948089017</v>
      </c>
      <c r="G31" s="288">
        <f>E31/'- 7 -'!$E31</f>
        <v>123.34883004926108</v>
      </c>
    </row>
    <row r="32" spans="1:7" ht="14.1" customHeight="1">
      <c r="A32" s="18" t="s">
        <v>131</v>
      </c>
      <c r="B32" s="19">
        <v>159015</v>
      </c>
      <c r="C32" s="69">
        <f>B32/'- 3 -'!$D32*100</f>
        <v>0.60220406346389721</v>
      </c>
      <c r="D32" s="19">
        <f>B32/'- 7 -'!$E32</f>
        <v>75.938395415472783</v>
      </c>
      <c r="E32" s="19">
        <v>1785</v>
      </c>
      <c r="F32" s="69">
        <f>E32/'- 3 -'!$D32*100</f>
        <v>6.7599550563346633E-3</v>
      </c>
      <c r="G32" s="19">
        <f>E32/'- 7 -'!$E32</f>
        <v>0.85243553008595985</v>
      </c>
    </row>
    <row r="33" spans="1:7" ht="14.1" customHeight="1">
      <c r="A33" s="287" t="s">
        <v>132</v>
      </c>
      <c r="B33" s="288">
        <v>306345</v>
      </c>
      <c r="C33" s="294">
        <f>B33/'- 3 -'!$D33*100</f>
        <v>1.1624725646684537</v>
      </c>
      <c r="D33" s="288">
        <f>B33/'- 7 -'!$E33</f>
        <v>152.67630201844008</v>
      </c>
      <c r="E33" s="288">
        <v>4873</v>
      </c>
      <c r="F33" s="294">
        <f>E33/'- 3 -'!$D33*100</f>
        <v>1.8491337569176501E-2</v>
      </c>
      <c r="G33" s="288">
        <f>E33/'- 7 -'!$E33</f>
        <v>2.4286070271617244</v>
      </c>
    </row>
    <row r="34" spans="1:7" ht="14.1" customHeight="1">
      <c r="A34" s="18" t="s">
        <v>133</v>
      </c>
      <c r="B34" s="19">
        <v>210800</v>
      </c>
      <c r="C34" s="69">
        <f>B34/'- 3 -'!$D34*100</f>
        <v>0.7952521785024248</v>
      </c>
      <c r="D34" s="19">
        <f>B34/'- 7 -'!$E34</f>
        <v>105.88920814161426</v>
      </c>
      <c r="E34" s="19">
        <v>91909</v>
      </c>
      <c r="F34" s="69">
        <f>E34/'- 3 -'!$D34*100</f>
        <v>0.34673070433576547</v>
      </c>
      <c r="G34" s="19">
        <f>E34/'- 7 -'!$E34</f>
        <v>46.167795213888162</v>
      </c>
    </row>
    <row r="35" spans="1:7" ht="14.1" customHeight="1">
      <c r="A35" s="287" t="s">
        <v>134</v>
      </c>
      <c r="B35" s="288">
        <v>1933836</v>
      </c>
      <c r="C35" s="294">
        <f>B35/'- 3 -'!$D35*100</f>
        <v>1.1066112606065868</v>
      </c>
      <c r="D35" s="288">
        <f>B35/'- 7 -'!$E35</f>
        <v>124.37044182905653</v>
      </c>
      <c r="E35" s="288">
        <v>446799</v>
      </c>
      <c r="F35" s="294">
        <f>E35/'- 3 -'!$D35*100</f>
        <v>0.25567463043803218</v>
      </c>
      <c r="G35" s="288">
        <f>E35/'- 7 -'!$E35</f>
        <v>28.73490256608142</v>
      </c>
    </row>
    <row r="36" spans="1:7" ht="14.1" customHeight="1">
      <c r="A36" s="18" t="s">
        <v>135</v>
      </c>
      <c r="B36" s="19">
        <v>209945</v>
      </c>
      <c r="C36" s="69">
        <f>B36/'- 3 -'!$D36*100</f>
        <v>0.96148007066989583</v>
      </c>
      <c r="D36" s="19">
        <f>B36/'- 7 -'!$E36</f>
        <v>127.31655548817466</v>
      </c>
      <c r="E36" s="19">
        <v>8841</v>
      </c>
      <c r="F36" s="69">
        <f>E36/'- 3 -'!$D36*100</f>
        <v>4.0488915214901749E-2</v>
      </c>
      <c r="G36" s="19">
        <f>E36/'- 7 -'!$E36</f>
        <v>5.3614311704063065</v>
      </c>
    </row>
    <row r="37" spans="1:7" ht="14.1" customHeight="1">
      <c r="A37" s="287" t="s">
        <v>136</v>
      </c>
      <c r="B37" s="288">
        <v>416905</v>
      </c>
      <c r="C37" s="294">
        <f>B37/'- 3 -'!$D37*100</f>
        <v>0.92494267820252396</v>
      </c>
      <c r="D37" s="288">
        <f>B37/'- 7 -'!$E37</f>
        <v>105.46546926385024</v>
      </c>
      <c r="E37" s="288">
        <v>77368</v>
      </c>
      <c r="F37" s="294">
        <f>E37/'- 3 -'!$D37*100</f>
        <v>0.17164813357281125</v>
      </c>
      <c r="G37" s="288">
        <f>E37/'- 7 -'!$E37</f>
        <v>19.571970655198584</v>
      </c>
    </row>
    <row r="38" spans="1:7" ht="14.1" customHeight="1">
      <c r="A38" s="18" t="s">
        <v>137</v>
      </c>
      <c r="B38" s="19">
        <v>945838</v>
      </c>
      <c r="C38" s="69">
        <f>B38/'- 3 -'!$D38*100</f>
        <v>0.77494181697268405</v>
      </c>
      <c r="D38" s="19">
        <f>B38/'- 7 -'!$E38</f>
        <v>89.774575965526722</v>
      </c>
      <c r="E38" s="19">
        <v>1542477</v>
      </c>
      <c r="F38" s="69">
        <f>E38/'- 3 -'!$D38*100</f>
        <v>1.2637787115960393</v>
      </c>
      <c r="G38" s="19">
        <f>E38/'- 7 -'!$E38</f>
        <v>146.40479512514591</v>
      </c>
    </row>
    <row r="39" spans="1:7" ht="14.1" customHeight="1">
      <c r="A39" s="287" t="s">
        <v>138</v>
      </c>
      <c r="B39" s="288">
        <v>156766</v>
      </c>
      <c r="C39" s="294">
        <f>B39/'- 3 -'!$D39*100</f>
        <v>0.77644546016203697</v>
      </c>
      <c r="D39" s="288">
        <f>B39/'- 7 -'!$E39</f>
        <v>101.36825088910443</v>
      </c>
      <c r="E39" s="288">
        <v>57045</v>
      </c>
      <c r="F39" s="294">
        <f>E39/'- 3 -'!$D39*100</f>
        <v>0.28253786710730255</v>
      </c>
      <c r="G39" s="288">
        <f>E39/'- 7 -'!$E39</f>
        <v>36.886517943743939</v>
      </c>
    </row>
    <row r="40" spans="1:7" ht="14.1" customHeight="1">
      <c r="A40" s="18" t="s">
        <v>139</v>
      </c>
      <c r="B40" s="19">
        <v>960720</v>
      </c>
      <c r="C40" s="69">
        <f>B40/'- 3 -'!$D40*100</f>
        <v>0.98259696126223572</v>
      </c>
      <c r="D40" s="19">
        <f>B40/'- 7 -'!$E40</f>
        <v>121.84765238566318</v>
      </c>
      <c r="E40" s="19">
        <v>119662</v>
      </c>
      <c r="F40" s="69">
        <f>E40/'- 3 -'!$D40*100</f>
        <v>0.12238687398884343</v>
      </c>
      <c r="G40" s="19">
        <f>E40/'- 7 -'!$E40</f>
        <v>15.176673515460518</v>
      </c>
    </row>
    <row r="41" spans="1:7" ht="14.1" customHeight="1">
      <c r="A41" s="287" t="s">
        <v>140</v>
      </c>
      <c r="B41" s="288">
        <v>331849</v>
      </c>
      <c r="C41" s="294">
        <f>B41/'- 3 -'!$D41*100</f>
        <v>0.55541303137965048</v>
      </c>
      <c r="D41" s="288">
        <f>B41/'- 7 -'!$E41</f>
        <v>76.190793249913895</v>
      </c>
      <c r="E41" s="288">
        <v>34681</v>
      </c>
      <c r="F41" s="294">
        <f>E41/'- 3 -'!$D41*100</f>
        <v>5.8045313806212029E-2</v>
      </c>
      <c r="G41" s="288">
        <f>E41/'- 7 -'!$E41</f>
        <v>7.9625760532659857</v>
      </c>
    </row>
    <row r="42" spans="1:7" ht="14.1" customHeight="1">
      <c r="A42" s="18" t="s">
        <v>141</v>
      </c>
      <c r="B42" s="19">
        <v>182033</v>
      </c>
      <c r="C42" s="69">
        <f>B42/'- 3 -'!$D42*100</f>
        <v>0.91476383798087313</v>
      </c>
      <c r="D42" s="19">
        <f>B42/'- 7 -'!$E42</f>
        <v>129.15637860082305</v>
      </c>
      <c r="E42" s="19">
        <v>2938</v>
      </c>
      <c r="F42" s="69">
        <f>E42/'- 3 -'!$D42*100</f>
        <v>1.4764224926182646E-2</v>
      </c>
      <c r="G42" s="19">
        <f>E42/'- 7 -'!$E42</f>
        <v>2.0845749964523907</v>
      </c>
    </row>
    <row r="43" spans="1:7" ht="14.1" customHeight="1">
      <c r="A43" s="287" t="s">
        <v>142</v>
      </c>
      <c r="B43" s="288">
        <v>146877</v>
      </c>
      <c r="C43" s="294">
        <f>B43/'- 3 -'!$D43*100</f>
        <v>1.1467115804542578</v>
      </c>
      <c r="D43" s="288">
        <f>B43/'- 7 -'!$E43</f>
        <v>152.48383044548032</v>
      </c>
      <c r="E43" s="288">
        <v>8766</v>
      </c>
      <c r="F43" s="294">
        <f>E43/'- 3 -'!$D43*100</f>
        <v>6.8438718889016148E-2</v>
      </c>
      <c r="G43" s="288">
        <f>E43/'- 7 -'!$E43</f>
        <v>9.100630171402468</v>
      </c>
    </row>
    <row r="44" spans="1:7" ht="14.1" customHeight="1">
      <c r="A44" s="18" t="s">
        <v>143</v>
      </c>
      <c r="B44" s="19">
        <v>64438</v>
      </c>
      <c r="C44" s="69">
        <f>B44/'- 3 -'!$D44*100</f>
        <v>0.61119828935047826</v>
      </c>
      <c r="D44" s="19">
        <f>B44/'- 7 -'!$E44</f>
        <v>92.716546762589928</v>
      </c>
      <c r="E44" s="19">
        <v>73322</v>
      </c>
      <c r="F44" s="69">
        <f>E44/'- 3 -'!$D44*100</f>
        <v>0.69546356143511234</v>
      </c>
      <c r="G44" s="19">
        <f>E44/'- 7 -'!$E44</f>
        <v>105.49928057553957</v>
      </c>
    </row>
    <row r="45" spans="1:7" ht="14.1" customHeight="1">
      <c r="A45" s="287" t="s">
        <v>144</v>
      </c>
      <c r="B45" s="288">
        <v>141017</v>
      </c>
      <c r="C45" s="294">
        <f>B45/'- 3 -'!$D45*100</f>
        <v>0.80755533277605362</v>
      </c>
      <c r="D45" s="288">
        <f>B45/'- 7 -'!$E45</f>
        <v>87.751711263223399</v>
      </c>
      <c r="E45" s="288">
        <v>183019</v>
      </c>
      <c r="F45" s="294">
        <f>E45/'- 3 -'!$D45*100</f>
        <v>1.0480861842851612</v>
      </c>
      <c r="G45" s="288">
        <f>E45/'- 7 -'!$E45</f>
        <v>113.88861232109521</v>
      </c>
    </row>
    <row r="46" spans="1:7" ht="14.1" customHeight="1">
      <c r="A46" s="18" t="s">
        <v>145</v>
      </c>
      <c r="B46" s="19">
        <v>2770513</v>
      </c>
      <c r="C46" s="69">
        <f>B46/'- 3 -'!$D46*100</f>
        <v>0.75339634605112149</v>
      </c>
      <c r="D46" s="19">
        <f>B46/'- 7 -'!$E46</f>
        <v>92.646903424291068</v>
      </c>
      <c r="E46" s="19">
        <v>2997298</v>
      </c>
      <c r="F46" s="69">
        <f>E46/'- 3 -'!$D46*100</f>
        <v>0.81506687072983763</v>
      </c>
      <c r="G46" s="19">
        <f>E46/'- 7 -'!$E46</f>
        <v>100.23067148207598</v>
      </c>
    </row>
    <row r="47" spans="1:7" ht="5.0999999999999996" customHeight="1">
      <c r="A47" s="20"/>
      <c r="B47" s="21"/>
      <c r="C47"/>
      <c r="D47" s="21"/>
      <c r="E47" s="21"/>
      <c r="F47"/>
      <c r="G47"/>
    </row>
    <row r="48" spans="1:7" ht="14.1" customHeight="1">
      <c r="A48" s="289" t="s">
        <v>146</v>
      </c>
      <c r="B48" s="290">
        <f>SUM(B11:B46)</f>
        <v>19590969</v>
      </c>
      <c r="C48" s="297">
        <f>B48/'- 3 -'!$D48*100</f>
        <v>0.91651219139793683</v>
      </c>
      <c r="D48" s="290">
        <f>B48/'- 7 -'!$E48</f>
        <v>113.57408728110822</v>
      </c>
      <c r="E48" s="290">
        <f>SUM(E11:E46)</f>
        <v>9666450</v>
      </c>
      <c r="F48" s="297">
        <f>E48/'- 3 -'!$D48*100</f>
        <v>0.45221955445586104</v>
      </c>
      <c r="G48" s="290">
        <f>E48/'- 7 -'!$E48</f>
        <v>56.03899613125153</v>
      </c>
    </row>
    <row r="49" spans="1:10" ht="5.0999999999999996" customHeight="1">
      <c r="A49" s="20" t="s">
        <v>8</v>
      </c>
      <c r="B49" s="21"/>
      <c r="C49"/>
      <c r="D49" s="21"/>
      <c r="E49" s="21"/>
      <c r="F49"/>
      <c r="G49"/>
    </row>
    <row r="50" spans="1:10" ht="14.1" customHeight="1">
      <c r="A50" s="18" t="s">
        <v>147</v>
      </c>
      <c r="B50" s="19">
        <v>36649</v>
      </c>
      <c r="C50" s="69">
        <f>B50/'- 3 -'!$D50*100</f>
        <v>1.1282770569913987</v>
      </c>
      <c r="D50" s="19">
        <f>B50/'- 7 -'!$E50</f>
        <v>220.24639423076923</v>
      </c>
      <c r="E50" s="19">
        <v>11772</v>
      </c>
      <c r="F50" s="69">
        <f>E50/'- 3 -'!$D50*100</f>
        <v>0.36241309489761647</v>
      </c>
      <c r="G50" s="19">
        <f>E50/'- 7 -'!$E50</f>
        <v>70.745192307692307</v>
      </c>
    </row>
    <row r="51" spans="1:10" ht="14.1" customHeight="1">
      <c r="A51" s="287" t="s">
        <v>643</v>
      </c>
      <c r="B51" s="288">
        <v>24563</v>
      </c>
      <c r="C51" s="294">
        <f>B51/'- 3 -'!$D51*100</f>
        <v>0.11016559373729477</v>
      </c>
      <c r="D51" s="288">
        <f>B51/'- 7 -'!$E51</f>
        <v>33.059219380888294</v>
      </c>
      <c r="E51" s="288">
        <v>39572</v>
      </c>
      <c r="F51" s="294">
        <f>E51/'- 3 -'!$D51*100</f>
        <v>0.17748128792786827</v>
      </c>
      <c r="G51" s="288">
        <f>E51/'- 7 -'!$E51</f>
        <v>53.259757738896369</v>
      </c>
    </row>
    <row r="52" spans="1:10" ht="50.1" customHeight="1">
      <c r="A52" s="22"/>
      <c r="B52" s="22"/>
      <c r="C52" s="22"/>
      <c r="D52" s="22"/>
      <c r="E52" s="22"/>
      <c r="F52" s="22"/>
      <c r="G52" s="22"/>
      <c r="H52" s="22"/>
      <c r="I52" s="22"/>
      <c r="J52" s="22"/>
    </row>
    <row r="53" spans="1:10" ht="15" customHeight="1">
      <c r="A53" s="84" t="s">
        <v>351</v>
      </c>
    </row>
  </sheetData>
  <mergeCells count="4">
    <mergeCell ref="D8:D9"/>
    <mergeCell ref="G8:G9"/>
    <mergeCell ref="B6:D7"/>
    <mergeCell ref="E7:G7"/>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25.xml><?xml version="1.0" encoding="utf-8"?>
<worksheet xmlns="http://schemas.openxmlformats.org/spreadsheetml/2006/main" xmlns:r="http://schemas.openxmlformats.org/officeDocument/2006/relationships">
  <sheetPr codeName="Sheet27">
    <pageSetUpPr fitToPage="1"/>
  </sheetPr>
  <dimension ref="A1:G52"/>
  <sheetViews>
    <sheetView showGridLines="0" showZeros="0" workbookViewId="0"/>
  </sheetViews>
  <sheetFormatPr defaultColWidth="15.83203125" defaultRowHeight="12"/>
  <cols>
    <col min="1" max="1" width="32.83203125" style="1" customWidth="1"/>
    <col min="2" max="2" width="16.83203125" style="1" customWidth="1"/>
    <col min="3" max="3" width="15.83203125" style="1"/>
    <col min="4" max="4" width="17.83203125" style="1" customWidth="1"/>
    <col min="5" max="5" width="15.83203125" style="1"/>
    <col min="6" max="6" width="17.83203125" style="1" customWidth="1"/>
    <col min="7" max="16384" width="15.83203125" style="1"/>
  </cols>
  <sheetData>
    <row r="1" spans="1:7" ht="6.95" customHeight="1">
      <c r="A1" s="6"/>
      <c r="B1" s="7"/>
      <c r="C1" s="7"/>
      <c r="D1" s="7"/>
      <c r="E1" s="7"/>
      <c r="F1" s="7"/>
      <c r="G1" s="7"/>
    </row>
    <row r="2" spans="1:7" ht="15.95" customHeight="1">
      <c r="A2" s="133"/>
      <c r="B2" s="8" t="s">
        <v>266</v>
      </c>
      <c r="C2" s="9"/>
      <c r="D2" s="9"/>
      <c r="E2" s="9"/>
      <c r="F2" s="72"/>
      <c r="G2" s="398" t="s">
        <v>429</v>
      </c>
    </row>
    <row r="3" spans="1:7" ht="15.95" customHeight="1">
      <c r="A3" s="10"/>
      <c r="B3" s="10" t="str">
        <f>OPYEAR</f>
        <v>OPERATING FUND 2014/2015 ACTUAL</v>
      </c>
      <c r="C3" s="11"/>
      <c r="D3" s="11"/>
      <c r="E3" s="11"/>
      <c r="F3" s="74"/>
      <c r="G3" s="65"/>
    </row>
    <row r="4" spans="1:7" ht="15.95" customHeight="1">
      <c r="B4" s="7"/>
      <c r="C4" s="7"/>
      <c r="D4" s="7"/>
      <c r="E4" s="7"/>
      <c r="F4" s="7"/>
      <c r="G4" s="7"/>
    </row>
    <row r="5" spans="1:7" ht="15.95" customHeight="1">
      <c r="B5" s="7"/>
      <c r="C5" s="7"/>
      <c r="D5" s="7"/>
      <c r="E5" s="7"/>
      <c r="F5" s="7"/>
      <c r="G5" s="7"/>
    </row>
    <row r="6" spans="1:7" ht="15.95" customHeight="1">
      <c r="B6" s="163" t="s">
        <v>16</v>
      </c>
      <c r="C6" s="164"/>
      <c r="D6" s="165"/>
      <c r="E6" s="165"/>
      <c r="F6" s="165"/>
      <c r="G6" s="166"/>
    </row>
    <row r="7" spans="1:7" ht="15.95" customHeight="1">
      <c r="B7" s="312"/>
      <c r="C7" s="313"/>
      <c r="D7" s="312"/>
      <c r="E7" s="313"/>
      <c r="F7" s="631" t="s">
        <v>524</v>
      </c>
      <c r="G7" s="632"/>
    </row>
    <row r="8" spans="1:7" ht="15.95" customHeight="1">
      <c r="A8" s="66"/>
      <c r="B8" s="677" t="s">
        <v>20</v>
      </c>
      <c r="C8" s="637"/>
      <c r="D8" s="636" t="s">
        <v>35</v>
      </c>
      <c r="E8" s="637"/>
      <c r="F8" s="633"/>
      <c r="G8" s="634"/>
    </row>
    <row r="9" spans="1:7" ht="15.95" customHeight="1">
      <c r="A9" s="34" t="s">
        <v>43</v>
      </c>
      <c r="B9" s="167" t="s">
        <v>44</v>
      </c>
      <c r="C9" s="167" t="s">
        <v>45</v>
      </c>
      <c r="D9" s="167" t="s">
        <v>44</v>
      </c>
      <c r="E9" s="167" t="s">
        <v>45</v>
      </c>
      <c r="F9" s="167" t="s">
        <v>44</v>
      </c>
      <c r="G9" s="167" t="s">
        <v>45</v>
      </c>
    </row>
    <row r="10" spans="1:7" ht="5.0999999999999996" customHeight="1">
      <c r="A10" s="5"/>
    </row>
    <row r="11" spans="1:7" ht="14.1" customHeight="1">
      <c r="A11" s="287" t="s">
        <v>111</v>
      </c>
      <c r="B11" s="288">
        <v>66097</v>
      </c>
      <c r="C11" s="294">
        <f>B11/'- 3 -'!$D11*100</f>
        <v>0.37805886958356039</v>
      </c>
      <c r="D11" s="288">
        <v>1000177</v>
      </c>
      <c r="E11" s="294">
        <f>D11/'- 3 -'!$D11*100</f>
        <v>5.7207707763359412</v>
      </c>
      <c r="F11" s="288">
        <v>6178</v>
      </c>
      <c r="G11" s="294">
        <f>F11/'- 3 -'!$D11*100</f>
        <v>3.5336667266097348E-2</v>
      </c>
    </row>
    <row r="12" spans="1:7" ht="14.1" customHeight="1">
      <c r="A12" s="18" t="s">
        <v>112</v>
      </c>
      <c r="B12" s="19">
        <v>103971</v>
      </c>
      <c r="C12" s="69">
        <f>B12/'- 3 -'!$D12*100</f>
        <v>0.32833196900717498</v>
      </c>
      <c r="D12" s="19">
        <v>2117381</v>
      </c>
      <c r="E12" s="69">
        <f>D12/'- 3 -'!$D12*100</f>
        <v>6.6865171333196871</v>
      </c>
      <c r="F12" s="19">
        <v>0</v>
      </c>
      <c r="G12" s="69">
        <f>F12/'- 3 -'!$D12*100</f>
        <v>0</v>
      </c>
    </row>
    <row r="13" spans="1:7" ht="14.1" customHeight="1">
      <c r="A13" s="287" t="s">
        <v>113</v>
      </c>
      <c r="B13" s="288">
        <v>194183</v>
      </c>
      <c r="C13" s="294">
        <f>B13/'- 3 -'!$D13*100</f>
        <v>0.22450698049493648</v>
      </c>
      <c r="D13" s="288">
        <v>1949666</v>
      </c>
      <c r="E13" s="294">
        <f>D13/'- 3 -'!$D13*100</f>
        <v>2.2541294893664268</v>
      </c>
      <c r="F13" s="288">
        <v>0</v>
      </c>
      <c r="G13" s="294">
        <f>F13/'- 3 -'!$D13*100</f>
        <v>0</v>
      </c>
    </row>
    <row r="14" spans="1:7" ht="14.1" customHeight="1">
      <c r="A14" s="18" t="s">
        <v>365</v>
      </c>
      <c r="B14" s="19">
        <v>197857</v>
      </c>
      <c r="C14" s="69">
        <f>B14/'- 3 -'!$D14*100</f>
        <v>0.25538755086982556</v>
      </c>
      <c r="D14" s="19">
        <v>7206599</v>
      </c>
      <c r="E14" s="69">
        <f>D14/'- 3 -'!$D14*100</f>
        <v>9.3020498072392375</v>
      </c>
      <c r="F14" s="19">
        <v>258362</v>
      </c>
      <c r="G14" s="69">
        <f>F14/'- 3 -'!$D14*100</f>
        <v>0.33348548910490844</v>
      </c>
    </row>
    <row r="15" spans="1:7" ht="14.1" customHeight="1">
      <c r="A15" s="287" t="s">
        <v>114</v>
      </c>
      <c r="B15" s="288">
        <v>88045</v>
      </c>
      <c r="C15" s="294">
        <f>B15/'- 3 -'!$D15*100</f>
        <v>0.44789985357090828</v>
      </c>
      <c r="D15" s="288">
        <v>1548707</v>
      </c>
      <c r="E15" s="294">
        <f>D15/'- 3 -'!$D15*100</f>
        <v>7.8785352776902782</v>
      </c>
      <c r="F15" s="288">
        <v>1982</v>
      </c>
      <c r="G15" s="294">
        <f>F15/'- 3 -'!$D15*100</f>
        <v>1.0082770285394288E-2</v>
      </c>
    </row>
    <row r="16" spans="1:7" ht="14.1" customHeight="1">
      <c r="A16" s="18" t="s">
        <v>115</v>
      </c>
      <c r="B16" s="19">
        <v>0</v>
      </c>
      <c r="C16" s="69">
        <f>B16/'- 3 -'!$D16*100</f>
        <v>0</v>
      </c>
      <c r="D16" s="19">
        <v>350226</v>
      </c>
      <c r="E16" s="69">
        <f>D16/'- 3 -'!$D16*100</f>
        <v>2.5720916169477825</v>
      </c>
      <c r="F16" s="19">
        <v>0</v>
      </c>
      <c r="G16" s="69">
        <f>F16/'- 3 -'!$D16*100</f>
        <v>0</v>
      </c>
    </row>
    <row r="17" spans="1:7" ht="14.1" customHeight="1">
      <c r="A17" s="287" t="s">
        <v>116</v>
      </c>
      <c r="B17" s="288">
        <v>52347</v>
      </c>
      <c r="C17" s="294">
        <f>B17/'- 3 -'!$D17*100</f>
        <v>0.30147970225575027</v>
      </c>
      <c r="D17" s="288">
        <v>1350827</v>
      </c>
      <c r="E17" s="294">
        <f>D17/'- 3 -'!$D17*100</f>
        <v>7.7797566576695596</v>
      </c>
      <c r="F17" s="288">
        <v>0</v>
      </c>
      <c r="G17" s="294">
        <f>F17/'- 3 -'!$D17*100</f>
        <v>0</v>
      </c>
    </row>
    <row r="18" spans="1:7" ht="14.1" customHeight="1">
      <c r="A18" s="18" t="s">
        <v>117</v>
      </c>
      <c r="B18" s="19">
        <v>312045</v>
      </c>
      <c r="C18" s="69">
        <f>B18/'- 3 -'!$D18*100</f>
        <v>0.2554099004160445</v>
      </c>
      <c r="D18" s="19">
        <v>7361228</v>
      </c>
      <c r="E18" s="69">
        <f>D18/'- 3 -'!$D18*100</f>
        <v>6.0251903104353479</v>
      </c>
      <c r="F18" s="19">
        <v>92122</v>
      </c>
      <c r="G18" s="69">
        <f>F18/'- 3 -'!$D18*100</f>
        <v>7.5402172270431667E-2</v>
      </c>
    </row>
    <row r="19" spans="1:7" ht="14.1" customHeight="1">
      <c r="A19" s="287" t="s">
        <v>118</v>
      </c>
      <c r="B19" s="288">
        <v>147818</v>
      </c>
      <c r="C19" s="294">
        <f>B19/'- 3 -'!$D19*100</f>
        <v>0.34317859697395586</v>
      </c>
      <c r="D19" s="288">
        <v>2357228</v>
      </c>
      <c r="E19" s="294">
        <f>D19/'- 3 -'!$D19*100</f>
        <v>5.4726095454391483</v>
      </c>
      <c r="F19" s="288">
        <v>24658</v>
      </c>
      <c r="G19" s="294">
        <f>F19/'- 3 -'!$D19*100</f>
        <v>5.7246734796735213E-2</v>
      </c>
    </row>
    <row r="20" spans="1:7" ht="14.1" customHeight="1">
      <c r="A20" s="18" t="s">
        <v>119</v>
      </c>
      <c r="B20" s="19">
        <v>202730</v>
      </c>
      <c r="C20" s="69">
        <f>B20/'- 3 -'!$D20*100</f>
        <v>0.27154945074492393</v>
      </c>
      <c r="D20" s="19">
        <v>2858230</v>
      </c>
      <c r="E20" s="69">
        <f>D20/'- 3 -'!$D20*100</f>
        <v>3.8284949765829621</v>
      </c>
      <c r="F20" s="19">
        <v>2572</v>
      </c>
      <c r="G20" s="69">
        <f>F20/'- 3 -'!$D20*100</f>
        <v>3.4451003172492689E-3</v>
      </c>
    </row>
    <row r="21" spans="1:7" ht="14.1" customHeight="1">
      <c r="A21" s="287" t="s">
        <v>120</v>
      </c>
      <c r="B21" s="288">
        <v>147854</v>
      </c>
      <c r="C21" s="294">
        <f>B21/'- 3 -'!$D21*100</f>
        <v>0.42473595266572983</v>
      </c>
      <c r="D21" s="288">
        <v>1916508</v>
      </c>
      <c r="E21" s="294">
        <f>D21/'- 3 -'!$D21*100</f>
        <v>5.5054976610135178</v>
      </c>
      <c r="F21" s="288">
        <v>0</v>
      </c>
      <c r="G21" s="294">
        <f>F21/'- 3 -'!$D21*100</f>
        <v>0</v>
      </c>
    </row>
    <row r="22" spans="1:7" ht="14.1" customHeight="1">
      <c r="A22" s="18" t="s">
        <v>121</v>
      </c>
      <c r="B22" s="19">
        <v>98363</v>
      </c>
      <c r="C22" s="69">
        <f>B22/'- 3 -'!$D22*100</f>
        <v>0.5060684950740344</v>
      </c>
      <c r="D22" s="19">
        <v>431301</v>
      </c>
      <c r="E22" s="69">
        <f>D22/'- 3 -'!$D22*100</f>
        <v>2.2190035683532034</v>
      </c>
      <c r="F22" s="19">
        <v>10034</v>
      </c>
      <c r="G22" s="69">
        <f>F22/'- 3 -'!$D22*100</f>
        <v>5.1623997637047073E-2</v>
      </c>
    </row>
    <row r="23" spans="1:7" ht="14.1" customHeight="1">
      <c r="A23" s="287" t="s">
        <v>122</v>
      </c>
      <c r="B23" s="288">
        <v>93680</v>
      </c>
      <c r="C23" s="294">
        <f>B23/'- 3 -'!$D23*100</f>
        <v>0.5766304860992536</v>
      </c>
      <c r="D23" s="288">
        <v>1556136</v>
      </c>
      <c r="E23" s="294">
        <f>D23/'- 3 -'!$D23*100</f>
        <v>9.5785168458213921</v>
      </c>
      <c r="F23" s="288">
        <v>4668</v>
      </c>
      <c r="G23" s="294">
        <f>F23/'- 3 -'!$D23*100</f>
        <v>2.8733039166431634E-2</v>
      </c>
    </row>
    <row r="24" spans="1:7" ht="14.1" customHeight="1">
      <c r="A24" s="18" t="s">
        <v>123</v>
      </c>
      <c r="B24" s="19">
        <v>171512</v>
      </c>
      <c r="C24" s="69">
        <f>B24/'- 3 -'!$D24*100</f>
        <v>0.31631552536360413</v>
      </c>
      <c r="D24" s="19">
        <v>2145631</v>
      </c>
      <c r="E24" s="69">
        <f>D24/'- 3 -'!$D24*100</f>
        <v>3.9571365094071282</v>
      </c>
      <c r="F24" s="19">
        <v>2203</v>
      </c>
      <c r="G24" s="69">
        <f>F24/'- 3 -'!$D24*100</f>
        <v>4.0629407993377723E-3</v>
      </c>
    </row>
    <row r="25" spans="1:7" ht="14.1" customHeight="1">
      <c r="A25" s="287" t="s">
        <v>124</v>
      </c>
      <c r="B25" s="288">
        <v>318034</v>
      </c>
      <c r="C25" s="294">
        <f>B25/'- 3 -'!$D25*100</f>
        <v>0.19907054385334721</v>
      </c>
      <c r="D25" s="288">
        <v>3490203</v>
      </c>
      <c r="E25" s="294">
        <f>D25/'- 3 -'!$D25*100</f>
        <v>2.1846614178628196</v>
      </c>
      <c r="F25" s="288">
        <v>3275</v>
      </c>
      <c r="G25" s="294">
        <f>F25/'- 3 -'!$D25*100</f>
        <v>2.0499570206949955E-3</v>
      </c>
    </row>
    <row r="26" spans="1:7" ht="14.1" customHeight="1">
      <c r="A26" s="18" t="s">
        <v>125</v>
      </c>
      <c r="B26" s="19">
        <v>214459</v>
      </c>
      <c r="C26" s="69">
        <f>B26/'- 3 -'!$D26*100</f>
        <v>0.55125148757113085</v>
      </c>
      <c r="D26" s="19">
        <v>2813985</v>
      </c>
      <c r="E26" s="69">
        <f>D26/'- 3 -'!$D26*100</f>
        <v>7.2331467425141804</v>
      </c>
      <c r="F26" s="19">
        <v>5827</v>
      </c>
      <c r="G26" s="69">
        <f>F26/'- 3 -'!$D26*100</f>
        <v>1.4977885834014796E-2</v>
      </c>
    </row>
    <row r="27" spans="1:7" ht="14.1" customHeight="1">
      <c r="A27" s="287" t="s">
        <v>126</v>
      </c>
      <c r="B27" s="288">
        <v>0</v>
      </c>
      <c r="C27" s="294">
        <f>B27/'- 3 -'!$D27*100</f>
        <v>0</v>
      </c>
      <c r="D27" s="288">
        <v>0</v>
      </c>
      <c r="E27" s="294">
        <f>D27/'- 3 -'!$D27*100</f>
        <v>0</v>
      </c>
      <c r="F27" s="288">
        <v>140570</v>
      </c>
      <c r="G27" s="294">
        <f>F27/'- 3 -'!$D27*100</f>
        <v>0.35997771964037872</v>
      </c>
    </row>
    <row r="28" spans="1:7" ht="14.1" customHeight="1">
      <c r="A28" s="18" t="s">
        <v>127</v>
      </c>
      <c r="B28" s="19">
        <v>51933</v>
      </c>
      <c r="C28" s="69">
        <f>B28/'- 3 -'!$D28*100</f>
        <v>0.18885664688447262</v>
      </c>
      <c r="D28" s="19">
        <v>1933347</v>
      </c>
      <c r="E28" s="69">
        <f>D28/'- 3 -'!$D28*100</f>
        <v>7.0307017057392116</v>
      </c>
      <c r="F28" s="19">
        <v>8571</v>
      </c>
      <c r="G28" s="69">
        <f>F28/'- 3 -'!$D28*100</f>
        <v>3.1168819834148133E-2</v>
      </c>
    </row>
    <row r="29" spans="1:7" ht="14.1" customHeight="1">
      <c r="A29" s="287" t="s">
        <v>128</v>
      </c>
      <c r="B29" s="288">
        <v>177145</v>
      </c>
      <c r="C29" s="294">
        <f>B29/'- 3 -'!$D29*100</f>
        <v>0.12142887827759348</v>
      </c>
      <c r="D29" s="288">
        <v>1858407</v>
      </c>
      <c r="E29" s="294">
        <f>D29/'- 3 -'!$D29*100</f>
        <v>1.2738958333186241</v>
      </c>
      <c r="F29" s="288">
        <v>84246</v>
      </c>
      <c r="G29" s="294">
        <f>F29/'- 3 -'!$D29*100</f>
        <v>5.7748721552254599E-2</v>
      </c>
    </row>
    <row r="30" spans="1:7" ht="14.1" customHeight="1">
      <c r="A30" s="18" t="s">
        <v>129</v>
      </c>
      <c r="B30" s="19">
        <v>57859</v>
      </c>
      <c r="C30" s="69">
        <f>B30/'- 3 -'!$D30*100</f>
        <v>0.42555567013084483</v>
      </c>
      <c r="D30" s="19">
        <v>1037349</v>
      </c>
      <c r="E30" s="69">
        <f>D30/'- 3 -'!$D30*100</f>
        <v>7.6297507536349007</v>
      </c>
      <c r="F30" s="19">
        <v>0</v>
      </c>
      <c r="G30" s="69">
        <f>F30/'- 3 -'!$D30*100</f>
        <v>0</v>
      </c>
    </row>
    <row r="31" spans="1:7" ht="14.1" customHeight="1">
      <c r="A31" s="287" t="s">
        <v>130</v>
      </c>
      <c r="B31" s="288">
        <v>91862</v>
      </c>
      <c r="C31" s="294">
        <f>B31/'- 3 -'!$D31*100</f>
        <v>0.25986042919035268</v>
      </c>
      <c r="D31" s="288">
        <v>947489</v>
      </c>
      <c r="E31" s="294">
        <f>D31/'- 3 -'!$D31*100</f>
        <v>2.6802692973496991</v>
      </c>
      <c r="F31" s="288">
        <v>6470</v>
      </c>
      <c r="G31" s="294">
        <f>F31/'- 3 -'!$D31*100</f>
        <v>1.8302420770956236E-2</v>
      </c>
    </row>
    <row r="32" spans="1:7" ht="14.1" customHeight="1">
      <c r="A32" s="18" t="s">
        <v>131</v>
      </c>
      <c r="B32" s="19">
        <v>83672</v>
      </c>
      <c r="C32" s="69">
        <f>B32/'- 3 -'!$D32*100</f>
        <v>0.31687336665189575</v>
      </c>
      <c r="D32" s="19">
        <v>1796470</v>
      </c>
      <c r="E32" s="69">
        <f>D32/'- 3 -'!$D32*100</f>
        <v>6.8033929748199062</v>
      </c>
      <c r="F32" s="19">
        <v>7876</v>
      </c>
      <c r="G32" s="69">
        <f>F32/'- 3 -'!$D32*100</f>
        <v>2.9827118220555632E-2</v>
      </c>
    </row>
    <row r="33" spans="1:7" ht="14.1" customHeight="1">
      <c r="A33" s="287" t="s">
        <v>132</v>
      </c>
      <c r="B33" s="288">
        <v>103199</v>
      </c>
      <c r="C33" s="294">
        <f>B33/'- 3 -'!$D33*100</f>
        <v>0.39160425729559734</v>
      </c>
      <c r="D33" s="288">
        <v>2202592</v>
      </c>
      <c r="E33" s="294">
        <f>D33/'- 3 -'!$D33*100</f>
        <v>8.358069402661112</v>
      </c>
      <c r="F33" s="288">
        <v>0</v>
      </c>
      <c r="G33" s="294">
        <f>F33/'- 3 -'!$D33*100</f>
        <v>0</v>
      </c>
    </row>
    <row r="34" spans="1:7" ht="14.1" customHeight="1">
      <c r="A34" s="18" t="s">
        <v>133</v>
      </c>
      <c r="B34" s="19">
        <v>89085</v>
      </c>
      <c r="C34" s="69">
        <f>B34/'- 3 -'!$D34*100</f>
        <v>0.33607704137518263</v>
      </c>
      <c r="D34" s="19">
        <v>2232928</v>
      </c>
      <c r="E34" s="69">
        <f>D34/'- 3 -'!$D34*100</f>
        <v>8.4238181045496319</v>
      </c>
      <c r="F34" s="19">
        <v>0</v>
      </c>
      <c r="G34" s="69">
        <f>F34/'- 3 -'!$D34*100</f>
        <v>0</v>
      </c>
    </row>
    <row r="35" spans="1:7" ht="14.1" customHeight="1">
      <c r="A35" s="287" t="s">
        <v>134</v>
      </c>
      <c r="B35" s="288">
        <v>359149</v>
      </c>
      <c r="C35" s="294">
        <f>B35/'- 3 -'!$D35*100</f>
        <v>0.20551811406737441</v>
      </c>
      <c r="D35" s="288">
        <v>3492130</v>
      </c>
      <c r="E35" s="294">
        <f>D35/'- 3 -'!$D35*100</f>
        <v>1.9983237366054205</v>
      </c>
      <c r="F35" s="288">
        <v>19463</v>
      </c>
      <c r="G35" s="294">
        <f>F35/'- 3 -'!$D35*100</f>
        <v>1.1137436145146744E-2</v>
      </c>
    </row>
    <row r="36" spans="1:7" ht="14.1" customHeight="1">
      <c r="A36" s="18" t="s">
        <v>135</v>
      </c>
      <c r="B36" s="19">
        <v>52485</v>
      </c>
      <c r="C36" s="69">
        <f>B36/'- 3 -'!$D36*100</f>
        <v>0.2403642930725165</v>
      </c>
      <c r="D36" s="19">
        <v>1354696</v>
      </c>
      <c r="E36" s="69">
        <f>D36/'- 3 -'!$D36*100</f>
        <v>6.2040687123590708</v>
      </c>
      <c r="F36" s="19">
        <v>4350</v>
      </c>
      <c r="G36" s="69">
        <f>F36/'- 3 -'!$D36*100</f>
        <v>1.9921590451851899E-2</v>
      </c>
    </row>
    <row r="37" spans="1:7" ht="14.1" customHeight="1">
      <c r="A37" s="287" t="s">
        <v>136</v>
      </c>
      <c r="B37" s="288">
        <v>201952</v>
      </c>
      <c r="C37" s="294">
        <f>B37/'- 3 -'!$D37*100</f>
        <v>0.44804937275483897</v>
      </c>
      <c r="D37" s="288">
        <v>2708035</v>
      </c>
      <c r="E37" s="294">
        <f>D37/'- 3 -'!$D37*100</f>
        <v>6.0080285570241951</v>
      </c>
      <c r="F37" s="288">
        <v>345</v>
      </c>
      <c r="G37" s="294">
        <f>F37/'- 3 -'!$D37*100</f>
        <v>7.6541472033166017E-4</v>
      </c>
    </row>
    <row r="38" spans="1:7" ht="14.1" customHeight="1">
      <c r="A38" s="18" t="s">
        <v>137</v>
      </c>
      <c r="B38" s="19">
        <v>275000</v>
      </c>
      <c r="C38" s="69">
        <f>B38/'- 3 -'!$D38*100</f>
        <v>0.22531236815129876</v>
      </c>
      <c r="D38" s="19">
        <v>2897383</v>
      </c>
      <c r="E38" s="69">
        <f>D38/'- 3 -'!$D38*100</f>
        <v>2.3738771824411433</v>
      </c>
      <c r="F38" s="19">
        <v>194786</v>
      </c>
      <c r="G38" s="69">
        <f>F38/'- 3 -'!$D38*100</f>
        <v>0.1595916179735232</v>
      </c>
    </row>
    <row r="39" spans="1:7" ht="14.1" customHeight="1">
      <c r="A39" s="287" t="s">
        <v>138</v>
      </c>
      <c r="B39" s="288">
        <v>77212</v>
      </c>
      <c r="C39" s="294">
        <f>B39/'- 3 -'!$D39*100</f>
        <v>0.38242289061423518</v>
      </c>
      <c r="D39" s="288">
        <v>1827228</v>
      </c>
      <c r="E39" s="294">
        <f>D39/'- 3 -'!$D39*100</f>
        <v>9.050067522810803</v>
      </c>
      <c r="F39" s="288">
        <v>0</v>
      </c>
      <c r="G39" s="294">
        <f>F39/'- 3 -'!$D39*100</f>
        <v>0</v>
      </c>
    </row>
    <row r="40" spans="1:7" ht="14.1" customHeight="1">
      <c r="A40" s="18" t="s">
        <v>139</v>
      </c>
      <c r="B40" s="19">
        <v>136292</v>
      </c>
      <c r="C40" s="69">
        <f>B40/'- 3 -'!$D40*100</f>
        <v>0.13939556274913881</v>
      </c>
      <c r="D40" s="19">
        <v>1760562</v>
      </c>
      <c r="E40" s="69">
        <f>D40/'- 3 -'!$D40*100</f>
        <v>1.8006525015756563</v>
      </c>
      <c r="F40" s="19">
        <v>6186</v>
      </c>
      <c r="G40" s="69">
        <f>F40/'- 3 -'!$D40*100</f>
        <v>6.3268640211176942E-3</v>
      </c>
    </row>
    <row r="41" spans="1:7" ht="14.1" customHeight="1">
      <c r="A41" s="287" t="s">
        <v>140</v>
      </c>
      <c r="B41" s="288">
        <v>383494</v>
      </c>
      <c r="C41" s="294">
        <f>B41/'- 3 -'!$D41*100</f>
        <v>0.64185085703409583</v>
      </c>
      <c r="D41" s="288">
        <v>4432501</v>
      </c>
      <c r="E41" s="294">
        <f>D41/'- 3 -'!$D41*100</f>
        <v>7.4186416623323623</v>
      </c>
      <c r="F41" s="288">
        <v>4698</v>
      </c>
      <c r="G41" s="294">
        <f>F41/'- 3 -'!$D41*100</f>
        <v>7.8630052265385702E-3</v>
      </c>
    </row>
    <row r="42" spans="1:7" ht="14.1" customHeight="1">
      <c r="A42" s="18" t="s">
        <v>141</v>
      </c>
      <c r="B42" s="19">
        <v>99152</v>
      </c>
      <c r="C42" s="69">
        <f>B42/'- 3 -'!$D42*100</f>
        <v>0.49826495230798562</v>
      </c>
      <c r="D42" s="19">
        <v>1366450</v>
      </c>
      <c r="E42" s="69">
        <f>D42/'- 3 -'!$D42*100</f>
        <v>6.8667716645276631</v>
      </c>
      <c r="F42" s="19">
        <v>0</v>
      </c>
      <c r="G42" s="69">
        <f>F42/'- 3 -'!$D42*100</f>
        <v>0</v>
      </c>
    </row>
    <row r="43" spans="1:7" ht="14.1" customHeight="1">
      <c r="A43" s="287" t="s">
        <v>142</v>
      </c>
      <c r="B43" s="288">
        <v>8275</v>
      </c>
      <c r="C43" s="294">
        <f>B43/'- 3 -'!$D43*100</f>
        <v>6.4605338672896265E-2</v>
      </c>
      <c r="D43" s="288">
        <v>1060516</v>
      </c>
      <c r="E43" s="294">
        <f>D43/'- 3 -'!$D43*100</f>
        <v>8.2797577459849236</v>
      </c>
      <c r="F43" s="288">
        <v>16455</v>
      </c>
      <c r="G43" s="294">
        <f>F43/'- 3 -'!$D43*100</f>
        <v>0.12846898463595263</v>
      </c>
    </row>
    <row r="44" spans="1:7" ht="14.1" customHeight="1">
      <c r="A44" s="18" t="s">
        <v>143</v>
      </c>
      <c r="B44" s="19">
        <v>30572</v>
      </c>
      <c r="C44" s="69">
        <f>B44/'- 3 -'!$D44*100</f>
        <v>0.28997725103235394</v>
      </c>
      <c r="D44" s="19">
        <v>1004193</v>
      </c>
      <c r="E44" s="69">
        <f>D44/'- 3 -'!$D44*100</f>
        <v>9.5248307485912793</v>
      </c>
      <c r="F44" s="19">
        <v>0</v>
      </c>
      <c r="G44" s="69">
        <f>F44/'- 3 -'!$D44*100</f>
        <v>0</v>
      </c>
    </row>
    <row r="45" spans="1:7" ht="14.1" customHeight="1">
      <c r="A45" s="287" t="s">
        <v>144</v>
      </c>
      <c r="B45" s="288">
        <v>46328</v>
      </c>
      <c r="C45" s="294">
        <f>B45/'- 3 -'!$D45*100</f>
        <v>0.26530434952416387</v>
      </c>
      <c r="D45" s="288">
        <v>605672</v>
      </c>
      <c r="E45" s="294">
        <f>D45/'- 3 -'!$D45*100</f>
        <v>3.4684729749827183</v>
      </c>
      <c r="F45" s="288">
        <v>12325</v>
      </c>
      <c r="G45" s="294">
        <f>F45/'- 3 -'!$D45*100</f>
        <v>7.058099006832412E-2</v>
      </c>
    </row>
    <row r="46" spans="1:7" ht="14.1" customHeight="1">
      <c r="A46" s="18" t="s">
        <v>145</v>
      </c>
      <c r="B46" s="19">
        <v>559398</v>
      </c>
      <c r="C46" s="69">
        <f>B46/'- 3 -'!$D46*100</f>
        <v>0.15211926787143942</v>
      </c>
      <c r="D46" s="19">
        <v>5131284</v>
      </c>
      <c r="E46" s="69">
        <f>D46/'- 3 -'!$D46*100</f>
        <v>1.3953699607800372</v>
      </c>
      <c r="F46" s="19">
        <v>0</v>
      </c>
      <c r="G46" s="69">
        <f>F46/'- 3 -'!$D46*100</f>
        <v>0</v>
      </c>
    </row>
    <row r="47" spans="1:7" ht="5.0999999999999996" customHeight="1">
      <c r="A47"/>
      <c r="B47" s="21"/>
      <c r="C47"/>
      <c r="D47" s="21"/>
      <c r="E47"/>
      <c r="F47" s="21"/>
      <c r="G47"/>
    </row>
    <row r="48" spans="1:7" ht="14.1" customHeight="1">
      <c r="A48" s="289" t="s">
        <v>146</v>
      </c>
      <c r="B48" s="290">
        <f>SUM(B11:B46)</f>
        <v>5293059</v>
      </c>
      <c r="C48" s="297">
        <f>B48/'- 3 -'!$D48*100</f>
        <v>0.24762190697604447</v>
      </c>
      <c r="D48" s="290">
        <f>SUM(D11:D46)</f>
        <v>80103265</v>
      </c>
      <c r="E48" s="297">
        <f>D48/'- 3 -'!$D48*100</f>
        <v>3.7474215258714181</v>
      </c>
      <c r="F48" s="290">
        <f>SUM(F11:F46)</f>
        <v>918222</v>
      </c>
      <c r="G48" s="297">
        <f>F48/'- 3 -'!$D48*100</f>
        <v>4.2956612172159334E-2</v>
      </c>
    </row>
    <row r="49" spans="1:7" ht="5.0999999999999996" customHeight="1">
      <c r="A49" s="20" t="s">
        <v>8</v>
      </c>
      <c r="B49" s="21"/>
      <c r="C49"/>
      <c r="D49" s="21"/>
      <c r="E49"/>
      <c r="F49" s="21"/>
      <c r="G49"/>
    </row>
    <row r="50" spans="1:7" ht="14.1" customHeight="1">
      <c r="A50" s="18" t="s">
        <v>147</v>
      </c>
      <c r="B50" s="19">
        <v>0</v>
      </c>
      <c r="C50" s="69">
        <f>B50/'- 3 -'!$D50*100</f>
        <v>0</v>
      </c>
      <c r="D50" s="19">
        <v>2600</v>
      </c>
      <c r="E50" s="69">
        <f>D50/'- 3 -'!$D50*100</f>
        <v>8.0043666898895929E-2</v>
      </c>
      <c r="F50" s="19">
        <v>12060</v>
      </c>
      <c r="G50" s="69">
        <f>F50/'- 3 -'!$D50*100</f>
        <v>0.37127947030795572</v>
      </c>
    </row>
    <row r="51" spans="1:7" ht="14.1" customHeight="1">
      <c r="A51" s="287" t="s">
        <v>643</v>
      </c>
      <c r="B51" s="288">
        <v>0</v>
      </c>
      <c r="C51" s="294">
        <f>B51/'- 3 -'!$D51*100</f>
        <v>0</v>
      </c>
      <c r="D51" s="288">
        <v>0</v>
      </c>
      <c r="E51" s="294">
        <f>D51/'- 3 -'!$D51*100</f>
        <v>0</v>
      </c>
      <c r="F51" s="288">
        <v>0</v>
      </c>
      <c r="G51" s="294">
        <f>F51/'- 3 -'!$D51*100</f>
        <v>0</v>
      </c>
    </row>
    <row r="52" spans="1:7" ht="50.1" customHeight="1"/>
  </sheetData>
  <mergeCells count="3">
    <mergeCell ref="D8:E8"/>
    <mergeCell ref="B8:C8"/>
    <mergeCell ref="F7:G8"/>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26.xml><?xml version="1.0" encoding="utf-8"?>
<worksheet xmlns="http://schemas.openxmlformats.org/spreadsheetml/2006/main" xmlns:r="http://schemas.openxmlformats.org/officeDocument/2006/relationships">
  <sheetPr codeName="Sheet28">
    <pageSetUpPr fitToPage="1"/>
  </sheetPr>
  <dimension ref="A1:G52"/>
  <sheetViews>
    <sheetView showGridLines="0" showZeros="0" workbookViewId="0"/>
  </sheetViews>
  <sheetFormatPr defaultColWidth="15.83203125" defaultRowHeight="12"/>
  <cols>
    <col min="1" max="1" width="33.83203125" style="1" customWidth="1"/>
    <col min="2" max="2" width="19.83203125" style="1" customWidth="1"/>
    <col min="3" max="3" width="15.83203125" style="1"/>
    <col min="4" max="4" width="19.83203125" style="1" customWidth="1"/>
    <col min="5" max="5" width="15.83203125" style="1"/>
    <col min="6" max="6" width="11.83203125" style="1" customWidth="1"/>
    <col min="7" max="16384" width="15.83203125" style="1"/>
  </cols>
  <sheetData>
    <row r="1" spans="1:7" ht="6.95" customHeight="1">
      <c r="A1" s="6"/>
      <c r="B1" s="7"/>
      <c r="C1" s="7"/>
      <c r="D1" s="7"/>
      <c r="E1" s="7"/>
      <c r="F1" s="7"/>
      <c r="G1" s="7"/>
    </row>
    <row r="2" spans="1:7" ht="15.95" customHeight="1">
      <c r="A2" s="133"/>
      <c r="B2" s="8" t="s">
        <v>266</v>
      </c>
      <c r="C2" s="9"/>
      <c r="D2" s="9"/>
      <c r="E2" s="9"/>
      <c r="F2" s="72"/>
      <c r="G2" s="398" t="s">
        <v>430</v>
      </c>
    </row>
    <row r="3" spans="1:7" ht="15.95" customHeight="1">
      <c r="A3" s="546"/>
      <c r="B3" s="10" t="str">
        <f>OPYEAR</f>
        <v>OPERATING FUND 2014/2015 ACTUAL</v>
      </c>
      <c r="C3" s="11"/>
      <c r="D3" s="11"/>
      <c r="E3" s="11"/>
      <c r="F3" s="74"/>
      <c r="G3" s="65"/>
    </row>
    <row r="4" spans="1:7" ht="15.95" customHeight="1">
      <c r="B4" s="7"/>
      <c r="C4" s="7"/>
      <c r="D4" s="7"/>
      <c r="E4" s="7"/>
      <c r="F4" s="7"/>
      <c r="G4" s="7"/>
    </row>
    <row r="5" spans="1:7" ht="15.95" customHeight="1">
      <c r="B5" s="7"/>
      <c r="C5" s="7"/>
      <c r="D5" s="7"/>
      <c r="E5" s="7"/>
      <c r="F5" s="7"/>
      <c r="G5" s="7"/>
    </row>
    <row r="6" spans="1:7" ht="15.95" customHeight="1">
      <c r="B6" s="562" t="s">
        <v>16</v>
      </c>
      <c r="C6" s="71"/>
      <c r="D6" s="172"/>
      <c r="E6" s="173"/>
      <c r="F6" s="7"/>
      <c r="G6" s="42"/>
    </row>
    <row r="7" spans="1:7" ht="15.95" customHeight="1">
      <c r="B7" s="658" t="s">
        <v>525</v>
      </c>
      <c r="C7" s="659"/>
      <c r="D7" s="678" t="s">
        <v>526</v>
      </c>
      <c r="E7" s="632"/>
      <c r="F7" s="68"/>
      <c r="G7" s="7"/>
    </row>
    <row r="8" spans="1:7" ht="15.95" customHeight="1">
      <c r="A8" s="406"/>
      <c r="B8" s="660"/>
      <c r="C8" s="661"/>
      <c r="D8" s="665"/>
      <c r="E8" s="634"/>
      <c r="F8" s="7"/>
      <c r="G8" s="7"/>
    </row>
    <row r="9" spans="1:7" ht="15.95" customHeight="1">
      <c r="A9" s="34" t="s">
        <v>43</v>
      </c>
      <c r="B9" s="76" t="s">
        <v>44</v>
      </c>
      <c r="C9" s="76" t="s">
        <v>45</v>
      </c>
      <c r="D9" s="167" t="s">
        <v>44</v>
      </c>
      <c r="E9" s="167" t="s">
        <v>45</v>
      </c>
    </row>
    <row r="10" spans="1:7" ht="5.0999999999999996" customHeight="1">
      <c r="A10" s="5"/>
    </row>
    <row r="11" spans="1:7" ht="14.1" customHeight="1">
      <c r="A11" s="287" t="s">
        <v>111</v>
      </c>
      <c r="B11" s="288">
        <v>0</v>
      </c>
      <c r="C11" s="294">
        <f>B11/'- 3 -'!$D11*100</f>
        <v>0</v>
      </c>
      <c r="D11" s="288">
        <v>127896</v>
      </c>
      <c r="E11" s="294">
        <f>D11/'- 3 -'!$D11*100</f>
        <v>0.73153421765373683</v>
      </c>
    </row>
    <row r="12" spans="1:7" ht="14.1" customHeight="1">
      <c r="A12" s="18" t="s">
        <v>112</v>
      </c>
      <c r="B12" s="19">
        <v>6000</v>
      </c>
      <c r="C12" s="69">
        <f>B12/'- 3 -'!$D12*100</f>
        <v>1.8947512422147039E-2</v>
      </c>
      <c r="D12" s="19">
        <v>184376</v>
      </c>
      <c r="E12" s="69">
        <f>D12/'- 3 -'!$D12*100</f>
        <v>0.58224442505763041</v>
      </c>
    </row>
    <row r="13" spans="1:7" ht="14.1" customHeight="1">
      <c r="A13" s="287" t="s">
        <v>113</v>
      </c>
      <c r="B13" s="288">
        <v>0</v>
      </c>
      <c r="C13" s="294">
        <f>B13/'- 3 -'!$D13*100</f>
        <v>0</v>
      </c>
      <c r="D13" s="288">
        <v>69538</v>
      </c>
      <c r="E13" s="294">
        <f>D13/'- 3 -'!$D13*100</f>
        <v>8.039718414926586E-2</v>
      </c>
    </row>
    <row r="14" spans="1:7" ht="14.1" customHeight="1">
      <c r="A14" s="18" t="s">
        <v>365</v>
      </c>
      <c r="B14" s="19">
        <v>0</v>
      </c>
      <c r="C14" s="69">
        <f>B14/'- 3 -'!$D14*100</f>
        <v>0</v>
      </c>
      <c r="D14" s="19">
        <v>350885</v>
      </c>
      <c r="E14" s="69">
        <f>D14/'- 3 -'!$D14*100</f>
        <v>0.45291124795664917</v>
      </c>
    </row>
    <row r="15" spans="1:7" ht="14.1" customHeight="1">
      <c r="A15" s="287" t="s">
        <v>114</v>
      </c>
      <c r="B15" s="288">
        <v>0</v>
      </c>
      <c r="C15" s="294">
        <f>B15/'- 3 -'!$D15*100</f>
        <v>0</v>
      </c>
      <c r="D15" s="288">
        <v>68463</v>
      </c>
      <c r="E15" s="294">
        <f>D15/'- 3 -'!$D15*100</f>
        <v>0.3482828970983598</v>
      </c>
    </row>
    <row r="16" spans="1:7" ht="14.1" customHeight="1">
      <c r="A16" s="18" t="s">
        <v>115</v>
      </c>
      <c r="B16" s="19">
        <v>0</v>
      </c>
      <c r="C16" s="69">
        <f>B16/'- 3 -'!$D16*100</f>
        <v>0</v>
      </c>
      <c r="D16" s="19">
        <v>89181</v>
      </c>
      <c r="E16" s="69">
        <f>D16/'- 3 -'!$D16*100</f>
        <v>0.65495338007749337</v>
      </c>
    </row>
    <row r="17" spans="1:5" ht="14.1" customHeight="1">
      <c r="A17" s="287" t="s">
        <v>116</v>
      </c>
      <c r="B17" s="288">
        <v>0</v>
      </c>
      <c r="C17" s="294">
        <f>B17/'- 3 -'!$D17*100</f>
        <v>0</v>
      </c>
      <c r="D17" s="288">
        <v>45218</v>
      </c>
      <c r="E17" s="294">
        <f>D17/'- 3 -'!$D17*100</f>
        <v>0.26042197597953115</v>
      </c>
    </row>
    <row r="18" spans="1:5" ht="14.1" customHeight="1">
      <c r="A18" s="18" t="s">
        <v>117</v>
      </c>
      <c r="B18" s="19">
        <v>2758238</v>
      </c>
      <c r="C18" s="69">
        <f>B18/'- 3 -'!$D18*100</f>
        <v>2.2576272425571622</v>
      </c>
      <c r="D18" s="19">
        <v>678431</v>
      </c>
      <c r="E18" s="69">
        <f>D18/'- 3 -'!$D18*100</f>
        <v>0.5552980953040666</v>
      </c>
    </row>
    <row r="19" spans="1:5" ht="14.1" customHeight="1">
      <c r="A19" s="287" t="s">
        <v>118</v>
      </c>
      <c r="B19" s="288">
        <v>1863</v>
      </c>
      <c r="C19" s="294">
        <f>B19/'- 3 -'!$D19*100</f>
        <v>4.32519534943295E-3</v>
      </c>
      <c r="D19" s="288">
        <v>11244</v>
      </c>
      <c r="E19" s="294">
        <f>D19/'- 3 -'!$D19*100</f>
        <v>2.6104399629105792E-2</v>
      </c>
    </row>
    <row r="20" spans="1:5" ht="14.1" customHeight="1">
      <c r="A20" s="18" t="s">
        <v>119</v>
      </c>
      <c r="B20" s="19">
        <v>0</v>
      </c>
      <c r="C20" s="69">
        <f>B20/'- 3 -'!$D20*100</f>
        <v>0</v>
      </c>
      <c r="D20" s="19">
        <v>452740</v>
      </c>
      <c r="E20" s="69">
        <f>D20/'- 3 -'!$D20*100</f>
        <v>0.60642873935903341</v>
      </c>
    </row>
    <row r="21" spans="1:5" ht="14.1" customHeight="1">
      <c r="A21" s="287" t="s">
        <v>120</v>
      </c>
      <c r="B21" s="288">
        <v>0</v>
      </c>
      <c r="C21" s="294">
        <f>B21/'- 3 -'!$D21*100</f>
        <v>0</v>
      </c>
      <c r="D21" s="288">
        <v>107180</v>
      </c>
      <c r="E21" s="294">
        <f>D21/'- 3 -'!$D21*100</f>
        <v>0.30789291738277574</v>
      </c>
    </row>
    <row r="22" spans="1:5" ht="14.1" customHeight="1">
      <c r="A22" s="18" t="s">
        <v>121</v>
      </c>
      <c r="B22" s="19">
        <v>0</v>
      </c>
      <c r="C22" s="69">
        <f>B22/'- 3 -'!$D22*100</f>
        <v>0</v>
      </c>
      <c r="D22" s="19">
        <v>56406</v>
      </c>
      <c r="E22" s="69">
        <f>D22/'- 3 -'!$D22*100</f>
        <v>0.29020362873383271</v>
      </c>
    </row>
    <row r="23" spans="1:5" ht="14.1" customHeight="1">
      <c r="A23" s="287" t="s">
        <v>122</v>
      </c>
      <c r="B23" s="288">
        <v>0</v>
      </c>
      <c r="C23" s="294">
        <f>B23/'- 3 -'!$D23*100</f>
        <v>0</v>
      </c>
      <c r="D23" s="288">
        <v>0</v>
      </c>
      <c r="E23" s="294">
        <f>D23/'- 3 -'!$D23*100</f>
        <v>0</v>
      </c>
    </row>
    <row r="24" spans="1:5" ht="14.1" customHeight="1">
      <c r="A24" s="18" t="s">
        <v>123</v>
      </c>
      <c r="B24" s="19">
        <v>0</v>
      </c>
      <c r="C24" s="69">
        <f>B24/'- 3 -'!$D24*100</f>
        <v>0</v>
      </c>
      <c r="D24" s="19">
        <v>91329</v>
      </c>
      <c r="E24" s="69">
        <f>D24/'- 3 -'!$D24*100</f>
        <v>0.16843591478108005</v>
      </c>
    </row>
    <row r="25" spans="1:5" ht="14.1" customHeight="1">
      <c r="A25" s="287" t="s">
        <v>124</v>
      </c>
      <c r="B25" s="288">
        <v>0</v>
      </c>
      <c r="C25" s="294">
        <f>B25/'- 3 -'!$D25*100</f>
        <v>0</v>
      </c>
      <c r="D25" s="288">
        <v>43960</v>
      </c>
      <c r="E25" s="294">
        <f>D25/'- 3 -'!$D25*100</f>
        <v>2.7516369657939539E-2</v>
      </c>
    </row>
    <row r="26" spans="1:5" ht="14.1" customHeight="1">
      <c r="A26" s="18" t="s">
        <v>125</v>
      </c>
      <c r="B26" s="19">
        <v>0</v>
      </c>
      <c r="C26" s="69">
        <f>B26/'- 3 -'!$D26*100</f>
        <v>0</v>
      </c>
      <c r="D26" s="19">
        <v>223895</v>
      </c>
      <c r="E26" s="69">
        <f>D26/'- 3 -'!$D26*100</f>
        <v>0.57550604922030946</v>
      </c>
    </row>
    <row r="27" spans="1:5" ht="14.1" customHeight="1">
      <c r="A27" s="287" t="s">
        <v>126</v>
      </c>
      <c r="B27" s="288">
        <v>0</v>
      </c>
      <c r="C27" s="294">
        <f>B27/'- 3 -'!$D27*100</f>
        <v>0</v>
      </c>
      <c r="D27" s="288">
        <v>102474</v>
      </c>
      <c r="E27" s="294">
        <f>D27/'- 3 -'!$D27*100</f>
        <v>0.26241983952783787</v>
      </c>
    </row>
    <row r="28" spans="1:5" ht="14.1" customHeight="1">
      <c r="A28" s="18" t="s">
        <v>127</v>
      </c>
      <c r="B28" s="19">
        <v>0</v>
      </c>
      <c r="C28" s="69">
        <f>B28/'- 3 -'!$D28*100</f>
        <v>0</v>
      </c>
      <c r="D28" s="19">
        <v>136177</v>
      </c>
      <c r="E28" s="69">
        <f>D28/'- 3 -'!$D28*100</f>
        <v>0.49521367151496792</v>
      </c>
    </row>
    <row r="29" spans="1:5" ht="14.1" customHeight="1">
      <c r="A29" s="287" t="s">
        <v>128</v>
      </c>
      <c r="B29" s="288">
        <v>0</v>
      </c>
      <c r="C29" s="294">
        <f>B29/'- 3 -'!$D29*100</f>
        <v>0</v>
      </c>
      <c r="D29" s="288">
        <v>630970</v>
      </c>
      <c r="E29" s="294">
        <f>D29/'- 3 -'!$D29*100</f>
        <v>0.43251561899468316</v>
      </c>
    </row>
    <row r="30" spans="1:5" ht="14.1" customHeight="1">
      <c r="A30" s="18" t="s">
        <v>129</v>
      </c>
      <c r="B30" s="19">
        <v>0</v>
      </c>
      <c r="C30" s="69">
        <f>B30/'- 3 -'!$D30*100</f>
        <v>0</v>
      </c>
      <c r="D30" s="19">
        <v>53836</v>
      </c>
      <c r="E30" s="69">
        <f>D30/'- 3 -'!$D30*100</f>
        <v>0.39596631564949553</v>
      </c>
    </row>
    <row r="31" spans="1:5" ht="14.1" customHeight="1">
      <c r="A31" s="287" t="s">
        <v>130</v>
      </c>
      <c r="B31" s="288">
        <v>0</v>
      </c>
      <c r="C31" s="294">
        <f>B31/'- 3 -'!$D31*100</f>
        <v>0</v>
      </c>
      <c r="D31" s="288">
        <v>33459</v>
      </c>
      <c r="E31" s="294">
        <f>D31/'- 3 -'!$D31*100</f>
        <v>9.4649257585073365E-2</v>
      </c>
    </row>
    <row r="32" spans="1:5" ht="14.1" customHeight="1">
      <c r="A32" s="18" t="s">
        <v>131</v>
      </c>
      <c r="B32" s="19">
        <v>0</v>
      </c>
      <c r="C32" s="69">
        <f>B32/'- 3 -'!$D32*100</f>
        <v>0</v>
      </c>
      <c r="D32" s="19">
        <v>158253</v>
      </c>
      <c r="E32" s="69">
        <f>D32/'- 3 -'!$D32*100</f>
        <v>0.59931830113732742</v>
      </c>
    </row>
    <row r="33" spans="1:6" ht="14.1" customHeight="1">
      <c r="A33" s="287" t="s">
        <v>132</v>
      </c>
      <c r="B33" s="288">
        <v>0</v>
      </c>
      <c r="C33" s="294">
        <f>B33/'- 3 -'!$D33*100</f>
        <v>0</v>
      </c>
      <c r="D33" s="288">
        <v>81150</v>
      </c>
      <c r="E33" s="294">
        <f>D33/'- 3 -'!$D33*100</f>
        <v>0.30793598270853129</v>
      </c>
    </row>
    <row r="34" spans="1:6" ht="14.1" customHeight="1">
      <c r="A34" s="18" t="s">
        <v>133</v>
      </c>
      <c r="B34" s="19">
        <v>0</v>
      </c>
      <c r="C34" s="69">
        <f>B34/'- 3 -'!$D34*100</f>
        <v>0</v>
      </c>
      <c r="D34" s="19">
        <v>149264</v>
      </c>
      <c r="E34" s="69">
        <f>D34/'- 3 -'!$D34*100</f>
        <v>0.5631049391460432</v>
      </c>
    </row>
    <row r="35" spans="1:6" ht="14.1" customHeight="1">
      <c r="A35" s="287" t="s">
        <v>134</v>
      </c>
      <c r="B35" s="288">
        <v>0</v>
      </c>
      <c r="C35" s="294">
        <f>B35/'- 3 -'!$D35*100</f>
        <v>0</v>
      </c>
      <c r="D35" s="288">
        <v>119872</v>
      </c>
      <c r="E35" s="294">
        <f>D35/'- 3 -'!$D35*100</f>
        <v>6.8595116148128785E-2</v>
      </c>
    </row>
    <row r="36" spans="1:6" ht="14.1" customHeight="1">
      <c r="A36" s="18" t="s">
        <v>135</v>
      </c>
      <c r="B36" s="19">
        <v>0</v>
      </c>
      <c r="C36" s="69">
        <f>B36/'- 3 -'!$D36*100</f>
        <v>0</v>
      </c>
      <c r="D36" s="19">
        <v>98169</v>
      </c>
      <c r="E36" s="69">
        <f>D36/'- 3 -'!$D36*100</f>
        <v>0.44958220990065495</v>
      </c>
    </row>
    <row r="37" spans="1:6" ht="14.1" customHeight="1">
      <c r="A37" s="287" t="s">
        <v>136</v>
      </c>
      <c r="B37" s="288">
        <v>0</v>
      </c>
      <c r="C37" s="294">
        <f>B37/'- 3 -'!$D37*100</f>
        <v>0</v>
      </c>
      <c r="D37" s="288">
        <v>91780</v>
      </c>
      <c r="E37" s="294">
        <f>D37/'- 3 -'!$D37*100</f>
        <v>0.20362250154214429</v>
      </c>
    </row>
    <row r="38" spans="1:6" ht="14.1" customHeight="1">
      <c r="A38" s="18" t="s">
        <v>137</v>
      </c>
      <c r="B38" s="19">
        <v>0</v>
      </c>
      <c r="C38" s="69">
        <f>B38/'- 3 -'!$D38*100</f>
        <v>0</v>
      </c>
      <c r="D38" s="19">
        <v>424084</v>
      </c>
      <c r="E38" s="69">
        <f>D38/'- 3 -'!$D38*100</f>
        <v>0.34745952849118322</v>
      </c>
    </row>
    <row r="39" spans="1:6" ht="14.1" customHeight="1">
      <c r="A39" s="287" t="s">
        <v>138</v>
      </c>
      <c r="B39" s="288">
        <v>0</v>
      </c>
      <c r="C39" s="294">
        <f>B39/'- 3 -'!$D39*100</f>
        <v>0</v>
      </c>
      <c r="D39" s="288">
        <v>30776</v>
      </c>
      <c r="E39" s="294">
        <f>D39/'- 3 -'!$D39*100</f>
        <v>0.15243028132341738</v>
      </c>
    </row>
    <row r="40" spans="1:6" ht="14.1" customHeight="1">
      <c r="A40" s="18" t="s">
        <v>139</v>
      </c>
      <c r="B40" s="19">
        <v>0</v>
      </c>
      <c r="C40" s="69">
        <f>B40/'- 3 -'!$D40*100</f>
        <v>0</v>
      </c>
      <c r="D40" s="19">
        <v>88238</v>
      </c>
      <c r="E40" s="69">
        <f>D40/'- 3 -'!$D40*100</f>
        <v>9.0247304800417566E-2</v>
      </c>
    </row>
    <row r="41" spans="1:6" ht="14.1" customHeight="1">
      <c r="A41" s="287" t="s">
        <v>140</v>
      </c>
      <c r="B41" s="288">
        <v>0</v>
      </c>
      <c r="C41" s="294">
        <f>B41/'- 3 -'!$D41*100</f>
        <v>0</v>
      </c>
      <c r="D41" s="288">
        <v>32037</v>
      </c>
      <c r="E41" s="294">
        <f>D41/'- 3 -'!$D41*100</f>
        <v>5.3620072039722466E-2</v>
      </c>
    </row>
    <row r="42" spans="1:6" ht="14.1" customHeight="1">
      <c r="A42" s="18" t="s">
        <v>141</v>
      </c>
      <c r="B42" s="19">
        <v>0</v>
      </c>
      <c r="C42" s="69">
        <f>B42/'- 3 -'!$D42*100</f>
        <v>0</v>
      </c>
      <c r="D42" s="19">
        <v>89706</v>
      </c>
      <c r="E42" s="69">
        <f>D42/'- 3 -'!$D42*100</f>
        <v>0.45079631083326765</v>
      </c>
    </row>
    <row r="43" spans="1:6" ht="14.1" customHeight="1">
      <c r="A43" s="287" t="s">
        <v>142</v>
      </c>
      <c r="B43" s="288">
        <v>0</v>
      </c>
      <c r="C43" s="294">
        <f>B43/'- 3 -'!$D43*100</f>
        <v>0</v>
      </c>
      <c r="D43" s="288">
        <v>9084</v>
      </c>
      <c r="E43" s="294">
        <f>D43/'- 3 -'!$D43*100</f>
        <v>7.0921437644059171E-2</v>
      </c>
    </row>
    <row r="44" spans="1:6" ht="14.1" customHeight="1">
      <c r="A44" s="18" t="s">
        <v>143</v>
      </c>
      <c r="B44" s="19">
        <v>0</v>
      </c>
      <c r="C44" s="69">
        <f>B44/'- 3 -'!$D44*100</f>
        <v>0</v>
      </c>
      <c r="D44" s="19">
        <v>34054</v>
      </c>
      <c r="E44" s="69">
        <f>D44/'- 3 -'!$D44*100</f>
        <v>0.32300422957790725</v>
      </c>
    </row>
    <row r="45" spans="1:6" ht="14.1" customHeight="1">
      <c r="A45" s="287" t="s">
        <v>144</v>
      </c>
      <c r="B45" s="288">
        <v>0</v>
      </c>
      <c r="C45" s="294">
        <f>B45/'- 3 -'!$D45*100</f>
        <v>0</v>
      </c>
      <c r="D45" s="288">
        <v>94105</v>
      </c>
      <c r="E45" s="294">
        <f>D45/'- 3 -'!$D45*100</f>
        <v>0.53890661828638065</v>
      </c>
    </row>
    <row r="46" spans="1:6" ht="14.1" customHeight="1">
      <c r="A46" s="18" t="s">
        <v>145</v>
      </c>
      <c r="B46" s="19">
        <v>0</v>
      </c>
      <c r="C46" s="69">
        <f>B46/'- 3 -'!$D46*100</f>
        <v>0</v>
      </c>
      <c r="D46" s="19">
        <v>412402</v>
      </c>
      <c r="E46" s="69">
        <f>D46/'- 3 -'!$D46*100</f>
        <v>0.11214607543952135</v>
      </c>
    </row>
    <row r="47" spans="1:6" ht="5.0999999999999996" customHeight="1">
      <c r="A47"/>
      <c r="B47" s="21"/>
      <c r="C47"/>
      <c r="D47" s="21"/>
      <c r="E47"/>
    </row>
    <row r="48" spans="1:6" ht="14.1" customHeight="1">
      <c r="A48" s="289" t="s">
        <v>146</v>
      </c>
      <c r="B48" s="290">
        <f>SUM(B11:B46)</f>
        <v>2766101</v>
      </c>
      <c r="C48" s="297">
        <f>B48/'- 3 -'!$D48*100</f>
        <v>0.12940479305224895</v>
      </c>
      <c r="D48" s="290">
        <f>SUM(D11:D46)</f>
        <v>5470632</v>
      </c>
      <c r="E48" s="297">
        <f>D48/'- 3 -'!$D48*100</f>
        <v>0.25592919485767535</v>
      </c>
      <c r="F48" s="5"/>
    </row>
    <row r="49" spans="1:5" ht="5.0999999999999996" customHeight="1">
      <c r="A49" s="20" t="s">
        <v>8</v>
      </c>
      <c r="B49" s="21"/>
      <c r="C49"/>
      <c r="D49" s="21"/>
      <c r="E49"/>
    </row>
    <row r="50" spans="1:5" ht="14.1" customHeight="1">
      <c r="A50" s="18" t="s">
        <v>147</v>
      </c>
      <c r="B50" s="19">
        <v>0</v>
      </c>
      <c r="C50" s="69">
        <f>B50/'- 3 -'!$D50*100</f>
        <v>0</v>
      </c>
      <c r="D50" s="19">
        <v>31558</v>
      </c>
      <c r="E50" s="69">
        <f>D50/'- 3 -'!$D50*100</f>
        <v>0.97154539999821443</v>
      </c>
    </row>
    <row r="51" spans="1:5" ht="14.1" customHeight="1">
      <c r="A51" s="287" t="s">
        <v>643</v>
      </c>
      <c r="B51" s="288">
        <v>0</v>
      </c>
      <c r="C51" s="294">
        <f>B51/'- 3 -'!$D51*100</f>
        <v>0</v>
      </c>
      <c r="D51" s="288">
        <v>0</v>
      </c>
      <c r="E51" s="294">
        <f>D51/'- 3 -'!$D51*100</f>
        <v>0</v>
      </c>
    </row>
    <row r="52" spans="1:5" ht="50.1" customHeight="1"/>
  </sheetData>
  <mergeCells count="2">
    <mergeCell ref="B7:C8"/>
    <mergeCell ref="D7:E8"/>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27.xml><?xml version="1.0" encoding="utf-8"?>
<worksheet xmlns="http://schemas.openxmlformats.org/spreadsheetml/2006/main" xmlns:r="http://schemas.openxmlformats.org/officeDocument/2006/relationships">
  <sheetPr codeName="Sheet29">
    <pageSetUpPr fitToPage="1"/>
  </sheetPr>
  <dimension ref="A1:G52"/>
  <sheetViews>
    <sheetView showGridLines="0" showZeros="0" workbookViewId="0"/>
  </sheetViews>
  <sheetFormatPr defaultColWidth="15.83203125" defaultRowHeight="12"/>
  <cols>
    <col min="1" max="1" width="33.83203125" style="1" customWidth="1"/>
    <col min="2" max="2" width="17.83203125" style="1" customWidth="1"/>
    <col min="3" max="3" width="14.83203125" style="1" customWidth="1"/>
    <col min="4" max="4" width="18.83203125" style="1" customWidth="1"/>
    <col min="5" max="5" width="14.83203125" style="1" customWidth="1"/>
    <col min="6" max="6" width="17.83203125" style="1" customWidth="1"/>
    <col min="7" max="7" width="14.83203125" style="1" customWidth="1"/>
    <col min="8" max="16384" width="15.83203125" style="1"/>
  </cols>
  <sheetData>
    <row r="1" spans="1:7" ht="6.95" customHeight="1">
      <c r="A1" s="6"/>
      <c r="B1" s="7"/>
      <c r="C1" s="7"/>
      <c r="D1" s="7"/>
      <c r="E1" s="7"/>
      <c r="F1" s="7"/>
      <c r="G1" s="7"/>
    </row>
    <row r="2" spans="1:7" ht="15.95" customHeight="1">
      <c r="A2" s="133"/>
      <c r="B2" s="8" t="s">
        <v>266</v>
      </c>
      <c r="C2" s="9"/>
      <c r="D2" s="157"/>
      <c r="E2" s="9"/>
      <c r="F2" s="72"/>
      <c r="G2" s="398" t="s">
        <v>431</v>
      </c>
    </row>
    <row r="3" spans="1:7" ht="15.95" customHeight="1">
      <c r="A3" s="546"/>
      <c r="B3" s="10" t="str">
        <f>OPYEAR</f>
        <v>OPERATING FUND 2014/2015 ACTUAL</v>
      </c>
      <c r="C3" s="11"/>
      <c r="D3" s="158"/>
      <c r="E3" s="11"/>
      <c r="F3" s="74"/>
      <c r="G3" s="74"/>
    </row>
    <row r="4" spans="1:7" ht="15.95" customHeight="1">
      <c r="B4" s="7"/>
      <c r="C4" s="7"/>
      <c r="D4" s="7"/>
      <c r="E4" s="7"/>
      <c r="F4" s="7"/>
      <c r="G4" s="7"/>
    </row>
    <row r="5" spans="1:7" ht="15.95" customHeight="1">
      <c r="B5" s="7"/>
      <c r="C5" s="7"/>
      <c r="D5" s="7"/>
      <c r="E5" s="7"/>
      <c r="F5" s="7"/>
      <c r="G5" s="7"/>
    </row>
    <row r="6" spans="1:7" ht="15.95" customHeight="1">
      <c r="B6" s="153" t="s">
        <v>17</v>
      </c>
      <c r="C6" s="164"/>
      <c r="D6" s="165"/>
      <c r="E6" s="165"/>
      <c r="F6" s="165"/>
      <c r="G6" s="166"/>
    </row>
    <row r="7" spans="1:7" ht="15.95" customHeight="1">
      <c r="B7" s="321"/>
      <c r="C7" s="313"/>
      <c r="D7" s="679" t="s">
        <v>26</v>
      </c>
      <c r="E7" s="680"/>
      <c r="F7" s="680"/>
      <c r="G7" s="681"/>
    </row>
    <row r="8" spans="1:7" ht="15.95" customHeight="1">
      <c r="A8" s="66"/>
      <c r="B8" s="677" t="s">
        <v>20</v>
      </c>
      <c r="C8" s="637"/>
      <c r="D8" s="636" t="s">
        <v>30</v>
      </c>
      <c r="E8" s="637"/>
      <c r="F8" s="636" t="s">
        <v>110</v>
      </c>
      <c r="G8" s="637"/>
    </row>
    <row r="9" spans="1:7" ht="15.95" customHeight="1">
      <c r="A9" s="34" t="s">
        <v>43</v>
      </c>
      <c r="B9" s="167" t="s">
        <v>44</v>
      </c>
      <c r="C9" s="167" t="s">
        <v>45</v>
      </c>
      <c r="D9" s="167" t="s">
        <v>44</v>
      </c>
      <c r="E9" s="167" t="s">
        <v>45</v>
      </c>
      <c r="F9" s="167" t="s">
        <v>44</v>
      </c>
      <c r="G9" s="167" t="s">
        <v>45</v>
      </c>
    </row>
    <row r="10" spans="1:7" ht="5.0999999999999996" customHeight="1">
      <c r="A10" s="5"/>
    </row>
    <row r="11" spans="1:7" ht="14.1" customHeight="1">
      <c r="A11" s="287" t="s">
        <v>111</v>
      </c>
      <c r="B11" s="288">
        <v>51988</v>
      </c>
      <c r="C11" s="294">
        <f>B11/'- 3 -'!$D11*100</f>
        <v>0.29735879861279846</v>
      </c>
      <c r="D11" s="288">
        <v>1365263</v>
      </c>
      <c r="E11" s="294">
        <f>D11/'- 3 -'!$D11*100</f>
        <v>7.8089744839290809</v>
      </c>
      <c r="F11" s="288">
        <v>367848</v>
      </c>
      <c r="G11" s="294">
        <f>F11/'- 3 -'!$D11*100</f>
        <v>2.1040016802362214</v>
      </c>
    </row>
    <row r="12" spans="1:7" ht="14.1" customHeight="1">
      <c r="A12" s="18" t="s">
        <v>112</v>
      </c>
      <c r="B12" s="19">
        <v>75605</v>
      </c>
      <c r="C12" s="69">
        <f>B12/'- 3 -'!$D12*100</f>
        <v>0.23875444611273783</v>
      </c>
      <c r="D12" s="19">
        <v>2391910</v>
      </c>
      <c r="E12" s="69">
        <f>D12/'- 3 -'!$D12*100</f>
        <v>7.5534574062762871</v>
      </c>
      <c r="F12" s="19">
        <v>472136</v>
      </c>
      <c r="G12" s="69">
        <f>F12/'- 3 -'!$D12*100</f>
        <v>1.4909671208238024</v>
      </c>
    </row>
    <row r="13" spans="1:7" ht="14.1" customHeight="1">
      <c r="A13" s="287" t="s">
        <v>113</v>
      </c>
      <c r="B13" s="288">
        <v>255794</v>
      </c>
      <c r="C13" s="294">
        <f>B13/'- 3 -'!$D13*100</f>
        <v>0.29573926949692703</v>
      </c>
      <c r="D13" s="288">
        <v>6087651</v>
      </c>
      <c r="E13" s="294">
        <f>D13/'- 3 -'!$D13*100</f>
        <v>7.0383099669743512</v>
      </c>
      <c r="F13" s="288">
        <v>510721</v>
      </c>
      <c r="G13" s="294">
        <f>F13/'- 3 -'!$D13*100</f>
        <v>0.59047614665215009</v>
      </c>
    </row>
    <row r="14" spans="1:7" ht="14.1" customHeight="1">
      <c r="A14" s="18" t="s">
        <v>365</v>
      </c>
      <c r="B14" s="19">
        <v>311955</v>
      </c>
      <c r="C14" s="69">
        <f>B14/'- 3 -'!$D14*100</f>
        <v>0.40266163659408777</v>
      </c>
      <c r="D14" s="19">
        <v>6305739</v>
      </c>
      <c r="E14" s="69">
        <f>D14/'- 3 -'!$D14*100</f>
        <v>8.1392482430964925</v>
      </c>
      <c r="F14" s="19">
        <v>583550</v>
      </c>
      <c r="G14" s="69">
        <f>F14/'- 3 -'!$D14*100</f>
        <v>0.75322786310358836</v>
      </c>
    </row>
    <row r="15" spans="1:7" ht="14.1" customHeight="1">
      <c r="A15" s="287" t="s">
        <v>114</v>
      </c>
      <c r="B15" s="288">
        <v>92453</v>
      </c>
      <c r="C15" s="294">
        <f>B15/'- 3 -'!$D15*100</f>
        <v>0.4703240974750546</v>
      </c>
      <c r="D15" s="288">
        <v>1949626</v>
      </c>
      <c r="E15" s="294">
        <f>D15/'- 3 -'!$D15*100</f>
        <v>9.9180782545066215</v>
      </c>
      <c r="F15" s="288">
        <v>262085</v>
      </c>
      <c r="G15" s="294">
        <f>F15/'- 3 -'!$D15*100</f>
        <v>1.3332708628897891</v>
      </c>
    </row>
    <row r="16" spans="1:7" ht="14.1" customHeight="1">
      <c r="A16" s="18" t="s">
        <v>115</v>
      </c>
      <c r="B16" s="19">
        <v>72720</v>
      </c>
      <c r="C16" s="69">
        <f>B16/'- 3 -'!$D16*100</f>
        <v>0.53406229801454708</v>
      </c>
      <c r="D16" s="19">
        <v>1950126</v>
      </c>
      <c r="E16" s="69">
        <f>D16/'- 3 -'!$D16*100</f>
        <v>14.321902818728224</v>
      </c>
      <c r="F16" s="19">
        <v>136646</v>
      </c>
      <c r="G16" s="69">
        <f>F16/'- 3 -'!$D16*100</f>
        <v>1.0035406597152887</v>
      </c>
    </row>
    <row r="17" spans="1:7" ht="14.1" customHeight="1">
      <c r="A17" s="287" t="s">
        <v>116</v>
      </c>
      <c r="B17" s="288">
        <v>71209</v>
      </c>
      <c r="C17" s="294">
        <f>B17/'- 3 -'!$D17*100</f>
        <v>0.41011076313694622</v>
      </c>
      <c r="D17" s="288">
        <v>1596921</v>
      </c>
      <c r="E17" s="294">
        <f>D17/'- 3 -'!$D17*100</f>
        <v>9.1970746672389065</v>
      </c>
      <c r="F17" s="288">
        <v>131259</v>
      </c>
      <c r="G17" s="294">
        <f>F17/'- 3 -'!$D17*100</f>
        <v>0.75595400382806144</v>
      </c>
    </row>
    <row r="18" spans="1:7" ht="14.1" customHeight="1">
      <c r="A18" s="18" t="s">
        <v>117</v>
      </c>
      <c r="B18" s="19">
        <v>896981</v>
      </c>
      <c r="C18" s="69">
        <f>B18/'- 3 -'!$D18*100</f>
        <v>0.73418201825084195</v>
      </c>
      <c r="D18" s="19">
        <v>15918027</v>
      </c>
      <c r="E18" s="69">
        <f>D18/'- 3 -'!$D18*100</f>
        <v>13.028959575990346</v>
      </c>
      <c r="F18" s="19">
        <v>1291077</v>
      </c>
      <c r="G18" s="69">
        <f>F18/'- 3 -'!$D18*100</f>
        <v>1.0567509429711914</v>
      </c>
    </row>
    <row r="19" spans="1:7" ht="14.1" customHeight="1">
      <c r="A19" s="287" t="s">
        <v>118</v>
      </c>
      <c r="B19" s="288">
        <v>177764</v>
      </c>
      <c r="C19" s="294">
        <f>B19/'- 3 -'!$D19*100</f>
        <v>0.41270210740558189</v>
      </c>
      <c r="D19" s="288">
        <v>3595530</v>
      </c>
      <c r="E19" s="294">
        <f>D19/'- 3 -'!$D19*100</f>
        <v>8.3474877266487688</v>
      </c>
      <c r="F19" s="288">
        <v>154385</v>
      </c>
      <c r="G19" s="294">
        <f>F19/'- 3 -'!$D19*100</f>
        <v>0.35842473645851097</v>
      </c>
    </row>
    <row r="20" spans="1:7" ht="14.1" customHeight="1">
      <c r="A20" s="18" t="s">
        <v>119</v>
      </c>
      <c r="B20" s="19">
        <v>279320</v>
      </c>
      <c r="C20" s="69">
        <f>B20/'- 3 -'!$D20*100</f>
        <v>0.37413896602413133</v>
      </c>
      <c r="D20" s="19">
        <v>6672921</v>
      </c>
      <c r="E20" s="69">
        <f>D20/'- 3 -'!$D20*100</f>
        <v>8.9381346244476312</v>
      </c>
      <c r="F20" s="19">
        <v>771338</v>
      </c>
      <c r="G20" s="69">
        <f>F20/'- 3 -'!$D20*100</f>
        <v>1.0331791557178913</v>
      </c>
    </row>
    <row r="21" spans="1:7" ht="14.1" customHeight="1">
      <c r="A21" s="287" t="s">
        <v>120</v>
      </c>
      <c r="B21" s="288">
        <v>114595</v>
      </c>
      <c r="C21" s="294">
        <f>B21/'- 3 -'!$D21*100</f>
        <v>0.32919377558760204</v>
      </c>
      <c r="D21" s="288">
        <v>2849466</v>
      </c>
      <c r="E21" s="294">
        <f>D21/'- 3 -'!$D21*100</f>
        <v>8.1855793965574595</v>
      </c>
      <c r="F21" s="288">
        <v>324641</v>
      </c>
      <c r="G21" s="294">
        <f>F21/'- 3 -'!$D21*100</f>
        <v>0.93258690606513994</v>
      </c>
    </row>
    <row r="22" spans="1:7" ht="14.1" customHeight="1">
      <c r="A22" s="18" t="s">
        <v>121</v>
      </c>
      <c r="B22" s="19">
        <v>85059</v>
      </c>
      <c r="C22" s="69">
        <f>B22/'- 3 -'!$D22*100</f>
        <v>0.43762065128658434</v>
      </c>
      <c r="D22" s="19">
        <v>2082562</v>
      </c>
      <c r="E22" s="69">
        <f>D22/'- 3 -'!$D22*100</f>
        <v>10.714587977576642</v>
      </c>
      <c r="F22" s="19">
        <v>187203</v>
      </c>
      <c r="G22" s="69">
        <f>F22/'- 3 -'!$D22*100</f>
        <v>0.96314204002871473</v>
      </c>
    </row>
    <row r="23" spans="1:7" ht="14.1" customHeight="1">
      <c r="A23" s="287" t="s">
        <v>122</v>
      </c>
      <c r="B23" s="288">
        <v>89013</v>
      </c>
      <c r="C23" s="294">
        <f>B23/'- 3 -'!$D23*100</f>
        <v>0.54790360225398016</v>
      </c>
      <c r="D23" s="288">
        <v>1166826</v>
      </c>
      <c r="E23" s="294">
        <f>D23/'- 3 -'!$D23*100</f>
        <v>7.1821887657263845</v>
      </c>
      <c r="F23" s="288">
        <v>100264</v>
      </c>
      <c r="G23" s="294">
        <f>F23/'- 3 -'!$D23*100</f>
        <v>0.61715712060477745</v>
      </c>
    </row>
    <row r="24" spans="1:7" ht="14.1" customHeight="1">
      <c r="A24" s="18" t="s">
        <v>123</v>
      </c>
      <c r="B24" s="19">
        <v>120618</v>
      </c>
      <c r="C24" s="69">
        <f>B24/'- 3 -'!$D24*100</f>
        <v>0.22245292480005599</v>
      </c>
      <c r="D24" s="19">
        <v>5511038</v>
      </c>
      <c r="E24" s="69">
        <f>D24/'- 3 -'!$D24*100</f>
        <v>10.163877048071193</v>
      </c>
      <c r="F24" s="19">
        <v>422620</v>
      </c>
      <c r="G24" s="69">
        <f>F24/'- 3 -'!$D24*100</f>
        <v>0.77942807109220569</v>
      </c>
    </row>
    <row r="25" spans="1:7" ht="14.1" customHeight="1">
      <c r="A25" s="287" t="s">
        <v>124</v>
      </c>
      <c r="B25" s="288">
        <v>553174</v>
      </c>
      <c r="C25" s="294">
        <f>B25/'- 3 -'!$D25*100</f>
        <v>0.34625432823387275</v>
      </c>
      <c r="D25" s="288">
        <v>15768042</v>
      </c>
      <c r="E25" s="294">
        <f>D25/'- 3 -'!$D25*100</f>
        <v>9.8698651604621546</v>
      </c>
      <c r="F25" s="288">
        <v>447071</v>
      </c>
      <c r="G25" s="294">
        <f>F25/'- 3 -'!$D25*100</f>
        <v>0.27984010235088008</v>
      </c>
    </row>
    <row r="26" spans="1:7" ht="14.1" customHeight="1">
      <c r="A26" s="18" t="s">
        <v>125</v>
      </c>
      <c r="B26" s="19">
        <v>171375</v>
      </c>
      <c r="C26" s="69">
        <f>B26/'- 3 -'!$D26*100</f>
        <v>0.44050715373335952</v>
      </c>
      <c r="D26" s="19">
        <v>4197851</v>
      </c>
      <c r="E26" s="69">
        <f>D26/'- 3 -'!$D26*100</f>
        <v>10.790275103175707</v>
      </c>
      <c r="F26" s="19">
        <v>314222</v>
      </c>
      <c r="G26" s="69">
        <f>F26/'- 3 -'!$D26*100</f>
        <v>0.80768512828827821</v>
      </c>
    </row>
    <row r="27" spans="1:7" ht="14.1" customHeight="1">
      <c r="A27" s="287" t="s">
        <v>126</v>
      </c>
      <c r="B27" s="288">
        <v>198587</v>
      </c>
      <c r="C27" s="294">
        <f>B27/'- 3 -'!$D27*100</f>
        <v>0.50855015586699792</v>
      </c>
      <c r="D27" s="288">
        <v>3779927</v>
      </c>
      <c r="E27" s="294">
        <f>D27/'- 3 -'!$D27*100</f>
        <v>9.6798001128768441</v>
      </c>
      <c r="F27" s="288">
        <v>310069</v>
      </c>
      <c r="G27" s="294">
        <f>F27/'- 3 -'!$D27*100</f>
        <v>0.79403807036474772</v>
      </c>
    </row>
    <row r="28" spans="1:7" ht="14.1" customHeight="1">
      <c r="A28" s="18" t="s">
        <v>127</v>
      </c>
      <c r="B28" s="19">
        <v>50438</v>
      </c>
      <c r="C28" s="69">
        <f>B28/'- 3 -'!$D28*100</f>
        <v>0.18342001339339206</v>
      </c>
      <c r="D28" s="19">
        <v>2929364</v>
      </c>
      <c r="E28" s="69">
        <f>D28/'- 3 -'!$D28*100</f>
        <v>10.652761491615857</v>
      </c>
      <c r="F28" s="19">
        <v>105500</v>
      </c>
      <c r="G28" s="69">
        <f>F28/'- 3 -'!$D28*100</f>
        <v>0.38365540689565136</v>
      </c>
    </row>
    <row r="29" spans="1:7" ht="14.1" customHeight="1">
      <c r="A29" s="287" t="s">
        <v>128</v>
      </c>
      <c r="B29" s="288">
        <v>1001379</v>
      </c>
      <c r="C29" s="294">
        <f>B29/'- 3 -'!$D29*100</f>
        <v>0.68642258432774439</v>
      </c>
      <c r="D29" s="288">
        <v>12886915</v>
      </c>
      <c r="E29" s="294">
        <f>D29/'- 3 -'!$D29*100</f>
        <v>8.8336878427767864</v>
      </c>
      <c r="F29" s="288">
        <v>2285251</v>
      </c>
      <c r="G29" s="294">
        <f>F29/'- 3 -'!$D29*100</f>
        <v>1.566487710704501</v>
      </c>
    </row>
    <row r="30" spans="1:7" ht="14.1" customHeight="1">
      <c r="A30" s="18" t="s">
        <v>129</v>
      </c>
      <c r="B30" s="19">
        <v>87372</v>
      </c>
      <c r="C30" s="69">
        <f>B30/'- 3 -'!$D30*100</f>
        <v>0.64262517517883422</v>
      </c>
      <c r="D30" s="19">
        <v>1129157</v>
      </c>
      <c r="E30" s="69">
        <f>D30/'- 3 -'!$D30*100</f>
        <v>8.3050029177471849</v>
      </c>
      <c r="F30" s="19">
        <v>219316</v>
      </c>
      <c r="G30" s="69">
        <f>F30/'- 3 -'!$D30*100</f>
        <v>1.6130795096772561</v>
      </c>
    </row>
    <row r="31" spans="1:7" ht="14.1" customHeight="1">
      <c r="A31" s="287" t="s">
        <v>130</v>
      </c>
      <c r="B31" s="288">
        <v>96018</v>
      </c>
      <c r="C31" s="294">
        <f>B31/'- 3 -'!$D31*100</f>
        <v>0.27161697644291743</v>
      </c>
      <c r="D31" s="288">
        <v>3494874</v>
      </c>
      <c r="E31" s="294">
        <f>D31/'- 3 -'!$D31*100</f>
        <v>9.8863453615880843</v>
      </c>
      <c r="F31" s="288">
        <v>170065</v>
      </c>
      <c r="G31" s="294">
        <f>F31/'- 3 -'!$D31*100</f>
        <v>0.48108210021834191</v>
      </c>
    </row>
    <row r="32" spans="1:7" ht="14.1" customHeight="1">
      <c r="A32" s="18" t="s">
        <v>131</v>
      </c>
      <c r="B32" s="19">
        <v>68980</v>
      </c>
      <c r="C32" s="69">
        <f>B32/'- 3 -'!$D32*100</f>
        <v>0.26123344525824371</v>
      </c>
      <c r="D32" s="19">
        <v>2132200</v>
      </c>
      <c r="E32" s="69">
        <f>D32/'- 3 -'!$D32*100</f>
        <v>8.074832588860934</v>
      </c>
      <c r="F32" s="19">
        <v>310154</v>
      </c>
      <c r="G32" s="69">
        <f>F32/'- 3 -'!$D32*100</f>
        <v>1.1745810087072386</v>
      </c>
    </row>
    <row r="33" spans="1:7" ht="14.1" customHeight="1">
      <c r="A33" s="287" t="s">
        <v>132</v>
      </c>
      <c r="B33" s="288">
        <v>81281</v>
      </c>
      <c r="C33" s="294">
        <f>B33/'- 3 -'!$D33*100</f>
        <v>0.30843308207679765</v>
      </c>
      <c r="D33" s="288">
        <v>2591045</v>
      </c>
      <c r="E33" s="294">
        <f>D33/'- 3 -'!$D33*100</f>
        <v>9.8321132263342754</v>
      </c>
      <c r="F33" s="288">
        <v>347645</v>
      </c>
      <c r="G33" s="294">
        <f>F33/'- 3 -'!$D33*100</f>
        <v>1.3191916784806821</v>
      </c>
    </row>
    <row r="34" spans="1:7" ht="14.1" customHeight="1">
      <c r="A34" s="18" t="s">
        <v>133</v>
      </c>
      <c r="B34" s="19">
        <v>63522</v>
      </c>
      <c r="C34" s="69">
        <f>B34/'- 3 -'!$D34*100</f>
        <v>0.23963951082936916</v>
      </c>
      <c r="D34" s="19">
        <v>2061659</v>
      </c>
      <c r="E34" s="69">
        <f>D34/'- 3 -'!$D34*100</f>
        <v>7.7776983447776589</v>
      </c>
      <c r="F34" s="19">
        <v>300955</v>
      </c>
      <c r="G34" s="69">
        <f>F34/'- 3 -'!$D34*100</f>
        <v>1.13536584146678</v>
      </c>
    </row>
    <row r="35" spans="1:7" ht="14.1" customHeight="1">
      <c r="A35" s="287" t="s">
        <v>134</v>
      </c>
      <c r="B35" s="288">
        <v>790887</v>
      </c>
      <c r="C35" s="294">
        <f>B35/'- 3 -'!$D35*100</f>
        <v>0.45257429278768291</v>
      </c>
      <c r="D35" s="288">
        <v>17534622</v>
      </c>
      <c r="E35" s="294">
        <f>D35/'- 3 -'!$D35*100</f>
        <v>10.033948150556713</v>
      </c>
      <c r="F35" s="288">
        <v>755574</v>
      </c>
      <c r="G35" s="294">
        <f>F35/'- 3 -'!$D35*100</f>
        <v>0.43236691044202358</v>
      </c>
    </row>
    <row r="36" spans="1:7" ht="14.1" customHeight="1">
      <c r="A36" s="18" t="s">
        <v>135</v>
      </c>
      <c r="B36" s="19">
        <v>60760</v>
      </c>
      <c r="C36" s="69">
        <f>B36/'- 3 -'!$D36*100</f>
        <v>0.27826111169069456</v>
      </c>
      <c r="D36" s="19">
        <v>2085567</v>
      </c>
      <c r="E36" s="69">
        <f>D36/'- 3 -'!$D36*100</f>
        <v>9.5512210652637712</v>
      </c>
      <c r="F36" s="19">
        <v>110739</v>
      </c>
      <c r="G36" s="69">
        <f>F36/'- 3 -'!$D36*100</f>
        <v>0.50714873679255801</v>
      </c>
    </row>
    <row r="37" spans="1:7" ht="14.1" customHeight="1">
      <c r="A37" s="287" t="s">
        <v>136</v>
      </c>
      <c r="B37" s="288">
        <v>115545</v>
      </c>
      <c r="C37" s="294">
        <f>B37/'- 3 -'!$D37*100</f>
        <v>0.25634737350933823</v>
      </c>
      <c r="D37" s="288">
        <v>3798112</v>
      </c>
      <c r="E37" s="294">
        <f>D37/'- 3 -'!$D37*100</f>
        <v>8.4264661862849941</v>
      </c>
      <c r="F37" s="288">
        <v>480492</v>
      </c>
      <c r="G37" s="294">
        <f>F37/'- 3 -'!$D37*100</f>
        <v>1.066016376236522</v>
      </c>
    </row>
    <row r="38" spans="1:7" ht="14.1" customHeight="1">
      <c r="A38" s="18" t="s">
        <v>137</v>
      </c>
      <c r="B38" s="19">
        <v>538107</v>
      </c>
      <c r="C38" s="69">
        <f>B38/'- 3 -'!$D38*100</f>
        <v>0.44088059086833059</v>
      </c>
      <c r="D38" s="19">
        <v>9527514</v>
      </c>
      <c r="E38" s="69">
        <f>D38/'- 3 -'!$D38*100</f>
        <v>7.8060608797623745</v>
      </c>
      <c r="F38" s="19">
        <v>490126</v>
      </c>
      <c r="G38" s="69">
        <f>F38/'- 3 -'!$D38*100</f>
        <v>0.40156890819099433</v>
      </c>
    </row>
    <row r="39" spans="1:7" ht="14.1" customHeight="1">
      <c r="A39" s="287" t="s">
        <v>138</v>
      </c>
      <c r="B39" s="288">
        <v>75774</v>
      </c>
      <c r="C39" s="294">
        <f>B39/'- 3 -'!$D39*100</f>
        <v>0.37530062831429128</v>
      </c>
      <c r="D39" s="288">
        <v>1809904</v>
      </c>
      <c r="E39" s="294">
        <f>D39/'- 3 -'!$D39*100</f>
        <v>8.9642635783850544</v>
      </c>
      <c r="F39" s="288">
        <v>62785</v>
      </c>
      <c r="G39" s="294">
        <f>F39/'- 3 -'!$D39*100</f>
        <v>0.31096748157300363</v>
      </c>
    </row>
    <row r="40" spans="1:7" ht="14.1" customHeight="1">
      <c r="A40" s="18" t="s">
        <v>139</v>
      </c>
      <c r="B40" s="19">
        <v>450308</v>
      </c>
      <c r="C40" s="69">
        <f>B40/'- 3 -'!$D40*100</f>
        <v>0.46056215383470195</v>
      </c>
      <c r="D40" s="19">
        <v>8235807</v>
      </c>
      <c r="E40" s="69">
        <f>D40/'- 3 -'!$D40*100</f>
        <v>8.4233480428660279</v>
      </c>
      <c r="F40" s="19">
        <v>679745</v>
      </c>
      <c r="G40" s="69">
        <f>F40/'- 3 -'!$D40*100</f>
        <v>0.6952237607556816</v>
      </c>
    </row>
    <row r="41" spans="1:7" ht="14.1" customHeight="1">
      <c r="A41" s="287" t="s">
        <v>140</v>
      </c>
      <c r="B41" s="288">
        <v>182565</v>
      </c>
      <c r="C41" s="294">
        <f>B41/'- 3 -'!$D41*100</f>
        <v>0.30555758816156109</v>
      </c>
      <c r="D41" s="288">
        <v>5028514</v>
      </c>
      <c r="E41" s="294">
        <f>D41/'- 3 -'!$D41*100</f>
        <v>8.4161838790383925</v>
      </c>
      <c r="F41" s="288">
        <v>634713</v>
      </c>
      <c r="G41" s="294">
        <f>F41/'- 3 -'!$D41*100</f>
        <v>1.0623140988403523</v>
      </c>
    </row>
    <row r="42" spans="1:7" ht="14.1" customHeight="1">
      <c r="A42" s="18" t="s">
        <v>141</v>
      </c>
      <c r="B42" s="19">
        <v>54270</v>
      </c>
      <c r="C42" s="69">
        <f>B42/'- 3 -'!$D42*100</f>
        <v>0.27272106424231862</v>
      </c>
      <c r="D42" s="19">
        <v>1845119</v>
      </c>
      <c r="E42" s="69">
        <f>D42/'- 3 -'!$D42*100</f>
        <v>9.2722096431494876</v>
      </c>
      <c r="F42" s="19">
        <v>149416</v>
      </c>
      <c r="G42" s="69">
        <f>F42/'- 3 -'!$D42*100</f>
        <v>0.75085480992869502</v>
      </c>
    </row>
    <row r="43" spans="1:7" ht="14.1" customHeight="1">
      <c r="A43" s="287" t="s">
        <v>142</v>
      </c>
      <c r="B43" s="288">
        <v>14040</v>
      </c>
      <c r="C43" s="294">
        <f>B43/'- 3 -'!$D43*100</f>
        <v>0.1096143752226542</v>
      </c>
      <c r="D43" s="288">
        <v>814043</v>
      </c>
      <c r="E43" s="294">
        <f>D43/'- 3 -'!$D43*100</f>
        <v>6.3554711431178843</v>
      </c>
      <c r="F43" s="288">
        <v>96246</v>
      </c>
      <c r="G43" s="294">
        <f>F43/'- 3 -'!$D43*100</f>
        <v>0.7514205952763231</v>
      </c>
    </row>
    <row r="44" spans="1:7" ht="14.1" customHeight="1">
      <c r="A44" s="18" t="s">
        <v>143</v>
      </c>
      <c r="B44" s="19">
        <v>30014</v>
      </c>
      <c r="C44" s="69">
        <f>B44/'- 3 -'!$D44*100</f>
        <v>0.28468458761235998</v>
      </c>
      <c r="D44" s="19">
        <v>864067</v>
      </c>
      <c r="E44" s="69">
        <f>D44/'- 3 -'!$D44*100</f>
        <v>8.1957272461001214</v>
      </c>
      <c r="F44" s="19">
        <v>114476</v>
      </c>
      <c r="G44" s="69">
        <f>F44/'- 3 -'!$D44*100</f>
        <v>1.0858117162495011</v>
      </c>
    </row>
    <row r="45" spans="1:7" ht="14.1" customHeight="1">
      <c r="A45" s="287" t="s">
        <v>144</v>
      </c>
      <c r="B45" s="288">
        <v>78923</v>
      </c>
      <c r="C45" s="294">
        <f>B45/'- 3 -'!$D45*100</f>
        <v>0.45196458248781701</v>
      </c>
      <c r="D45" s="288">
        <v>1445352</v>
      </c>
      <c r="E45" s="294">
        <f>D45/'- 3 -'!$D45*100</f>
        <v>8.2770284103231155</v>
      </c>
      <c r="F45" s="288">
        <v>145383</v>
      </c>
      <c r="G45" s="294">
        <f>F45/'- 3 -'!$D45*100</f>
        <v>0.83255789688463822</v>
      </c>
    </row>
    <row r="46" spans="1:7" ht="14.1" customHeight="1">
      <c r="A46" s="18" t="s">
        <v>145</v>
      </c>
      <c r="B46" s="19">
        <v>1044266</v>
      </c>
      <c r="C46" s="69">
        <f>B46/'- 3 -'!$D46*100</f>
        <v>0.28397130376411173</v>
      </c>
      <c r="D46" s="19">
        <v>35282811</v>
      </c>
      <c r="E46" s="69">
        <f>D46/'- 3 -'!$D46*100</f>
        <v>9.5945916463168803</v>
      </c>
      <c r="F46" s="19">
        <v>4332012</v>
      </c>
      <c r="G46" s="69">
        <f>F46/'- 3 -'!$D46*100</f>
        <v>1.178020825691708</v>
      </c>
    </row>
    <row r="47" spans="1:7" ht="5.0999999999999996" customHeight="1">
      <c r="A47"/>
      <c r="B47" s="21"/>
      <c r="C47"/>
      <c r="D47" s="21"/>
      <c r="E47"/>
      <c r="F47" s="21"/>
      <c r="G47"/>
    </row>
    <row r="48" spans="1:7" ht="14.1" customHeight="1">
      <c r="A48" s="289" t="s">
        <v>146</v>
      </c>
      <c r="B48" s="290">
        <f>SUM(B11:B46)</f>
        <v>8502659</v>
      </c>
      <c r="C48" s="297">
        <f>B48/'- 3 -'!$D48*100</f>
        <v>0.39777463956986459</v>
      </c>
      <c r="D48" s="290">
        <f>SUM(D11:D46)</f>
        <v>198686072</v>
      </c>
      <c r="E48" s="297">
        <f>D48/'- 3 -'!$D48*100</f>
        <v>9.2950076766988001</v>
      </c>
      <c r="F48" s="290">
        <f>SUM(F11:F46)</f>
        <v>18577728</v>
      </c>
      <c r="G48" s="297">
        <f>F48/'- 3 -'!$D48*100</f>
        <v>0.8691103640904545</v>
      </c>
    </row>
    <row r="49" spans="1:7" ht="5.0999999999999996" customHeight="1">
      <c r="A49" s="20" t="s">
        <v>8</v>
      </c>
      <c r="B49" s="21"/>
      <c r="C49"/>
      <c r="D49" s="21"/>
      <c r="E49"/>
      <c r="F49" s="21"/>
      <c r="G49"/>
    </row>
    <row r="50" spans="1:7" ht="14.1" customHeight="1">
      <c r="A50" s="18" t="s">
        <v>147</v>
      </c>
      <c r="B50" s="19">
        <v>11427</v>
      </c>
      <c r="C50" s="69">
        <f>B50/'- 3 -'!$D50*100</f>
        <v>0.35179191602064758</v>
      </c>
      <c r="D50" s="19">
        <v>473139</v>
      </c>
      <c r="E50" s="69">
        <f>D50/'- 3 -'!$D50*100</f>
        <v>14.566069428029508</v>
      </c>
      <c r="F50" s="19">
        <v>0</v>
      </c>
      <c r="G50" s="69">
        <f>F50/'- 3 -'!$D50*100</f>
        <v>0</v>
      </c>
    </row>
    <row r="51" spans="1:7" ht="14.1" customHeight="1">
      <c r="A51" s="287" t="s">
        <v>643</v>
      </c>
      <c r="B51" s="288">
        <v>180883</v>
      </c>
      <c r="C51" s="294">
        <f>B51/'- 3 -'!$D51*100</f>
        <v>0.81126422228486295</v>
      </c>
      <c r="D51" s="288">
        <v>2223475</v>
      </c>
      <c r="E51" s="294">
        <f>D51/'- 3 -'!$D51*100</f>
        <v>9.9723341422070391</v>
      </c>
      <c r="F51" s="288">
        <v>4484</v>
      </c>
      <c r="G51" s="294">
        <f>F51/'- 3 -'!$D51*100</f>
        <v>2.0110838347027229E-2</v>
      </c>
    </row>
    <row r="52" spans="1:7" ht="50.1" customHeight="1"/>
  </sheetData>
  <mergeCells count="4">
    <mergeCell ref="D8:E8"/>
    <mergeCell ref="F8:G8"/>
    <mergeCell ref="D7:G7"/>
    <mergeCell ref="B8:C8"/>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28.xml><?xml version="1.0" encoding="utf-8"?>
<worksheet xmlns="http://schemas.openxmlformats.org/spreadsheetml/2006/main" xmlns:r="http://schemas.openxmlformats.org/officeDocument/2006/relationships">
  <sheetPr codeName="Sheet30">
    <pageSetUpPr fitToPage="1"/>
  </sheetPr>
  <dimension ref="A1:F52"/>
  <sheetViews>
    <sheetView showGridLines="0" showZeros="0" workbookViewId="0"/>
  </sheetViews>
  <sheetFormatPr defaultColWidth="15.83203125" defaultRowHeight="12"/>
  <cols>
    <col min="1" max="1" width="32.83203125" style="1" customWidth="1"/>
    <col min="2" max="2" width="19.83203125" style="1" customWidth="1"/>
    <col min="3" max="3" width="15.83203125" style="1" customWidth="1"/>
    <col min="4" max="4" width="19.83203125" style="1" customWidth="1"/>
    <col min="5" max="5" width="15.83203125" style="1"/>
    <col min="6" max="6" width="28.83203125" style="1" customWidth="1"/>
    <col min="7" max="16384" width="15.83203125" style="1"/>
  </cols>
  <sheetData>
    <row r="1" spans="1:6" ht="6.95" customHeight="1">
      <c r="A1" s="6"/>
      <c r="B1" s="6"/>
      <c r="C1" s="6"/>
      <c r="D1" s="7"/>
      <c r="E1" s="7"/>
      <c r="F1" s="7"/>
    </row>
    <row r="2" spans="1:6" ht="15.95" customHeight="1">
      <c r="A2" s="133"/>
      <c r="B2" s="8" t="s">
        <v>266</v>
      </c>
      <c r="C2" s="168"/>
      <c r="D2" s="157"/>
      <c r="E2" s="9"/>
      <c r="F2" s="398" t="s">
        <v>432</v>
      </c>
    </row>
    <row r="3" spans="1:6" ht="15.95" customHeight="1">
      <c r="A3" s="546"/>
      <c r="B3" s="10" t="str">
        <f>OPYEAR</f>
        <v>OPERATING FUND 2014/2015 ACTUAL</v>
      </c>
      <c r="C3" s="28"/>
      <c r="D3" s="158"/>
      <c r="E3" s="11"/>
      <c r="F3" s="65"/>
    </row>
    <row r="4" spans="1:6" ht="15.95" customHeight="1">
      <c r="D4" s="7"/>
      <c r="E4" s="7"/>
      <c r="F4" s="7"/>
    </row>
    <row r="5" spans="1:6" ht="15.95" customHeight="1">
      <c r="D5" s="7"/>
      <c r="E5" s="7"/>
      <c r="F5" s="7"/>
    </row>
    <row r="6" spans="1:6" ht="15.95" customHeight="1">
      <c r="B6" s="153" t="s">
        <v>17</v>
      </c>
      <c r="C6" s="165"/>
      <c r="D6" s="38"/>
      <c r="E6" s="169"/>
      <c r="F6" s="42"/>
    </row>
    <row r="7" spans="1:6" ht="15.95" customHeight="1">
      <c r="B7" s="363"/>
      <c r="C7" s="313"/>
      <c r="D7" s="363"/>
      <c r="E7" s="313"/>
      <c r="F7" s="7"/>
    </row>
    <row r="8" spans="1:6" ht="15.95" customHeight="1">
      <c r="A8" s="66"/>
      <c r="B8" s="677" t="s">
        <v>36</v>
      </c>
      <c r="C8" s="637"/>
      <c r="D8" s="636" t="s">
        <v>37</v>
      </c>
      <c r="E8" s="637"/>
      <c r="F8" s="7"/>
    </row>
    <row r="9" spans="1:6" ht="15.95" customHeight="1">
      <c r="A9" s="34" t="s">
        <v>43</v>
      </c>
      <c r="B9" s="167" t="s">
        <v>44</v>
      </c>
      <c r="C9" s="167" t="s">
        <v>45</v>
      </c>
      <c r="D9" s="170" t="s">
        <v>44</v>
      </c>
      <c r="E9" s="167" t="s">
        <v>45</v>
      </c>
    </row>
    <row r="10" spans="1:6" ht="5.0999999999999996" customHeight="1">
      <c r="A10" s="5"/>
    </row>
    <row r="11" spans="1:6" ht="14.1" customHeight="1">
      <c r="A11" s="287" t="s">
        <v>111</v>
      </c>
      <c r="B11" s="288">
        <v>54516</v>
      </c>
      <c r="C11" s="294">
        <f>B11/'- 3 -'!$D11*100</f>
        <v>0.31181834779517043</v>
      </c>
      <c r="D11" s="288">
        <v>11831</v>
      </c>
      <c r="E11" s="294">
        <f>D11/'- 3 -'!$D11*100</f>
        <v>6.7670461383165709E-2</v>
      </c>
    </row>
    <row r="12" spans="1:6" ht="14.1" customHeight="1">
      <c r="A12" s="18" t="s">
        <v>112</v>
      </c>
      <c r="B12" s="19">
        <v>225424</v>
      </c>
      <c r="C12" s="69">
        <f>B12/'- 3 -'!$D12*100</f>
        <v>0.71187067337501242</v>
      </c>
      <c r="D12" s="19">
        <v>124986</v>
      </c>
      <c r="E12" s="69">
        <f>D12/'- 3 -'!$D12*100</f>
        <v>0.39469563126574503</v>
      </c>
    </row>
    <row r="13" spans="1:6" ht="14.1" customHeight="1">
      <c r="A13" s="287" t="s">
        <v>113</v>
      </c>
      <c r="B13" s="288">
        <v>228984</v>
      </c>
      <c r="C13" s="294">
        <f>B13/'- 3 -'!$D13*100</f>
        <v>0.26474256974942467</v>
      </c>
      <c r="D13" s="288">
        <v>141487</v>
      </c>
      <c r="E13" s="294">
        <f>D13/'- 3 -'!$D13*100</f>
        <v>0.16358187456825302</v>
      </c>
    </row>
    <row r="14" spans="1:6" ht="14.1" customHeight="1">
      <c r="A14" s="18" t="s">
        <v>365</v>
      </c>
      <c r="B14" s="19">
        <v>115988</v>
      </c>
      <c r="C14" s="69">
        <f>B14/'- 3 -'!$D14*100</f>
        <v>0.14971363788134523</v>
      </c>
      <c r="D14" s="19">
        <v>223150</v>
      </c>
      <c r="E14" s="69">
        <f>D14/'- 3 -'!$D14*100</f>
        <v>0.28803495441961402</v>
      </c>
    </row>
    <row r="15" spans="1:6" ht="14.1" customHeight="1">
      <c r="A15" s="287" t="s">
        <v>114</v>
      </c>
      <c r="B15" s="288">
        <v>100831</v>
      </c>
      <c r="C15" s="294">
        <f>B15/'- 3 -'!$D15*100</f>
        <v>0.51294440496800786</v>
      </c>
      <c r="D15" s="288">
        <v>65569</v>
      </c>
      <c r="E15" s="294">
        <f>D15/'- 3 -'!$D15*100</f>
        <v>0.33356062807417663</v>
      </c>
    </row>
    <row r="16" spans="1:6" ht="14.1" customHeight="1">
      <c r="A16" s="18" t="s">
        <v>115</v>
      </c>
      <c r="B16" s="19">
        <v>8635</v>
      </c>
      <c r="C16" s="69">
        <f>B16/'- 3 -'!$D16*100</f>
        <v>6.3416225843724069E-2</v>
      </c>
      <c r="D16" s="19">
        <v>63351</v>
      </c>
      <c r="E16" s="69">
        <f>D16/'- 3 -'!$D16*100</f>
        <v>0.46525550937183124</v>
      </c>
    </row>
    <row r="17" spans="1:5" ht="14.1" customHeight="1">
      <c r="A17" s="287" t="s">
        <v>116</v>
      </c>
      <c r="B17" s="288">
        <v>106408</v>
      </c>
      <c r="C17" s="294">
        <f>B17/'- 3 -'!$D17*100</f>
        <v>0.61283076695187644</v>
      </c>
      <c r="D17" s="288">
        <v>53431</v>
      </c>
      <c r="E17" s="294">
        <f>D17/'- 3 -'!$D17*100</f>
        <v>0.30772273427755159</v>
      </c>
    </row>
    <row r="18" spans="1:5" ht="14.1" customHeight="1">
      <c r="A18" s="18" t="s">
        <v>117</v>
      </c>
      <c r="B18" s="19">
        <v>2976180</v>
      </c>
      <c r="C18" s="69">
        <f>B18/'- 3 -'!$D18*100</f>
        <v>2.4360135154231704</v>
      </c>
      <c r="D18" s="19">
        <v>55179</v>
      </c>
      <c r="E18" s="69">
        <f>D18/'- 3 -'!$D18*100</f>
        <v>4.5164200339876996E-2</v>
      </c>
    </row>
    <row r="19" spans="1:5" ht="14.1" customHeight="1">
      <c r="A19" s="287" t="s">
        <v>118</v>
      </c>
      <c r="B19" s="288">
        <v>34092</v>
      </c>
      <c r="C19" s="294">
        <f>B19/'- 3 -'!$D19*100</f>
        <v>7.9148985428270605E-2</v>
      </c>
      <c r="D19" s="288">
        <v>26455</v>
      </c>
      <c r="E19" s="294">
        <f>D19/'- 3 -'!$D19*100</f>
        <v>6.1418702613660066E-2</v>
      </c>
    </row>
    <row r="20" spans="1:5" ht="14.1" customHeight="1">
      <c r="A20" s="18" t="s">
        <v>119</v>
      </c>
      <c r="B20" s="19">
        <v>223096</v>
      </c>
      <c r="C20" s="69">
        <f>B20/'- 3 -'!$D20*100</f>
        <v>0.29882896593197628</v>
      </c>
      <c r="D20" s="19">
        <v>405590</v>
      </c>
      <c r="E20" s="69">
        <f>D20/'- 3 -'!$D20*100</f>
        <v>0.54327303175471653</v>
      </c>
    </row>
    <row r="21" spans="1:5" ht="14.1" customHeight="1">
      <c r="A21" s="287" t="s">
        <v>120</v>
      </c>
      <c r="B21" s="288">
        <v>187165</v>
      </c>
      <c r="C21" s="294">
        <f>B21/'- 3 -'!$D21*100</f>
        <v>0.53766353687205848</v>
      </c>
      <c r="D21" s="288">
        <v>112257</v>
      </c>
      <c r="E21" s="294">
        <f>D21/'- 3 -'!$D21*100</f>
        <v>0.32247746992571619</v>
      </c>
    </row>
    <row r="22" spans="1:5" ht="14.1" customHeight="1">
      <c r="A22" s="18" t="s">
        <v>121</v>
      </c>
      <c r="B22" s="19">
        <v>60606</v>
      </c>
      <c r="C22" s="69">
        <f>B22/'- 3 -'!$D22*100</f>
        <v>0.31181223846829531</v>
      </c>
      <c r="D22" s="19">
        <v>17798</v>
      </c>
      <c r="E22" s="69">
        <f>D22/'- 3 -'!$D22*100</f>
        <v>9.1569056203325075E-2</v>
      </c>
    </row>
    <row r="23" spans="1:5" ht="14.1" customHeight="1">
      <c r="A23" s="287" t="s">
        <v>122</v>
      </c>
      <c r="B23" s="288">
        <v>52907</v>
      </c>
      <c r="C23" s="294">
        <f>B23/'- 3 -'!$D23*100</f>
        <v>0.32565957651636646</v>
      </c>
      <c r="D23" s="288">
        <v>8936</v>
      </c>
      <c r="E23" s="294">
        <f>D23/'- 3 -'!$D23*100</f>
        <v>5.5003949869587211E-2</v>
      </c>
    </row>
    <row r="24" spans="1:5" ht="14.1" customHeight="1">
      <c r="A24" s="18" t="s">
        <v>123</v>
      </c>
      <c r="B24" s="19">
        <v>173132</v>
      </c>
      <c r="C24" s="69">
        <f>B24/'- 3 -'!$D24*100</f>
        <v>0.31930325305081575</v>
      </c>
      <c r="D24" s="19">
        <v>108397</v>
      </c>
      <c r="E24" s="69">
        <f>D24/'- 3 -'!$D24*100</f>
        <v>0.19991402352510959</v>
      </c>
    </row>
    <row r="25" spans="1:5" ht="14.1" customHeight="1">
      <c r="A25" s="287" t="s">
        <v>124</v>
      </c>
      <c r="B25" s="288">
        <v>294922</v>
      </c>
      <c r="C25" s="294">
        <f>B25/'- 3 -'!$D25*100</f>
        <v>0.18460379372745325</v>
      </c>
      <c r="D25" s="288">
        <v>326310</v>
      </c>
      <c r="E25" s="294">
        <f>D25/'- 3 -'!$D25*100</f>
        <v>0.20425083219022411</v>
      </c>
    </row>
    <row r="26" spans="1:5" ht="14.1" customHeight="1">
      <c r="A26" s="18" t="s">
        <v>125</v>
      </c>
      <c r="B26" s="19">
        <v>208640</v>
      </c>
      <c r="C26" s="69">
        <f>B26/'- 3 -'!$D26*100</f>
        <v>0.53629416516369433</v>
      </c>
      <c r="D26" s="19">
        <v>79579</v>
      </c>
      <c r="E26" s="69">
        <f>D26/'- 3 -'!$D26*100</f>
        <v>0.20455211545993882</v>
      </c>
    </row>
    <row r="27" spans="1:5" ht="14.1" customHeight="1">
      <c r="A27" s="287" t="s">
        <v>126</v>
      </c>
      <c r="B27" s="288">
        <v>352233</v>
      </c>
      <c r="C27" s="294">
        <f>B27/'- 3 -'!$D27*100</f>
        <v>0.90201346035490881</v>
      </c>
      <c r="D27" s="288">
        <v>153694</v>
      </c>
      <c r="E27" s="294">
        <f>D27/'- 3 -'!$D27*100</f>
        <v>0.39358622495844331</v>
      </c>
    </row>
    <row r="28" spans="1:5" ht="14.1" customHeight="1">
      <c r="A28" s="18" t="s">
        <v>127</v>
      </c>
      <c r="B28" s="19">
        <v>72741</v>
      </c>
      <c r="C28" s="69">
        <f>B28/'- 3 -'!$D28*100</f>
        <v>0.26452585737437517</v>
      </c>
      <c r="D28" s="19">
        <v>93117</v>
      </c>
      <c r="E28" s="69">
        <f>D28/'- 3 -'!$D28*100</f>
        <v>0.33862408079528311</v>
      </c>
    </row>
    <row r="29" spans="1:5" ht="14.1" customHeight="1">
      <c r="A29" s="287" t="s">
        <v>128</v>
      </c>
      <c r="B29" s="288">
        <v>442903</v>
      </c>
      <c r="C29" s="294">
        <f>B29/'- 3 -'!$D29*100</f>
        <v>0.3035999575250839</v>
      </c>
      <c r="D29" s="288">
        <v>836401</v>
      </c>
      <c r="E29" s="294">
        <f>D29/'- 3 -'!$D29*100</f>
        <v>0.57333390849449584</v>
      </c>
    </row>
    <row r="30" spans="1:5" ht="14.1" customHeight="1">
      <c r="A30" s="18" t="s">
        <v>129</v>
      </c>
      <c r="B30" s="19">
        <v>71239</v>
      </c>
      <c r="C30" s="69">
        <f>B30/'- 3 -'!$D30*100</f>
        <v>0.52396620032235697</v>
      </c>
      <c r="D30" s="19">
        <v>25047</v>
      </c>
      <c r="E30" s="69">
        <f>D30/'- 3 -'!$D30*100</f>
        <v>0.18422186470155499</v>
      </c>
    </row>
    <row r="31" spans="1:5" ht="14.1" customHeight="1">
      <c r="A31" s="287" t="s">
        <v>130</v>
      </c>
      <c r="B31" s="288">
        <v>43245</v>
      </c>
      <c r="C31" s="294">
        <f>B31/'- 3 -'!$D31*100</f>
        <v>0.12233202260278245</v>
      </c>
      <c r="D31" s="288">
        <v>124679</v>
      </c>
      <c r="E31" s="294">
        <f>D31/'- 3 -'!$D31*100</f>
        <v>0.35269358876384121</v>
      </c>
    </row>
    <row r="32" spans="1:5" ht="14.1" customHeight="1">
      <c r="A32" s="18" t="s">
        <v>131</v>
      </c>
      <c r="B32" s="19">
        <v>95582</v>
      </c>
      <c r="C32" s="69">
        <f>B32/'- 3 -'!$D32*100</f>
        <v>0.36197760459080097</v>
      </c>
      <c r="D32" s="19">
        <v>48915</v>
      </c>
      <c r="E32" s="69">
        <f>D32/'- 3 -'!$D32*100</f>
        <v>0.18524549108157426</v>
      </c>
    </row>
    <row r="33" spans="1:5" ht="14.1" customHeight="1">
      <c r="A33" s="287" t="s">
        <v>132</v>
      </c>
      <c r="B33" s="288">
        <v>108364</v>
      </c>
      <c r="C33" s="294">
        <f>B33/'- 3 -'!$D33*100</f>
        <v>0.41120363315129121</v>
      </c>
      <c r="D33" s="288">
        <v>59732</v>
      </c>
      <c r="E33" s="294">
        <f>D33/'- 3 -'!$D33*100</f>
        <v>0.22666213332280952</v>
      </c>
    </row>
    <row r="34" spans="1:5" ht="14.1" customHeight="1">
      <c r="A34" s="18" t="s">
        <v>133</v>
      </c>
      <c r="B34" s="19">
        <v>111521</v>
      </c>
      <c r="C34" s="69">
        <f>B34/'- 3 -'!$D34*100</f>
        <v>0.42071782826740473</v>
      </c>
      <c r="D34" s="19">
        <v>164490</v>
      </c>
      <c r="E34" s="69">
        <f>D34/'- 3 -'!$D34*100</f>
        <v>0.62054568710561597</v>
      </c>
    </row>
    <row r="35" spans="1:5" ht="14.1" customHeight="1">
      <c r="A35" s="287" t="s">
        <v>134</v>
      </c>
      <c r="B35" s="288">
        <v>544853</v>
      </c>
      <c r="C35" s="294">
        <f>B35/'- 3 -'!$D35*100</f>
        <v>0.31178469382888757</v>
      </c>
      <c r="D35" s="288">
        <v>699131</v>
      </c>
      <c r="E35" s="294">
        <f>D35/'- 3 -'!$D35*100</f>
        <v>0.40006817395019206</v>
      </c>
    </row>
    <row r="36" spans="1:5" ht="14.1" customHeight="1">
      <c r="A36" s="18" t="s">
        <v>135</v>
      </c>
      <c r="B36" s="19">
        <v>141422</v>
      </c>
      <c r="C36" s="69">
        <f>B36/'- 3 -'!$D36*100</f>
        <v>0.64766693445558599</v>
      </c>
      <c r="D36" s="19">
        <v>69005</v>
      </c>
      <c r="E36" s="69">
        <f>D36/'- 3 -'!$D36*100</f>
        <v>0.31602054002989433</v>
      </c>
    </row>
    <row r="37" spans="1:5" ht="14.1" customHeight="1">
      <c r="A37" s="287" t="s">
        <v>136</v>
      </c>
      <c r="B37" s="288">
        <v>111633</v>
      </c>
      <c r="C37" s="294">
        <f>B37/'- 3 -'!$D37*100</f>
        <v>0.24766823615879485</v>
      </c>
      <c r="D37" s="288">
        <v>112988</v>
      </c>
      <c r="E37" s="294">
        <f>D37/'- 3 -'!$D37*100</f>
        <v>0.25067443020531488</v>
      </c>
    </row>
    <row r="38" spans="1:5" ht="14.1" customHeight="1">
      <c r="A38" s="18" t="s">
        <v>137</v>
      </c>
      <c r="B38" s="19">
        <v>622418</v>
      </c>
      <c r="C38" s="69">
        <f>B38/'- 3 -'!$D38*100</f>
        <v>0.50995808567270928</v>
      </c>
      <c r="D38" s="19">
        <v>373029</v>
      </c>
      <c r="E38" s="69">
        <f>D38/'- 3 -'!$D38*100</f>
        <v>0.30562926319676659</v>
      </c>
    </row>
    <row r="39" spans="1:5" ht="14.1" customHeight="1">
      <c r="A39" s="287" t="s">
        <v>138</v>
      </c>
      <c r="B39" s="288">
        <v>63129</v>
      </c>
      <c r="C39" s="294">
        <f>B39/'- 3 -'!$D39*100</f>
        <v>0.3126712772831432</v>
      </c>
      <c r="D39" s="288">
        <v>91832</v>
      </c>
      <c r="E39" s="294">
        <f>D39/'- 3 -'!$D39*100</f>
        <v>0.45483420829516719</v>
      </c>
    </row>
    <row r="40" spans="1:5" ht="14.1" customHeight="1">
      <c r="A40" s="18" t="s">
        <v>139</v>
      </c>
      <c r="B40" s="19">
        <v>476492</v>
      </c>
      <c r="C40" s="69">
        <f>B40/'- 3 -'!$D40*100</f>
        <v>0.48734240076792951</v>
      </c>
      <c r="D40" s="19">
        <v>352698</v>
      </c>
      <c r="E40" s="69">
        <f>D40/'- 3 -'!$D40*100</f>
        <v>0.36072943526029233</v>
      </c>
    </row>
    <row r="41" spans="1:5" ht="14.1" customHeight="1">
      <c r="A41" s="287" t="s">
        <v>140</v>
      </c>
      <c r="B41" s="288">
        <v>303632</v>
      </c>
      <c r="C41" s="294">
        <f>B41/'- 3 -'!$D41*100</f>
        <v>0.50818646295111947</v>
      </c>
      <c r="D41" s="288">
        <v>382816</v>
      </c>
      <c r="E41" s="294">
        <f>D41/'- 3 -'!$D41*100</f>
        <v>0.64071609382771155</v>
      </c>
    </row>
    <row r="42" spans="1:5" ht="14.1" customHeight="1">
      <c r="A42" s="18" t="s">
        <v>141</v>
      </c>
      <c r="B42" s="19">
        <v>155349</v>
      </c>
      <c r="C42" s="69">
        <f>B42/'- 3 -'!$D42*100</f>
        <v>0.78066969981536671</v>
      </c>
      <c r="D42" s="19">
        <v>122439</v>
      </c>
      <c r="E42" s="69">
        <f>D42/'- 3 -'!$D42*100</f>
        <v>0.61528826948157822</v>
      </c>
    </row>
    <row r="43" spans="1:5" ht="14.1" customHeight="1">
      <c r="A43" s="287" t="s">
        <v>142</v>
      </c>
      <c r="B43" s="288">
        <v>51079</v>
      </c>
      <c r="C43" s="294">
        <f>B43/'- 3 -'!$D43*100</f>
        <v>0.39878865185170614</v>
      </c>
      <c r="D43" s="288">
        <v>11464</v>
      </c>
      <c r="E43" s="294">
        <f>D43/'- 3 -'!$D43*100</f>
        <v>8.950279184846921E-2</v>
      </c>
    </row>
    <row r="44" spans="1:5" ht="14.1" customHeight="1">
      <c r="A44" s="18" t="s">
        <v>143</v>
      </c>
      <c r="B44" s="19">
        <v>40719</v>
      </c>
      <c r="C44" s="69">
        <f>B44/'- 3 -'!$D44*100</f>
        <v>0.38622215376116775</v>
      </c>
      <c r="D44" s="19">
        <v>27261</v>
      </c>
      <c r="E44" s="69">
        <f>D44/'- 3 -'!$D44*100</f>
        <v>0.2585722177284116</v>
      </c>
    </row>
    <row r="45" spans="1:5" ht="14.1" customHeight="1">
      <c r="A45" s="287" t="s">
        <v>144</v>
      </c>
      <c r="B45" s="288">
        <v>47691</v>
      </c>
      <c r="C45" s="294">
        <f>B45/'- 3 -'!$D45*100</f>
        <v>0.27310977666113151</v>
      </c>
      <c r="D45" s="288">
        <v>34806</v>
      </c>
      <c r="E45" s="294">
        <f>D45/'- 3 -'!$D45*100</f>
        <v>0.19932186128341495</v>
      </c>
    </row>
    <row r="46" spans="1:5" ht="14.1" customHeight="1">
      <c r="A46" s="18" t="s">
        <v>145</v>
      </c>
      <c r="B46" s="19">
        <v>2042017</v>
      </c>
      <c r="C46" s="69">
        <f>B46/'- 3 -'!$D46*100</f>
        <v>0.55529360316095722</v>
      </c>
      <c r="D46" s="19">
        <v>1106696</v>
      </c>
      <c r="E46" s="69">
        <f>D46/'- 3 -'!$D46*100</f>
        <v>0.30094813581072966</v>
      </c>
    </row>
    <row r="47" spans="1:5" ht="5.0999999999999996" customHeight="1">
      <c r="A47"/>
      <c r="B47" s="21"/>
      <c r="C47"/>
      <c r="D47" s="21"/>
      <c r="E47"/>
    </row>
    <row r="48" spans="1:5" ht="14.1" customHeight="1">
      <c r="A48" s="289" t="s">
        <v>146</v>
      </c>
      <c r="B48" s="290">
        <f>SUM(B11:B46)</f>
        <v>10949788</v>
      </c>
      <c r="C48" s="297">
        <f>B48/'- 3 -'!$D48*100</f>
        <v>0.51225716273773036</v>
      </c>
      <c r="D48" s="290">
        <f>SUM(D11:D46)</f>
        <v>6714546</v>
      </c>
      <c r="E48" s="297">
        <f>D48/'- 3 -'!$D48*100</f>
        <v>0.31412245451984788</v>
      </c>
    </row>
    <row r="49" spans="1:5" ht="5.0999999999999996" customHeight="1">
      <c r="A49" s="20" t="s">
        <v>8</v>
      </c>
      <c r="B49" s="21"/>
      <c r="C49"/>
      <c r="D49" s="21"/>
      <c r="E49"/>
    </row>
    <row r="50" spans="1:5" ht="14.1" customHeight="1">
      <c r="A50" s="18" t="s">
        <v>147</v>
      </c>
      <c r="B50" s="19">
        <v>987</v>
      </c>
      <c r="C50" s="69">
        <f>B50/'- 3 -'!$D50*100</f>
        <v>3.0385807395850107E-2</v>
      </c>
      <c r="D50" s="19">
        <v>6198</v>
      </c>
      <c r="E50" s="69">
        <f>D50/'- 3 -'!$D50*100</f>
        <v>0.19081178747667574</v>
      </c>
    </row>
    <row r="51" spans="1:5" ht="14.1" customHeight="1">
      <c r="A51" s="287" t="s">
        <v>643</v>
      </c>
      <c r="B51" s="288">
        <v>0</v>
      </c>
      <c r="C51" s="294">
        <f>B51/'- 3 -'!$D51*100</f>
        <v>0</v>
      </c>
      <c r="D51" s="288">
        <v>39635</v>
      </c>
      <c r="E51" s="294">
        <f>D51/'- 3 -'!$D51*100</f>
        <v>0.17776384430963965</v>
      </c>
    </row>
    <row r="52" spans="1:5" ht="50.1" customHeight="1"/>
  </sheetData>
  <mergeCells count="2">
    <mergeCell ref="D8:E8"/>
    <mergeCell ref="B8:C8"/>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29.xml><?xml version="1.0" encoding="utf-8"?>
<worksheet xmlns="http://schemas.openxmlformats.org/spreadsheetml/2006/main" xmlns:r="http://schemas.openxmlformats.org/officeDocument/2006/relationships">
  <sheetPr codeName="Sheet31">
    <pageSetUpPr fitToPage="1"/>
  </sheetPr>
  <dimension ref="A1:G52"/>
  <sheetViews>
    <sheetView showGridLines="0" showZeros="0" workbookViewId="0"/>
  </sheetViews>
  <sheetFormatPr defaultColWidth="15.83203125" defaultRowHeight="12"/>
  <cols>
    <col min="1" max="1" width="34.83203125" style="1" customWidth="1"/>
    <col min="2" max="2" width="19.83203125" style="1" customWidth="1"/>
    <col min="3" max="3" width="12.83203125" style="1" customWidth="1"/>
    <col min="4" max="4" width="19.83203125" style="1" customWidth="1"/>
    <col min="5" max="5" width="12.83203125" style="1" customWidth="1"/>
    <col min="6" max="6" width="19.83203125" style="1" customWidth="1"/>
    <col min="7" max="7" width="12.83203125" style="1" customWidth="1"/>
    <col min="8" max="16384" width="15.83203125" style="1"/>
  </cols>
  <sheetData>
    <row r="1" spans="1:7" ht="6.95" customHeight="1">
      <c r="A1" s="6"/>
      <c r="B1" s="7"/>
      <c r="C1" s="7"/>
      <c r="D1" s="7"/>
      <c r="E1" s="7"/>
      <c r="F1" s="7"/>
      <c r="G1" s="7"/>
    </row>
    <row r="2" spans="1:7" ht="15.95" customHeight="1">
      <c r="A2" s="133"/>
      <c r="B2" s="8" t="s">
        <v>266</v>
      </c>
      <c r="C2" s="9"/>
      <c r="D2" s="9"/>
      <c r="E2" s="9"/>
      <c r="F2" s="9"/>
      <c r="G2" s="398" t="s">
        <v>433</v>
      </c>
    </row>
    <row r="3" spans="1:7" ht="15.95" customHeight="1">
      <c r="A3" s="546"/>
      <c r="B3" s="10" t="str">
        <f>OPYEAR</f>
        <v>OPERATING FUND 2014/2015 ACTUAL</v>
      </c>
      <c r="C3" s="11"/>
      <c r="D3" s="11"/>
      <c r="E3" s="11"/>
      <c r="F3" s="11"/>
      <c r="G3" s="74"/>
    </row>
    <row r="4" spans="1:7" ht="15.95" customHeight="1">
      <c r="B4" s="7"/>
      <c r="C4" s="7"/>
      <c r="D4" s="7"/>
      <c r="E4" s="7"/>
      <c r="F4" s="7"/>
      <c r="G4" s="7"/>
    </row>
    <row r="5" spans="1:7" ht="15.95" customHeight="1">
      <c r="B5" s="7"/>
      <c r="C5" s="7"/>
      <c r="D5" s="7"/>
      <c r="E5" s="7"/>
      <c r="F5" s="7"/>
      <c r="G5" s="7"/>
    </row>
    <row r="6" spans="1:7" ht="15.95" customHeight="1">
      <c r="B6" s="562" t="s">
        <v>18</v>
      </c>
      <c r="C6" s="563"/>
      <c r="D6" s="164"/>
      <c r="E6" s="164"/>
      <c r="F6" s="165"/>
      <c r="G6" s="166"/>
    </row>
    <row r="7" spans="1:7" ht="15.95" customHeight="1">
      <c r="B7" s="658" t="s">
        <v>527</v>
      </c>
      <c r="C7" s="682"/>
      <c r="D7" s="678" t="s">
        <v>528</v>
      </c>
      <c r="E7" s="632"/>
      <c r="F7" s="631" t="s">
        <v>529</v>
      </c>
      <c r="G7" s="632"/>
    </row>
    <row r="8" spans="1:7" ht="15.95" customHeight="1">
      <c r="A8" s="406"/>
      <c r="B8" s="683"/>
      <c r="C8" s="684"/>
      <c r="D8" s="665"/>
      <c r="E8" s="634"/>
      <c r="F8" s="633"/>
      <c r="G8" s="634"/>
    </row>
    <row r="9" spans="1:7" ht="15.95" customHeight="1">
      <c r="A9" s="34" t="s">
        <v>43</v>
      </c>
      <c r="B9" s="76" t="s">
        <v>44</v>
      </c>
      <c r="C9" s="76" t="s">
        <v>45</v>
      </c>
      <c r="D9" s="170" t="s">
        <v>44</v>
      </c>
      <c r="E9" s="167" t="s">
        <v>45</v>
      </c>
      <c r="F9" s="170" t="s">
        <v>44</v>
      </c>
      <c r="G9" s="167" t="s">
        <v>45</v>
      </c>
    </row>
    <row r="10" spans="1:7" ht="5.0999999999999996" customHeight="1">
      <c r="A10" s="5"/>
    </row>
    <row r="11" spans="1:7" ht="14.1" customHeight="1">
      <c r="A11" s="287" t="s">
        <v>111</v>
      </c>
      <c r="B11" s="288">
        <v>13208</v>
      </c>
      <c r="C11" s="294">
        <f>B11/'- 3 -'!$D11*100</f>
        <v>7.554656867119032E-2</v>
      </c>
      <c r="D11" s="288">
        <v>0</v>
      </c>
      <c r="E11" s="294">
        <f>D11/'- 3 -'!$D11*100</f>
        <v>0</v>
      </c>
      <c r="F11" s="288">
        <v>281519</v>
      </c>
      <c r="G11" s="294">
        <f>F11/'- 3 -'!$D11*100</f>
        <v>1.6102206591266524</v>
      </c>
    </row>
    <row r="12" spans="1:7" ht="14.1" customHeight="1">
      <c r="A12" s="18" t="s">
        <v>112</v>
      </c>
      <c r="B12" s="19">
        <v>226</v>
      </c>
      <c r="C12" s="69">
        <f>B12/'- 3 -'!$D12*100</f>
        <v>7.1368963456753848E-4</v>
      </c>
      <c r="D12" s="19">
        <v>149053</v>
      </c>
      <c r="E12" s="69">
        <f>D12/'- 3 -'!$D12*100</f>
        <v>0.47069726150971375</v>
      </c>
      <c r="F12" s="19">
        <v>491916</v>
      </c>
      <c r="G12" s="69">
        <f>F12/'- 3 -'!$D12*100</f>
        <v>1.5534307534421472</v>
      </c>
    </row>
    <row r="13" spans="1:7" ht="14.1" customHeight="1">
      <c r="A13" s="287" t="s">
        <v>113</v>
      </c>
      <c r="B13" s="288">
        <v>15675</v>
      </c>
      <c r="C13" s="294">
        <f>B13/'- 3 -'!$D13*100</f>
        <v>1.8122837319735144E-2</v>
      </c>
      <c r="D13" s="288">
        <v>27685</v>
      </c>
      <c r="E13" s="294">
        <f>D13/'- 3 -'!$D13*100</f>
        <v>3.2008341384170171E-2</v>
      </c>
      <c r="F13" s="288">
        <v>1492692</v>
      </c>
      <c r="G13" s="294">
        <f>F13/'- 3 -'!$D13*100</f>
        <v>1.7257935747668318</v>
      </c>
    </row>
    <row r="14" spans="1:7" ht="14.1" customHeight="1">
      <c r="A14" s="18" t="s">
        <v>365</v>
      </c>
      <c r="B14" s="19">
        <v>120781</v>
      </c>
      <c r="C14" s="69">
        <f>B14/'- 3 -'!$D14*100</f>
        <v>0.15590029052097423</v>
      </c>
      <c r="D14" s="19">
        <v>507</v>
      </c>
      <c r="E14" s="69">
        <f>D14/'- 3 -'!$D14*100</f>
        <v>6.5441954690004169E-4</v>
      </c>
      <c r="F14" s="19">
        <v>1121534</v>
      </c>
      <c r="G14" s="69">
        <f>F14/'- 3 -'!$D14*100</f>
        <v>1.4476405761597464</v>
      </c>
    </row>
    <row r="15" spans="1:7" ht="14.1" customHeight="1">
      <c r="A15" s="287" t="s">
        <v>114</v>
      </c>
      <c r="B15" s="288">
        <v>15613</v>
      </c>
      <c r="C15" s="294">
        <f>B15/'- 3 -'!$D15*100</f>
        <v>7.9425980053411213E-2</v>
      </c>
      <c r="D15" s="288">
        <v>0</v>
      </c>
      <c r="E15" s="294">
        <f>D15/'- 3 -'!$D15*100</f>
        <v>0</v>
      </c>
      <c r="F15" s="288">
        <v>296585</v>
      </c>
      <c r="G15" s="294">
        <f>F15/'- 3 -'!$D15*100</f>
        <v>1.5087782164952901</v>
      </c>
    </row>
    <row r="16" spans="1:7" ht="14.1" customHeight="1">
      <c r="A16" s="18" t="s">
        <v>115</v>
      </c>
      <c r="B16" s="19">
        <v>14268</v>
      </c>
      <c r="C16" s="69">
        <f>B16/'- 3 -'!$D16*100</f>
        <v>0.10478549048503243</v>
      </c>
      <c r="D16" s="19">
        <v>0</v>
      </c>
      <c r="E16" s="69">
        <f>D16/'- 3 -'!$D16*100</f>
        <v>0</v>
      </c>
      <c r="F16" s="19">
        <v>204707</v>
      </c>
      <c r="G16" s="69">
        <f>F16/'- 3 -'!$D16*100</f>
        <v>1.5033868377291513</v>
      </c>
    </row>
    <row r="17" spans="1:7" ht="14.1" customHeight="1">
      <c r="A17" s="287" t="s">
        <v>116</v>
      </c>
      <c r="B17" s="288">
        <v>71247</v>
      </c>
      <c r="C17" s="294">
        <f>B17/'- 3 -'!$D17*100</f>
        <v>0.41032961481298724</v>
      </c>
      <c r="D17" s="288">
        <v>0</v>
      </c>
      <c r="E17" s="294">
        <f>D17/'- 3 -'!$D17*100</f>
        <v>0</v>
      </c>
      <c r="F17" s="288">
        <v>254266</v>
      </c>
      <c r="G17" s="294">
        <f>F17/'- 3 -'!$D17*100</f>
        <v>1.4643826384274286</v>
      </c>
    </row>
    <row r="18" spans="1:7" ht="14.1" customHeight="1">
      <c r="A18" s="18" t="s">
        <v>117</v>
      </c>
      <c r="B18" s="19">
        <v>112478</v>
      </c>
      <c r="C18" s="69">
        <f>B18/'- 3 -'!$D18*100</f>
        <v>9.2063627935060163E-2</v>
      </c>
      <c r="D18" s="19">
        <v>0</v>
      </c>
      <c r="E18" s="69">
        <f>D18/'- 3 -'!$D18*100</f>
        <v>0</v>
      </c>
      <c r="F18" s="19">
        <v>1744706</v>
      </c>
      <c r="G18" s="69">
        <f>F18/'- 3 -'!$D18*100</f>
        <v>1.4280478319321741</v>
      </c>
    </row>
    <row r="19" spans="1:7" ht="14.1" customHeight="1">
      <c r="A19" s="287" t="s">
        <v>118</v>
      </c>
      <c r="B19" s="288">
        <v>23446</v>
      </c>
      <c r="C19" s="294">
        <f>B19/'- 3 -'!$D19*100</f>
        <v>5.4432920108859348E-2</v>
      </c>
      <c r="D19" s="288">
        <v>4036</v>
      </c>
      <c r="E19" s="294">
        <f>D19/'- 3 -'!$D19*100</f>
        <v>9.3700957757978463E-3</v>
      </c>
      <c r="F19" s="288">
        <v>705229</v>
      </c>
      <c r="G19" s="294">
        <f>F19/'- 3 -'!$D19*100</f>
        <v>1.6372802958052872</v>
      </c>
    </row>
    <row r="20" spans="1:7" ht="14.1" customHeight="1">
      <c r="A20" s="18" t="s">
        <v>119</v>
      </c>
      <c r="B20" s="19">
        <v>143399</v>
      </c>
      <c r="C20" s="69">
        <f>B20/'- 3 -'!$D20*100</f>
        <v>0.19207773732240588</v>
      </c>
      <c r="D20" s="19">
        <v>0</v>
      </c>
      <c r="E20" s="69">
        <f>D20/'- 3 -'!$D20*100</f>
        <v>0</v>
      </c>
      <c r="F20" s="19">
        <v>1222476</v>
      </c>
      <c r="G20" s="69">
        <f>F20/'- 3 -'!$D20*100</f>
        <v>1.6374620744283117</v>
      </c>
    </row>
    <row r="21" spans="1:7" ht="14.1" customHeight="1">
      <c r="A21" s="287" t="s">
        <v>120</v>
      </c>
      <c r="B21" s="288">
        <v>56788</v>
      </c>
      <c r="C21" s="294">
        <f>B21/'- 3 -'!$D21*100</f>
        <v>0.1631332617310419</v>
      </c>
      <c r="D21" s="288">
        <v>0</v>
      </c>
      <c r="E21" s="294">
        <f>D21/'- 3 -'!$D21*100</f>
        <v>0</v>
      </c>
      <c r="F21" s="288">
        <v>581440</v>
      </c>
      <c r="G21" s="294">
        <f>F21/'- 3 -'!$D21*100</f>
        <v>1.6702860410808091</v>
      </c>
    </row>
    <row r="22" spans="1:7" ht="14.1" customHeight="1">
      <c r="A22" s="18" t="s">
        <v>121</v>
      </c>
      <c r="B22" s="19">
        <v>9830</v>
      </c>
      <c r="C22" s="69">
        <f>B22/'- 3 -'!$D22*100</f>
        <v>5.0574436592801753E-2</v>
      </c>
      <c r="D22" s="19">
        <v>0</v>
      </c>
      <c r="E22" s="69">
        <f>D22/'- 3 -'!$D22*100</f>
        <v>0</v>
      </c>
      <c r="F22" s="19">
        <v>330359</v>
      </c>
      <c r="G22" s="69">
        <f>F22/'- 3 -'!$D22*100</f>
        <v>1.6996663579207927</v>
      </c>
    </row>
    <row r="23" spans="1:7" ht="14.1" customHeight="1">
      <c r="A23" s="287" t="s">
        <v>122</v>
      </c>
      <c r="B23" s="288">
        <v>4679</v>
      </c>
      <c r="C23" s="294">
        <f>B23/'- 3 -'!$D23*100</f>
        <v>2.8800747699171729E-2</v>
      </c>
      <c r="D23" s="288">
        <v>0</v>
      </c>
      <c r="E23" s="294">
        <f>D23/'- 3 -'!$D23*100</f>
        <v>0</v>
      </c>
      <c r="F23" s="288">
        <v>251655</v>
      </c>
      <c r="G23" s="294">
        <f>F23/'- 3 -'!$D23*100</f>
        <v>1.549017346064343</v>
      </c>
    </row>
    <row r="24" spans="1:7" ht="14.1" customHeight="1">
      <c r="A24" s="18" t="s">
        <v>123</v>
      </c>
      <c r="B24" s="19">
        <v>62830</v>
      </c>
      <c r="C24" s="69">
        <f>B24/'- 3 -'!$D24*100</f>
        <v>0.11587588307870732</v>
      </c>
      <c r="D24" s="19">
        <v>0</v>
      </c>
      <c r="E24" s="69">
        <f>D24/'- 3 -'!$D24*100</f>
        <v>0</v>
      </c>
      <c r="F24" s="19">
        <v>895075</v>
      </c>
      <c r="G24" s="69">
        <f>F24/'- 3 -'!$D24*100</f>
        <v>1.6507656540931712</v>
      </c>
    </row>
    <row r="25" spans="1:7" ht="14.1" customHeight="1">
      <c r="A25" s="287" t="s">
        <v>124</v>
      </c>
      <c r="B25" s="288">
        <v>138956</v>
      </c>
      <c r="C25" s="294">
        <f>B25/'- 3 -'!$D25*100</f>
        <v>8.6978268020669852E-2</v>
      </c>
      <c r="D25" s="288">
        <v>0</v>
      </c>
      <c r="E25" s="294">
        <f>D25/'- 3 -'!$D25*100</f>
        <v>0</v>
      </c>
      <c r="F25" s="288">
        <v>2672200</v>
      </c>
      <c r="G25" s="294">
        <f>F25/'- 3 -'!$D25*100</f>
        <v>1.6726397406721119</v>
      </c>
    </row>
    <row r="26" spans="1:7" ht="14.1" customHeight="1">
      <c r="A26" s="18" t="s">
        <v>125</v>
      </c>
      <c r="B26" s="19">
        <v>149953</v>
      </c>
      <c r="C26" s="69">
        <f>B26/'- 3 -'!$D26*100</f>
        <v>0.38544343821314925</v>
      </c>
      <c r="D26" s="19">
        <v>0</v>
      </c>
      <c r="E26" s="69">
        <f>D26/'- 3 -'!$D26*100</f>
        <v>0</v>
      </c>
      <c r="F26" s="19">
        <v>592834</v>
      </c>
      <c r="G26" s="69">
        <f>F26/'- 3 -'!$D26*100</f>
        <v>1.5238373040196203</v>
      </c>
    </row>
    <row r="27" spans="1:7" ht="14.1" customHeight="1">
      <c r="A27" s="287" t="s">
        <v>126</v>
      </c>
      <c r="B27" s="288">
        <v>1912</v>
      </c>
      <c r="C27" s="294">
        <f>B27/'- 3 -'!$D27*100</f>
        <v>4.8963320762069017E-3</v>
      </c>
      <c r="D27" s="288">
        <v>404</v>
      </c>
      <c r="E27" s="294">
        <f>D27/'- 3 -'!$D27*100</f>
        <v>1.0345806269809561E-3</v>
      </c>
      <c r="F27" s="288">
        <v>651895</v>
      </c>
      <c r="G27" s="294">
        <f>F27/'- 3 -'!$D27*100</f>
        <v>1.6694008362023525</v>
      </c>
    </row>
    <row r="28" spans="1:7" ht="14.1" customHeight="1">
      <c r="A28" s="18" t="s">
        <v>127</v>
      </c>
      <c r="B28" s="19">
        <v>52269</v>
      </c>
      <c r="C28" s="69">
        <f>B28/'- 3 -'!$D28*100</f>
        <v>0.1900785257159128</v>
      </c>
      <c r="D28" s="19">
        <v>0</v>
      </c>
      <c r="E28" s="69">
        <f>D28/'- 3 -'!$D28*100</f>
        <v>0</v>
      </c>
      <c r="F28" s="19">
        <v>416562</v>
      </c>
      <c r="G28" s="69">
        <f>F28/'- 3 -'!$D28*100</f>
        <v>1.5148461005428087</v>
      </c>
    </row>
    <row r="29" spans="1:7" ht="14.1" customHeight="1">
      <c r="A29" s="287" t="s">
        <v>128</v>
      </c>
      <c r="B29" s="288">
        <v>12556</v>
      </c>
      <c r="C29" s="294">
        <f>B29/'- 3 -'!$D29*100</f>
        <v>8.6068531183689286E-3</v>
      </c>
      <c r="D29" s="288">
        <v>0</v>
      </c>
      <c r="E29" s="294">
        <f>D29/'- 3 -'!$D29*100</f>
        <v>0</v>
      </c>
      <c r="F29" s="288">
        <v>2426116</v>
      </c>
      <c r="G29" s="294">
        <f>F29/'- 3 -'!$D29*100</f>
        <v>1.6630474721348161</v>
      </c>
    </row>
    <row r="30" spans="1:7" ht="14.1" customHeight="1">
      <c r="A30" s="18" t="s">
        <v>129</v>
      </c>
      <c r="B30" s="19">
        <v>9234</v>
      </c>
      <c r="C30" s="69">
        <f>B30/'- 3 -'!$D30*100</f>
        <v>6.791650491692254E-2</v>
      </c>
      <c r="D30" s="19">
        <v>0</v>
      </c>
      <c r="E30" s="69">
        <f>D30/'- 3 -'!$D30*100</f>
        <v>0</v>
      </c>
      <c r="F30" s="19">
        <v>213843</v>
      </c>
      <c r="G30" s="69">
        <f>F30/'- 3 -'!$D30*100</f>
        <v>1.5728253369016101</v>
      </c>
    </row>
    <row r="31" spans="1:7" ht="14.1" customHeight="1">
      <c r="A31" s="287" t="s">
        <v>130</v>
      </c>
      <c r="B31" s="288">
        <v>18972</v>
      </c>
      <c r="C31" s="294">
        <f>B31/'- 3 -'!$D31*100</f>
        <v>5.3668242174123915E-2</v>
      </c>
      <c r="D31" s="288">
        <v>0</v>
      </c>
      <c r="E31" s="294">
        <f>D31/'- 3 -'!$D31*100</f>
        <v>0</v>
      </c>
      <c r="F31" s="288">
        <v>610224</v>
      </c>
      <c r="G31" s="294">
        <f>F31/'- 3 -'!$D31*100</f>
        <v>1.7262096464506951</v>
      </c>
    </row>
    <row r="32" spans="1:7" ht="14.1" customHeight="1">
      <c r="A32" s="18" t="s">
        <v>131</v>
      </c>
      <c r="B32" s="19">
        <v>40230</v>
      </c>
      <c r="C32" s="69">
        <f>B32/'- 3 -'!$D32*100</f>
        <v>0.1523546173200804</v>
      </c>
      <c r="D32" s="19">
        <v>0</v>
      </c>
      <c r="E32" s="69">
        <f>D32/'- 3 -'!$D32*100</f>
        <v>0</v>
      </c>
      <c r="F32" s="19">
        <v>433927</v>
      </c>
      <c r="G32" s="69">
        <f>F32/'- 3 -'!$D32*100</f>
        <v>1.6433204581121181</v>
      </c>
    </row>
    <row r="33" spans="1:7" ht="14.1" customHeight="1">
      <c r="A33" s="287" t="s">
        <v>132</v>
      </c>
      <c r="B33" s="288">
        <v>21917</v>
      </c>
      <c r="C33" s="294">
        <f>B33/'- 3 -'!$D33*100</f>
        <v>8.316738056713345E-2</v>
      </c>
      <c r="D33" s="288">
        <v>0</v>
      </c>
      <c r="E33" s="294">
        <f>D33/'- 3 -'!$D33*100</f>
        <v>0</v>
      </c>
      <c r="F33" s="288">
        <v>402939</v>
      </c>
      <c r="G33" s="294">
        <f>F33/'- 3 -'!$D33*100</f>
        <v>1.5290131477090929</v>
      </c>
    </row>
    <row r="34" spans="1:7" ht="14.1" customHeight="1">
      <c r="A34" s="18" t="s">
        <v>133</v>
      </c>
      <c r="B34" s="19">
        <v>56434</v>
      </c>
      <c r="C34" s="69">
        <f>B34/'- 3 -'!$D34*100</f>
        <v>0.21289972220875633</v>
      </c>
      <c r="D34" s="19">
        <v>1476</v>
      </c>
      <c r="E34" s="69">
        <f>D34/'- 3 -'!$D34*100</f>
        <v>5.5682742669334864E-3</v>
      </c>
      <c r="F34" s="19">
        <v>418591</v>
      </c>
      <c r="G34" s="69">
        <f>F34/'- 3 -'!$D34*100</f>
        <v>1.5791527734891293</v>
      </c>
    </row>
    <row r="35" spans="1:7" ht="14.1" customHeight="1">
      <c r="A35" s="287" t="s">
        <v>134</v>
      </c>
      <c r="B35" s="288">
        <v>27211</v>
      </c>
      <c r="C35" s="294">
        <f>B35/'- 3 -'!$D35*100</f>
        <v>1.5571123410861022E-2</v>
      </c>
      <c r="D35" s="288">
        <v>0</v>
      </c>
      <c r="E35" s="294">
        <f>D35/'- 3 -'!$D35*100</f>
        <v>0</v>
      </c>
      <c r="F35" s="288">
        <v>2973546</v>
      </c>
      <c r="G35" s="294">
        <f>F35/'- 3 -'!$D35*100</f>
        <v>1.7015711195425431</v>
      </c>
    </row>
    <row r="36" spans="1:7" ht="14.1" customHeight="1">
      <c r="A36" s="18" t="s">
        <v>135</v>
      </c>
      <c r="B36" s="19">
        <v>38047</v>
      </c>
      <c r="C36" s="69">
        <f>B36/'- 3 -'!$D36*100</f>
        <v>0.17424293147623199</v>
      </c>
      <c r="D36" s="19">
        <v>0</v>
      </c>
      <c r="E36" s="69">
        <f>D36/'- 3 -'!$D36*100</f>
        <v>0</v>
      </c>
      <c r="F36" s="19">
        <v>352869</v>
      </c>
      <c r="G36" s="69">
        <f>F36/'- 3 -'!$D36*100</f>
        <v>1.616025678426328</v>
      </c>
    </row>
    <row r="37" spans="1:7" ht="14.1" customHeight="1">
      <c r="A37" s="287" t="s">
        <v>136</v>
      </c>
      <c r="B37" s="288">
        <v>53532</v>
      </c>
      <c r="C37" s="294">
        <f>B37/'- 3 -'!$D37*100</f>
        <v>0.11876574147476647</v>
      </c>
      <c r="D37" s="288">
        <v>0</v>
      </c>
      <c r="E37" s="294">
        <f>D37/'- 3 -'!$D37*100</f>
        <v>0</v>
      </c>
      <c r="F37" s="288">
        <v>737279</v>
      </c>
      <c r="G37" s="294">
        <f>F37/'- 3 -'!$D37*100</f>
        <v>1.6357223176562494</v>
      </c>
    </row>
    <row r="38" spans="1:7" ht="14.1" customHeight="1">
      <c r="A38" s="18" t="s">
        <v>137</v>
      </c>
      <c r="B38" s="19">
        <v>80749</v>
      </c>
      <c r="C38" s="69">
        <f>B38/'- 3 -'!$D38*100</f>
        <v>6.6159085148542629E-2</v>
      </c>
      <c r="D38" s="19">
        <v>406</v>
      </c>
      <c r="E38" s="69">
        <f>D38/'- 3 -'!$D38*100</f>
        <v>3.3264298716155374E-4</v>
      </c>
      <c r="F38" s="19">
        <v>2005075</v>
      </c>
      <c r="G38" s="69">
        <f>F38/'- 3 -'!$D38*100</f>
        <v>1.6427934420762376</v>
      </c>
    </row>
    <row r="39" spans="1:7" ht="14.1" customHeight="1">
      <c r="A39" s="287" t="s">
        <v>138</v>
      </c>
      <c r="B39" s="288">
        <v>93764</v>
      </c>
      <c r="C39" s="294">
        <f>B39/'- 3 -'!$D39*100</f>
        <v>0.46440320048118361</v>
      </c>
      <c r="D39" s="288">
        <v>0</v>
      </c>
      <c r="E39" s="294">
        <f>D39/'- 3 -'!$D39*100</f>
        <v>0</v>
      </c>
      <c r="F39" s="288">
        <v>314385</v>
      </c>
      <c r="G39" s="294">
        <f>F39/'- 3 -'!$D39*100</f>
        <v>1.5571157393378792</v>
      </c>
    </row>
    <row r="40" spans="1:7" ht="14.1" customHeight="1">
      <c r="A40" s="18" t="s">
        <v>139</v>
      </c>
      <c r="B40" s="19">
        <v>33097</v>
      </c>
      <c r="C40" s="69">
        <f>B40/'- 3 -'!$D40*100</f>
        <v>3.3850665778682877E-2</v>
      </c>
      <c r="D40" s="19">
        <v>0</v>
      </c>
      <c r="E40" s="69">
        <f>D40/'- 3 -'!$D40*100</f>
        <v>0</v>
      </c>
      <c r="F40" s="19">
        <v>1633300</v>
      </c>
      <c r="G40" s="69">
        <f>F40/'- 3 -'!$D40*100</f>
        <v>1.6704925647739295</v>
      </c>
    </row>
    <row r="41" spans="1:7" ht="14.1" customHeight="1">
      <c r="A41" s="287" t="s">
        <v>140</v>
      </c>
      <c r="B41" s="288">
        <v>145552</v>
      </c>
      <c r="C41" s="294">
        <f>B41/'- 3 -'!$D41*100</f>
        <v>0.24360922450684161</v>
      </c>
      <c r="D41" s="288">
        <v>0</v>
      </c>
      <c r="E41" s="294">
        <f>D41/'- 3 -'!$D41*100</f>
        <v>0</v>
      </c>
      <c r="F41" s="288">
        <v>936436</v>
      </c>
      <c r="G41" s="294">
        <f>F41/'- 3 -'!$D41*100</f>
        <v>1.5673054836779208</v>
      </c>
    </row>
    <row r="42" spans="1:7" ht="14.1" customHeight="1">
      <c r="A42" s="18" t="s">
        <v>141</v>
      </c>
      <c r="B42" s="19">
        <v>0</v>
      </c>
      <c r="C42" s="69">
        <f>B42/'- 3 -'!$D42*100</f>
        <v>0</v>
      </c>
      <c r="D42" s="19">
        <v>0</v>
      </c>
      <c r="E42" s="69">
        <f>D42/'- 3 -'!$D42*100</f>
        <v>0</v>
      </c>
      <c r="F42" s="19">
        <v>314847</v>
      </c>
      <c r="G42" s="69">
        <f>F42/'- 3 -'!$D42*100</f>
        <v>1.5821892189699889</v>
      </c>
    </row>
    <row r="43" spans="1:7" ht="14.1" customHeight="1">
      <c r="A43" s="287" t="s">
        <v>142</v>
      </c>
      <c r="B43" s="288">
        <v>50410</v>
      </c>
      <c r="C43" s="294">
        <f>B43/'- 3 -'!$D43*100</f>
        <v>0.39356557371609674</v>
      </c>
      <c r="D43" s="288">
        <v>0</v>
      </c>
      <c r="E43" s="294">
        <f>D43/'- 3 -'!$D43*100</f>
        <v>0</v>
      </c>
      <c r="F43" s="288">
        <v>202760</v>
      </c>
      <c r="G43" s="294">
        <f>F43/'- 3 -'!$D43*100</f>
        <v>1.5830064615488151</v>
      </c>
    </row>
    <row r="44" spans="1:7" ht="14.1" customHeight="1">
      <c r="A44" s="18" t="s">
        <v>143</v>
      </c>
      <c r="B44" s="19">
        <v>4755</v>
      </c>
      <c r="C44" s="69">
        <f>B44/'- 3 -'!$D44*100</f>
        <v>4.5101459788657691E-2</v>
      </c>
      <c r="D44" s="19">
        <v>0</v>
      </c>
      <c r="E44" s="69">
        <f>D44/'- 3 -'!$D44*100</f>
        <v>0</v>
      </c>
      <c r="F44" s="19">
        <v>162161</v>
      </c>
      <c r="G44" s="69">
        <f>F44/'- 3 -'!$D44*100</f>
        <v>1.5381067972215603</v>
      </c>
    </row>
    <row r="45" spans="1:7" ht="14.1" customHeight="1">
      <c r="A45" s="287" t="s">
        <v>144</v>
      </c>
      <c r="B45" s="288">
        <v>30618</v>
      </c>
      <c r="C45" s="294">
        <f>B45/'- 3 -'!$D45*100</f>
        <v>0.17533864129103024</v>
      </c>
      <c r="D45" s="288">
        <v>0</v>
      </c>
      <c r="E45" s="294">
        <f>D45/'- 3 -'!$D45*100</f>
        <v>0</v>
      </c>
      <c r="F45" s="288">
        <v>283151</v>
      </c>
      <c r="G45" s="294">
        <f>F45/'- 3 -'!$D45*100</f>
        <v>1.6215073362138777</v>
      </c>
    </row>
    <row r="46" spans="1:7" ht="14.1" customHeight="1">
      <c r="A46" s="18" t="s">
        <v>145</v>
      </c>
      <c r="B46" s="19">
        <v>160077</v>
      </c>
      <c r="C46" s="69">
        <f>B46/'- 3 -'!$D46*100</f>
        <v>4.3530359499062227E-2</v>
      </c>
      <c r="D46" s="19">
        <v>0</v>
      </c>
      <c r="E46" s="69">
        <f>D46/'- 3 -'!$D46*100</f>
        <v>0</v>
      </c>
      <c r="F46" s="19">
        <v>6265882</v>
      </c>
      <c r="G46" s="69">
        <f>F46/'- 3 -'!$D46*100</f>
        <v>1.7039055956739757</v>
      </c>
    </row>
    <row r="47" spans="1:7" ht="5.0999999999999996" customHeight="1">
      <c r="A47"/>
      <c r="B47" s="21"/>
      <c r="C47"/>
      <c r="D47" s="21"/>
      <c r="E47"/>
      <c r="F47" s="21"/>
      <c r="G47"/>
    </row>
    <row r="48" spans="1:7" ht="14.1" customHeight="1">
      <c r="A48" s="289" t="s">
        <v>146</v>
      </c>
      <c r="B48" s="290">
        <f>SUM(B11:B46)</f>
        <v>1884713</v>
      </c>
      <c r="C48" s="297">
        <f>B48/'- 3 -'!$D48*100</f>
        <v>8.8171363130949754E-2</v>
      </c>
      <c r="D48" s="290">
        <f>SUM(D11:D46)</f>
        <v>183567</v>
      </c>
      <c r="E48" s="297">
        <f>D48/'- 3 -'!$F48*100</f>
        <v>8.7195800967682768E-3</v>
      </c>
      <c r="F48" s="290">
        <f>SUM(F11:F46)</f>
        <v>34894981</v>
      </c>
      <c r="G48" s="297">
        <f>F48/'- 3 -'!$D48*100</f>
        <v>1.6324703237037108</v>
      </c>
    </row>
    <row r="49" spans="1:7" ht="5.0999999999999996" customHeight="1">
      <c r="A49" s="20" t="s">
        <v>8</v>
      </c>
      <c r="B49" s="21"/>
      <c r="C49"/>
      <c r="D49" s="21"/>
      <c r="E49"/>
      <c r="F49" s="21"/>
      <c r="G49"/>
    </row>
    <row r="50" spans="1:7" ht="14.1" customHeight="1">
      <c r="A50" s="18" t="s">
        <v>147</v>
      </c>
      <c r="B50" s="19">
        <v>0</v>
      </c>
      <c r="C50" s="69">
        <f>B50/'- 3 -'!$D50*100</f>
        <v>0</v>
      </c>
      <c r="D50" s="19">
        <v>0</v>
      </c>
      <c r="E50" s="69">
        <f>D50/'- 3 -'!$D50*100</f>
        <v>0</v>
      </c>
      <c r="F50" s="19">
        <v>36058</v>
      </c>
      <c r="G50" s="69">
        <f>F50/'- 3 -'!$D50*100</f>
        <v>1.1100825157847649</v>
      </c>
    </row>
    <row r="51" spans="1:7" ht="14.1" customHeight="1">
      <c r="A51" s="287" t="s">
        <v>643</v>
      </c>
      <c r="B51" s="288">
        <v>90226</v>
      </c>
      <c r="C51" s="294">
        <f>B51/'- 3 -'!$D51*100</f>
        <v>0.40466558891589621</v>
      </c>
      <c r="D51" s="288">
        <v>45090</v>
      </c>
      <c r="E51" s="294">
        <f>D51/'- 3 -'!$D51*100</f>
        <v>0.20222963895349189</v>
      </c>
      <c r="F51" s="288">
        <v>134016</v>
      </c>
      <c r="G51" s="294">
        <f>F51/'- 3 -'!$D51*100</f>
        <v>0.60106469935664608</v>
      </c>
    </row>
    <row r="52" spans="1:7" ht="50.1" customHeight="1"/>
  </sheetData>
  <mergeCells count="3">
    <mergeCell ref="B7:C8"/>
    <mergeCell ref="D7:E8"/>
    <mergeCell ref="F7:G8"/>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3.xml><?xml version="1.0" encoding="utf-8"?>
<worksheet xmlns="http://schemas.openxmlformats.org/spreadsheetml/2006/main" xmlns:r="http://schemas.openxmlformats.org/officeDocument/2006/relationships">
  <sheetPr codeName="Sheet2">
    <pageSetUpPr fitToPage="1"/>
  </sheetPr>
  <dimension ref="A1:F68"/>
  <sheetViews>
    <sheetView showGridLines="0" showZeros="0" workbookViewId="0"/>
  </sheetViews>
  <sheetFormatPr defaultColWidth="15.83203125" defaultRowHeight="12"/>
  <cols>
    <col min="1" max="1" width="40.83203125" style="1" customWidth="1"/>
    <col min="2" max="2" width="27.83203125" style="1" customWidth="1"/>
    <col min="3" max="3" width="18.83203125" style="1" customWidth="1"/>
    <col min="4" max="4" width="27.83203125" style="1" customWidth="1"/>
    <col min="5" max="5" width="18.83203125" style="1" customWidth="1"/>
    <col min="6" max="16384" width="15.83203125" style="1"/>
  </cols>
  <sheetData>
    <row r="1" spans="1:5" ht="6.95" customHeight="1">
      <c r="A1" s="6"/>
      <c r="B1" s="7"/>
      <c r="C1" s="7"/>
      <c r="D1" s="7"/>
      <c r="E1" s="7"/>
    </row>
    <row r="2" spans="1:5" ht="15.95" customHeight="1">
      <c r="A2" s="26"/>
      <c r="B2" s="592" t="s">
        <v>267</v>
      </c>
      <c r="C2" s="593"/>
      <c r="D2" s="593"/>
      <c r="E2" s="27"/>
    </row>
    <row r="3" spans="1:5" ht="15.95" customHeight="1">
      <c r="A3" s="547"/>
      <c r="B3" s="594"/>
      <c r="C3" s="594"/>
      <c r="D3" s="594"/>
      <c r="E3" s="29"/>
    </row>
    <row r="4" spans="1:5" ht="15.95" customHeight="1">
      <c r="B4" s="7"/>
      <c r="C4" s="30"/>
      <c r="D4" s="31"/>
      <c r="E4" s="30"/>
    </row>
    <row r="5" spans="1:5" ht="15.95" customHeight="1">
      <c r="B5" s="7"/>
      <c r="C5" s="7"/>
      <c r="D5" s="7"/>
      <c r="E5" s="7"/>
    </row>
    <row r="6" spans="1:5" ht="15.95" customHeight="1">
      <c r="B6" s="7"/>
      <c r="C6" s="7"/>
      <c r="D6" s="7"/>
      <c r="E6" s="7"/>
    </row>
    <row r="7" spans="1:5" ht="15.95" customHeight="1">
      <c r="B7" s="284" t="s">
        <v>400</v>
      </c>
      <c r="C7" s="285"/>
      <c r="D7" s="284" t="s">
        <v>413</v>
      </c>
      <c r="E7" s="286"/>
    </row>
    <row r="8" spans="1:5" ht="15.95" customHeight="1">
      <c r="A8" s="32"/>
      <c r="B8" s="33"/>
      <c r="C8" s="279"/>
      <c r="D8" s="33"/>
      <c r="E8" s="279"/>
    </row>
    <row r="9" spans="1:5" ht="15.95" customHeight="1">
      <c r="A9" s="34" t="s">
        <v>43</v>
      </c>
      <c r="B9" s="405" t="s">
        <v>255</v>
      </c>
      <c r="C9" s="280" t="s">
        <v>46</v>
      </c>
      <c r="D9" s="405" t="s">
        <v>255</v>
      </c>
      <c r="E9" s="280" t="s">
        <v>46</v>
      </c>
    </row>
    <row r="10" spans="1:5" ht="5.0999999999999996" customHeight="1">
      <c r="A10" s="5"/>
    </row>
    <row r="11" spans="1:5" ht="14.1" customHeight="1">
      <c r="A11" s="287" t="s">
        <v>111</v>
      </c>
      <c r="B11" s="288">
        <v>16638444</v>
      </c>
      <c r="C11" s="288">
        <v>11219</v>
      </c>
      <c r="D11" s="288">
        <f>'- 3 -'!F11</f>
        <v>17464496</v>
      </c>
      <c r="E11" s="288">
        <f>ROUND(D11/'- 7 -'!E11,0)</f>
        <v>10922</v>
      </c>
    </row>
    <row r="12" spans="1:5" ht="14.1" customHeight="1">
      <c r="A12" s="18" t="s">
        <v>112</v>
      </c>
      <c r="B12" s="36">
        <v>29210965</v>
      </c>
      <c r="C12" s="36">
        <v>13349</v>
      </c>
      <c r="D12" s="19">
        <f>'- 3 -'!F12</f>
        <v>31020950</v>
      </c>
      <c r="E12" s="19">
        <f>ROUND(D12/'- 7 -'!E12,0)</f>
        <v>14538</v>
      </c>
    </row>
    <row r="13" spans="1:5" ht="14.1" customHeight="1">
      <c r="A13" s="287" t="s">
        <v>113</v>
      </c>
      <c r="B13" s="288">
        <v>83622829</v>
      </c>
      <c r="C13" s="288">
        <v>10452</v>
      </c>
      <c r="D13" s="288">
        <f>'- 3 -'!F13</f>
        <v>86251333</v>
      </c>
      <c r="E13" s="288">
        <f>ROUND(D13/'- 7 -'!E13,0)</f>
        <v>10706</v>
      </c>
    </row>
    <row r="14" spans="1:5" ht="14.1" customHeight="1">
      <c r="A14" s="18" t="s">
        <v>365</v>
      </c>
      <c r="B14" s="19">
        <v>71891712</v>
      </c>
      <c r="C14" s="19">
        <v>13823</v>
      </c>
      <c r="D14" s="19">
        <f>'- 3 -'!F14</f>
        <v>76285427</v>
      </c>
      <c r="E14" s="19">
        <f>ROUND(D14/'- 7 -'!E14,0)</f>
        <v>14558</v>
      </c>
    </row>
    <row r="15" spans="1:5" ht="14.1" customHeight="1">
      <c r="A15" s="287" t="s">
        <v>114</v>
      </c>
      <c r="B15" s="288">
        <v>18914368</v>
      </c>
      <c r="C15" s="288">
        <v>12681</v>
      </c>
      <c r="D15" s="288">
        <f>'- 3 -'!F15</f>
        <v>19599395</v>
      </c>
      <c r="E15" s="288">
        <f>ROUND(D15/'- 7 -'!E15,0)</f>
        <v>13494</v>
      </c>
    </row>
    <row r="16" spans="1:5" ht="14.1" customHeight="1">
      <c r="A16" s="18" t="s">
        <v>115</v>
      </c>
      <c r="B16" s="36">
        <v>12925490</v>
      </c>
      <c r="C16" s="36">
        <v>13436</v>
      </c>
      <c r="D16" s="19">
        <f>'- 3 -'!F16</f>
        <v>13512322</v>
      </c>
      <c r="E16" s="19">
        <f>ROUND(D16/'- 7 -'!E16,0)</f>
        <v>14793</v>
      </c>
    </row>
    <row r="17" spans="1:5" ht="14.1" customHeight="1">
      <c r="A17" s="287" t="s">
        <v>116</v>
      </c>
      <c r="B17" s="288">
        <v>16093366</v>
      </c>
      <c r="C17" s="288">
        <v>12505</v>
      </c>
      <c r="D17" s="288">
        <f>'- 3 -'!F17</f>
        <v>17017519</v>
      </c>
      <c r="E17" s="288">
        <f>ROUND(D17/'- 7 -'!E17,0)</f>
        <v>12738</v>
      </c>
    </row>
    <row r="18" spans="1:5" ht="14.1" customHeight="1">
      <c r="A18" s="18" t="s">
        <v>117</v>
      </c>
      <c r="B18" s="19">
        <v>114310239</v>
      </c>
      <c r="C18" s="19">
        <v>18845</v>
      </c>
      <c r="D18" s="19">
        <f>'- 3 -'!F18</f>
        <v>117633866</v>
      </c>
      <c r="E18" s="19">
        <f>ROUND(D18/'- 7 -'!E18,0)</f>
        <v>19385</v>
      </c>
    </row>
    <row r="19" spans="1:5" ht="14.1" customHeight="1">
      <c r="A19" s="287" t="s">
        <v>118</v>
      </c>
      <c r="B19" s="288">
        <v>43236789</v>
      </c>
      <c r="C19" s="288">
        <v>10311</v>
      </c>
      <c r="D19" s="288">
        <f>'- 3 -'!F19</f>
        <v>43013413</v>
      </c>
      <c r="E19" s="288">
        <f>ROUND(D19/'- 7 -'!E19,0)</f>
        <v>10204</v>
      </c>
    </row>
    <row r="20" spans="1:5" ht="14.1" customHeight="1">
      <c r="A20" s="18" t="s">
        <v>119</v>
      </c>
      <c r="B20" s="36">
        <v>70487403</v>
      </c>
      <c r="C20" s="36">
        <v>9552</v>
      </c>
      <c r="D20" s="19">
        <f>'- 3 -'!F20</f>
        <v>74481728</v>
      </c>
      <c r="E20" s="19">
        <f>ROUND(D20/'- 7 -'!E20,0)</f>
        <v>10105</v>
      </c>
    </row>
    <row r="21" spans="1:5" ht="14.1" customHeight="1">
      <c r="A21" s="287" t="s">
        <v>120</v>
      </c>
      <c r="B21" s="288">
        <v>34385782</v>
      </c>
      <c r="C21" s="288">
        <v>12721</v>
      </c>
      <c r="D21" s="288">
        <f>'- 3 -'!F21</f>
        <v>34552645</v>
      </c>
      <c r="E21" s="288">
        <f>ROUND(D21/'- 7 -'!E21,0)</f>
        <v>12907</v>
      </c>
    </row>
    <row r="22" spans="1:5" ht="14.1" customHeight="1">
      <c r="A22" s="18" t="s">
        <v>121</v>
      </c>
      <c r="B22" s="19">
        <v>18620893</v>
      </c>
      <c r="C22" s="19">
        <v>11874</v>
      </c>
      <c r="D22" s="19">
        <f>'- 3 -'!F22</f>
        <v>18829634</v>
      </c>
      <c r="E22" s="19">
        <f>ROUND(D22/'- 7 -'!E22,0)</f>
        <v>12292</v>
      </c>
    </row>
    <row r="23" spans="1:5" ht="14.1" customHeight="1">
      <c r="A23" s="287" t="s">
        <v>122</v>
      </c>
      <c r="B23" s="288">
        <v>15675920</v>
      </c>
      <c r="C23" s="288">
        <v>13556</v>
      </c>
      <c r="D23" s="288">
        <f>'- 3 -'!F23</f>
        <v>15704572</v>
      </c>
      <c r="E23" s="288">
        <f>ROUND(D23/'- 7 -'!E23,0)</f>
        <v>13997</v>
      </c>
    </row>
    <row r="24" spans="1:5" ht="14.1" customHeight="1">
      <c r="A24" s="18" t="s">
        <v>123</v>
      </c>
      <c r="B24" s="36">
        <v>51515479</v>
      </c>
      <c r="C24" s="36">
        <v>12492</v>
      </c>
      <c r="D24" s="19">
        <f>'- 3 -'!F24</f>
        <v>53390010</v>
      </c>
      <c r="E24" s="19">
        <f>ROUND(D24/'- 7 -'!E24,0)</f>
        <v>13192</v>
      </c>
    </row>
    <row r="25" spans="1:5" ht="14.1" customHeight="1">
      <c r="A25" s="287" t="s">
        <v>124</v>
      </c>
      <c r="B25" s="288">
        <v>152947874</v>
      </c>
      <c r="C25" s="288">
        <v>11063</v>
      </c>
      <c r="D25" s="288">
        <f>'- 3 -'!F25</f>
        <v>157431357</v>
      </c>
      <c r="E25" s="288">
        <f>ROUND(D25/'- 7 -'!E25,0)</f>
        <v>11331</v>
      </c>
    </row>
    <row r="26" spans="1:5" ht="14.1" customHeight="1">
      <c r="A26" s="18" t="s">
        <v>125</v>
      </c>
      <c r="B26" s="19">
        <v>37504380</v>
      </c>
      <c r="C26" s="19">
        <v>12036</v>
      </c>
      <c r="D26" s="19">
        <f>'- 3 -'!F26</f>
        <v>38801876</v>
      </c>
      <c r="E26" s="19">
        <f>ROUND(D26/'- 7 -'!E26,0)</f>
        <v>12487</v>
      </c>
    </row>
    <row r="27" spans="1:5" ht="14.1" customHeight="1">
      <c r="A27" s="287" t="s">
        <v>126</v>
      </c>
      <c r="B27" s="288">
        <v>36765385</v>
      </c>
      <c r="C27" s="288">
        <v>13245</v>
      </c>
      <c r="D27" s="288">
        <f>'- 3 -'!F27</f>
        <v>39004223</v>
      </c>
      <c r="E27" s="288">
        <f>ROUND(D27/'- 7 -'!E27,0)</f>
        <v>13650</v>
      </c>
    </row>
    <row r="28" spans="1:5" ht="14.1" customHeight="1">
      <c r="A28" s="18" t="s">
        <v>127</v>
      </c>
      <c r="B28" s="36">
        <v>26755194</v>
      </c>
      <c r="C28" s="36">
        <v>13321</v>
      </c>
      <c r="D28" s="19">
        <f>'- 3 -'!F28</f>
        <v>27275038</v>
      </c>
      <c r="E28" s="19">
        <f>ROUND(D28/'- 7 -'!E28,0)</f>
        <v>13631</v>
      </c>
    </row>
    <row r="29" spans="1:5" ht="14.1" customHeight="1">
      <c r="A29" s="287" t="s">
        <v>128</v>
      </c>
      <c r="B29" s="288">
        <v>139729545</v>
      </c>
      <c r="C29" s="288">
        <v>11451</v>
      </c>
      <c r="D29" s="288">
        <f>'- 3 -'!F29</f>
        <v>144627315</v>
      </c>
      <c r="E29" s="288">
        <f>ROUND(D29/'- 7 -'!E29,0)</f>
        <v>11629</v>
      </c>
    </row>
    <row r="30" spans="1:5" ht="14.1" customHeight="1">
      <c r="A30" s="18" t="s">
        <v>129</v>
      </c>
      <c r="B30" s="19">
        <v>13440478</v>
      </c>
      <c r="C30" s="19">
        <v>12685</v>
      </c>
      <c r="D30" s="19">
        <f>'- 3 -'!F30</f>
        <v>13582491</v>
      </c>
      <c r="E30" s="19">
        <f>ROUND(D30/'- 7 -'!E30,0)</f>
        <v>13016</v>
      </c>
    </row>
    <row r="31" spans="1:5" ht="14.1" customHeight="1">
      <c r="A31" s="287" t="s">
        <v>130</v>
      </c>
      <c r="B31" s="288">
        <v>33661200</v>
      </c>
      <c r="C31" s="288">
        <v>10580</v>
      </c>
      <c r="D31" s="288">
        <f>'- 3 -'!F31</f>
        <v>35285731</v>
      </c>
      <c r="E31" s="288">
        <f>ROUND(D31/'- 7 -'!E31,0)</f>
        <v>10864</v>
      </c>
    </row>
    <row r="32" spans="1:5" ht="14.1" customHeight="1">
      <c r="A32" s="18" t="s">
        <v>131</v>
      </c>
      <c r="B32" s="36">
        <v>25738959</v>
      </c>
      <c r="C32" s="36">
        <v>12729</v>
      </c>
      <c r="D32" s="19">
        <f>'- 3 -'!F32</f>
        <v>26116998</v>
      </c>
      <c r="E32" s="19">
        <f>ROUND(D32/'- 7 -'!E32,0)</f>
        <v>12472</v>
      </c>
    </row>
    <row r="33" spans="1:6" ht="14.1" customHeight="1">
      <c r="A33" s="287" t="s">
        <v>132</v>
      </c>
      <c r="B33" s="288">
        <v>26148819</v>
      </c>
      <c r="C33" s="288">
        <v>13076</v>
      </c>
      <c r="D33" s="288">
        <f>'- 3 -'!F33</f>
        <v>26317962</v>
      </c>
      <c r="E33" s="288">
        <f>ROUND(D33/'- 7 -'!E33,0)</f>
        <v>13116</v>
      </c>
    </row>
    <row r="34" spans="1:6" ht="14.1" customHeight="1">
      <c r="A34" s="18" t="s">
        <v>133</v>
      </c>
      <c r="B34" s="19">
        <v>25188082</v>
      </c>
      <c r="C34" s="19">
        <v>12786</v>
      </c>
      <c r="D34" s="19">
        <f>'- 3 -'!F34</f>
        <v>26458707</v>
      </c>
      <c r="E34" s="19">
        <f>ROUND(D34/'- 7 -'!E34,0)</f>
        <v>13291</v>
      </c>
    </row>
    <row r="35" spans="1:6" ht="14.1" customHeight="1">
      <c r="A35" s="287" t="s">
        <v>134</v>
      </c>
      <c r="B35" s="288">
        <v>168947116</v>
      </c>
      <c r="C35" s="288">
        <v>10855</v>
      </c>
      <c r="D35" s="288">
        <f>'- 3 -'!F35</f>
        <v>172317517</v>
      </c>
      <c r="E35" s="288">
        <f>ROUND(D35/'- 7 -'!E35,0)</f>
        <v>11082</v>
      </c>
    </row>
    <row r="36" spans="1:6" ht="14.1" customHeight="1">
      <c r="A36" s="18" t="s">
        <v>135</v>
      </c>
      <c r="B36" s="36">
        <v>21245846</v>
      </c>
      <c r="C36" s="36">
        <v>13054</v>
      </c>
      <c r="D36" s="19">
        <f>'- 3 -'!F36</f>
        <v>21682975</v>
      </c>
      <c r="E36" s="19">
        <f>ROUND(D36/'- 7 -'!E36,0)</f>
        <v>13149</v>
      </c>
    </row>
    <row r="37" spans="1:6" ht="14.1" customHeight="1">
      <c r="A37" s="287" t="s">
        <v>136</v>
      </c>
      <c r="B37" s="288">
        <v>41894502</v>
      </c>
      <c r="C37" s="288">
        <v>10705</v>
      </c>
      <c r="D37" s="288">
        <f>'- 3 -'!F37</f>
        <v>44580010</v>
      </c>
      <c r="E37" s="288">
        <f>ROUND(D37/'- 7 -'!E37,0)</f>
        <v>11278</v>
      </c>
    </row>
    <row r="38" spans="1:6" ht="14.1" customHeight="1">
      <c r="A38" s="18" t="s">
        <v>137</v>
      </c>
      <c r="B38" s="19">
        <v>112767219</v>
      </c>
      <c r="C38" s="19">
        <v>10789</v>
      </c>
      <c r="D38" s="19">
        <f>'- 3 -'!F38</f>
        <v>119527597</v>
      </c>
      <c r="E38" s="19">
        <f>ROUND(D38/'- 7 -'!E38,0)</f>
        <v>11345</v>
      </c>
    </row>
    <row r="39" spans="1:6" ht="14.1" customHeight="1">
      <c r="A39" s="287" t="s">
        <v>138</v>
      </c>
      <c r="B39" s="288">
        <v>20185720</v>
      </c>
      <c r="C39" s="288">
        <v>12977</v>
      </c>
      <c r="D39" s="288">
        <f>'- 3 -'!F39</f>
        <v>20041577</v>
      </c>
      <c r="E39" s="288">
        <f>ROUND(D39/'- 7 -'!E39,0)</f>
        <v>12959</v>
      </c>
    </row>
    <row r="40" spans="1:6" ht="14.1" customHeight="1">
      <c r="A40" s="18" t="s">
        <v>139</v>
      </c>
      <c r="B40" s="36">
        <v>94058562</v>
      </c>
      <c r="C40" s="36">
        <v>11841</v>
      </c>
      <c r="D40" s="19">
        <f>'- 3 -'!F40</f>
        <v>96704987</v>
      </c>
      <c r="E40" s="19">
        <f>ROUND(D40/'- 7 -'!E40,0)</f>
        <v>12265</v>
      </c>
    </row>
    <row r="41" spans="1:6" ht="14.1" customHeight="1">
      <c r="A41" s="287" t="s">
        <v>140</v>
      </c>
      <c r="B41" s="288">
        <v>57347286</v>
      </c>
      <c r="C41" s="288">
        <v>13013</v>
      </c>
      <c r="D41" s="288">
        <f>'- 3 -'!F41</f>
        <v>58474412</v>
      </c>
      <c r="E41" s="288">
        <f>ROUND(D41/'- 7 -'!E41,0)</f>
        <v>13425</v>
      </c>
    </row>
    <row r="42" spans="1:6" ht="14.1" customHeight="1">
      <c r="A42" s="18" t="s">
        <v>141</v>
      </c>
      <c r="B42" s="19">
        <v>19941446</v>
      </c>
      <c r="C42" s="19">
        <v>13740</v>
      </c>
      <c r="D42" s="19">
        <f>'- 3 -'!F42</f>
        <v>19677320</v>
      </c>
      <c r="E42" s="19">
        <f>ROUND(D42/'- 7 -'!E42,0)</f>
        <v>13961</v>
      </c>
    </row>
    <row r="43" spans="1:6" ht="14.1" customHeight="1">
      <c r="A43" s="287" t="s">
        <v>142</v>
      </c>
      <c r="B43" s="288">
        <v>12113898</v>
      </c>
      <c r="C43" s="288">
        <v>12376</v>
      </c>
      <c r="D43" s="288">
        <f>'- 3 -'!F43</f>
        <v>12593448</v>
      </c>
      <c r="E43" s="288">
        <f>ROUND(D43/'- 7 -'!E43,0)</f>
        <v>13074</v>
      </c>
    </row>
    <row r="44" spans="1:6" ht="14.1" customHeight="1">
      <c r="A44" s="18" t="s">
        <v>143</v>
      </c>
      <c r="B44" s="36">
        <v>10273896</v>
      </c>
      <c r="C44" s="36">
        <v>14646</v>
      </c>
      <c r="D44" s="19">
        <f>'- 3 -'!F44</f>
        <v>10532858</v>
      </c>
      <c r="E44" s="19">
        <f>ROUND(D44/'- 7 -'!E44,0)</f>
        <v>15155</v>
      </c>
    </row>
    <row r="45" spans="1:6" ht="14.1" customHeight="1">
      <c r="A45" s="287" t="s">
        <v>144</v>
      </c>
      <c r="B45" s="288">
        <v>16480574</v>
      </c>
      <c r="C45" s="288">
        <v>10189</v>
      </c>
      <c r="D45" s="288">
        <f>'- 3 -'!F45</f>
        <v>17042000</v>
      </c>
      <c r="E45" s="288">
        <f>ROUND(D45/'- 7 -'!E45,0)</f>
        <v>10605</v>
      </c>
    </row>
    <row r="46" spans="1:6" ht="14.1" customHeight="1">
      <c r="A46" s="18" t="s">
        <v>145</v>
      </c>
      <c r="B46" s="19">
        <v>346901090</v>
      </c>
      <c r="C46" s="19">
        <v>11622</v>
      </c>
      <c r="D46" s="19">
        <f>'- 3 -'!F46</f>
        <v>358393813</v>
      </c>
      <c r="E46" s="19">
        <f>ROUND(D46/'- 7 -'!E46,0)</f>
        <v>11985</v>
      </c>
    </row>
    <row r="47" spans="1:6" ht="5.0999999999999996" customHeight="1">
      <c r="A47"/>
      <c r="B47"/>
      <c r="C47"/>
      <c r="D47"/>
      <c r="E47"/>
      <c r="F47"/>
    </row>
    <row r="48" spans="1:6" ht="14.1" customHeight="1">
      <c r="A48" s="289" t="s">
        <v>146</v>
      </c>
      <c r="B48" s="290">
        <v>2037566750</v>
      </c>
      <c r="C48" s="290">
        <v>11845</v>
      </c>
      <c r="D48" s="290">
        <f>SUM(D11:D46)</f>
        <v>2105227522</v>
      </c>
      <c r="E48" s="290">
        <f>ROUND(D48/'- 7 -'!E48,0)</f>
        <v>12205</v>
      </c>
      <c r="F48" s="281"/>
    </row>
    <row r="49" spans="1:5" ht="5.0999999999999996" customHeight="1">
      <c r="A49" s="20" t="s">
        <v>8</v>
      </c>
      <c r="B49" s="21"/>
      <c r="C49" s="21"/>
      <c r="D49" s="21"/>
      <c r="E49" s="21"/>
    </row>
    <row r="50" spans="1:5" ht="14.1" customHeight="1">
      <c r="A50" s="18" t="s">
        <v>147</v>
      </c>
      <c r="B50" s="36">
        <v>3176342</v>
      </c>
      <c r="C50" s="36">
        <v>17996</v>
      </c>
      <c r="D50" s="19">
        <f>'- 3 -'!F50</f>
        <v>3182517</v>
      </c>
      <c r="E50" s="19">
        <f>ROUND(D50/'- 7 -'!E50,0)</f>
        <v>19126</v>
      </c>
    </row>
    <row r="51" spans="1:5" ht="14.1" customHeight="1">
      <c r="A51" s="287" t="s">
        <v>643</v>
      </c>
      <c r="B51" s="288">
        <v>9836380</v>
      </c>
      <c r="C51" s="288">
        <v>13607</v>
      </c>
      <c r="D51" s="288">
        <f>'- 3 -'!F51</f>
        <v>11860617</v>
      </c>
      <c r="E51" s="288">
        <f>ROUND(D51/'- 7 -'!E51,0)</f>
        <v>15963</v>
      </c>
    </row>
    <row r="52" spans="1:5" ht="50.1" customHeight="1">
      <c r="A52" s="22"/>
      <c r="B52" s="22"/>
      <c r="C52" s="22"/>
      <c r="D52" s="22"/>
      <c r="E52" s="22"/>
    </row>
    <row r="53" spans="1:5" ht="15" customHeight="1">
      <c r="A53" s="595" t="s">
        <v>476</v>
      </c>
      <c r="B53" s="595"/>
      <c r="C53" s="595"/>
      <c r="D53" s="595"/>
      <c r="E53" s="595"/>
    </row>
    <row r="54" spans="1:5" ht="12" customHeight="1">
      <c r="A54" s="596"/>
      <c r="B54" s="596"/>
      <c r="C54" s="596"/>
      <c r="D54" s="596"/>
      <c r="E54" s="596"/>
    </row>
    <row r="55" spans="1:5" ht="12" customHeight="1">
      <c r="A55" s="596"/>
      <c r="B55" s="596"/>
      <c r="C55" s="596"/>
      <c r="D55" s="596"/>
      <c r="E55" s="596"/>
    </row>
    <row r="56" spans="1:5">
      <c r="A56" s="23"/>
    </row>
    <row r="60" spans="1:5" s="2" customFormat="1" ht="11.25"/>
    <row r="61" spans="1:5" s="2" customFormat="1" ht="11.25"/>
    <row r="62" spans="1:5" s="2" customFormat="1" ht="11.25"/>
    <row r="63" spans="1:5" s="2" customFormat="1" ht="11.25"/>
    <row r="64" spans="1:5" s="2" customFormat="1" ht="11.25"/>
    <row r="65" s="2" customFormat="1" ht="11.25"/>
    <row r="66" s="2" customFormat="1" ht="11.25"/>
    <row r="67" s="2" customFormat="1" ht="11.25"/>
    <row r="68" s="2" customFormat="1" ht="11.25"/>
  </sheetData>
  <mergeCells count="2">
    <mergeCell ref="B2:D3"/>
    <mergeCell ref="A53:E55"/>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30.xml><?xml version="1.0" encoding="utf-8"?>
<worksheet xmlns="http://schemas.openxmlformats.org/spreadsheetml/2006/main" xmlns:r="http://schemas.openxmlformats.org/officeDocument/2006/relationships">
  <sheetPr codeName="Sheet32">
    <pageSetUpPr fitToPage="1"/>
  </sheetPr>
  <dimension ref="A1:H52"/>
  <sheetViews>
    <sheetView showGridLines="0" showZeros="0" workbookViewId="0"/>
  </sheetViews>
  <sheetFormatPr defaultColWidth="15.83203125" defaultRowHeight="12"/>
  <cols>
    <col min="1" max="1" width="32.83203125" style="1" customWidth="1"/>
    <col min="2" max="2" width="16.83203125" style="1" customWidth="1"/>
    <col min="3" max="3" width="17.83203125" style="1" customWidth="1"/>
    <col min="4" max="4" width="10.83203125" style="1" customWidth="1"/>
    <col min="5" max="5" width="15.83203125" style="1" customWidth="1"/>
    <col min="6" max="6" width="11.83203125" style="1" customWidth="1"/>
    <col min="7" max="7" width="14.83203125" style="1" customWidth="1"/>
    <col min="8" max="8" width="11.83203125" style="1" customWidth="1"/>
    <col min="9" max="16384" width="15.83203125" style="1"/>
  </cols>
  <sheetData>
    <row r="1" spans="1:8" ht="6.95" customHeight="1">
      <c r="A1" s="6"/>
      <c r="B1" s="7"/>
      <c r="C1" s="7"/>
      <c r="D1" s="7"/>
      <c r="E1" s="7"/>
      <c r="F1" s="7"/>
      <c r="G1" s="7"/>
      <c r="H1" s="7"/>
    </row>
    <row r="2" spans="1:8" ht="15.95" customHeight="1">
      <c r="A2" s="133"/>
      <c r="B2" s="8" t="s">
        <v>270</v>
      </c>
      <c r="C2" s="9"/>
      <c r="D2" s="9"/>
      <c r="E2" s="9"/>
      <c r="F2" s="72"/>
      <c r="G2" s="72"/>
      <c r="H2" s="72"/>
    </row>
    <row r="3" spans="1:8" ht="15.95" customHeight="1">
      <c r="A3" s="546"/>
      <c r="B3" s="10" t="str">
        <f>OPYEAR</f>
        <v>OPERATING FUND 2014/2015 ACTUAL</v>
      </c>
      <c r="C3" s="11"/>
      <c r="D3" s="11"/>
      <c r="E3" s="11"/>
      <c r="F3" s="74"/>
      <c r="G3" s="74"/>
      <c r="H3" s="74"/>
    </row>
    <row r="4" spans="1:8" ht="15.95" customHeight="1">
      <c r="B4" s="7"/>
      <c r="C4" s="7"/>
      <c r="D4" s="7"/>
      <c r="E4" s="7"/>
      <c r="F4" s="7"/>
      <c r="G4" s="7"/>
      <c r="H4" s="7"/>
    </row>
    <row r="5" spans="1:8" ht="15.95" customHeight="1">
      <c r="B5" s="7"/>
      <c r="C5" s="7"/>
      <c r="D5" s="7"/>
      <c r="E5" s="7"/>
      <c r="F5" s="7"/>
      <c r="G5" s="7"/>
      <c r="H5" s="7"/>
    </row>
    <row r="6" spans="1:8" ht="15.95" customHeight="1">
      <c r="B6" s="312" t="s">
        <v>19</v>
      </c>
      <c r="C6" s="315"/>
      <c r="D6" s="319"/>
      <c r="E6" s="319"/>
      <c r="F6" s="319"/>
      <c r="G6" s="319"/>
      <c r="H6" s="309"/>
    </row>
    <row r="7" spans="1:8" ht="15.95" customHeight="1">
      <c r="B7" s="300" t="s">
        <v>33</v>
      </c>
      <c r="C7" s="301"/>
      <c r="D7" s="311"/>
      <c r="E7" s="311"/>
      <c r="F7" s="311"/>
      <c r="G7" s="311"/>
      <c r="H7" s="320"/>
    </row>
    <row r="8" spans="1:8" ht="15.95" customHeight="1">
      <c r="A8" s="66"/>
      <c r="B8" s="30"/>
      <c r="C8" s="605" t="s">
        <v>530</v>
      </c>
      <c r="D8" s="584" t="s">
        <v>502</v>
      </c>
      <c r="E8" s="687" t="s">
        <v>531</v>
      </c>
      <c r="F8" s="685" t="s">
        <v>532</v>
      </c>
      <c r="G8" s="685" t="s">
        <v>533</v>
      </c>
      <c r="H8" s="685" t="s">
        <v>534</v>
      </c>
    </row>
    <row r="9" spans="1:8" ht="15.95" customHeight="1">
      <c r="A9" s="34" t="s">
        <v>43</v>
      </c>
      <c r="B9" s="76" t="s">
        <v>44</v>
      </c>
      <c r="C9" s="586"/>
      <c r="D9" s="586"/>
      <c r="E9" s="686"/>
      <c r="F9" s="686"/>
      <c r="G9" s="686"/>
      <c r="H9" s="686"/>
    </row>
    <row r="10" spans="1:8" ht="5.0999999999999996" customHeight="1">
      <c r="A10" s="5"/>
    </row>
    <row r="11" spans="1:8" ht="14.1" customHeight="1">
      <c r="A11" s="287" t="s">
        <v>111</v>
      </c>
      <c r="B11" s="288">
        <f>'- 29 -'!$D11</f>
        <v>1000177</v>
      </c>
      <c r="C11" s="288">
        <v>720</v>
      </c>
      <c r="D11" s="288">
        <f ca="1">IF(AND(CELL("type",C11)="v",C11&gt;0),B11/C11,"")</f>
        <v>1389.1347222222223</v>
      </c>
      <c r="E11" s="288">
        <v>626200</v>
      </c>
      <c r="F11" s="364">
        <f ca="1">IF(AND(CELL("type",E11)="v",E11&gt;0),B11/E11,"")</f>
        <v>1.5972165442350688</v>
      </c>
      <c r="G11" s="288">
        <v>416930</v>
      </c>
      <c r="H11" s="364">
        <f ca="1">IF(AND(CELL("type",G11)="v",G11&gt;0),B11/G11,"")</f>
        <v>2.3989086897081044</v>
      </c>
    </row>
    <row r="12" spans="1:8" ht="14.1" customHeight="1">
      <c r="A12" s="18" t="s">
        <v>112</v>
      </c>
      <c r="B12" s="19">
        <f>'- 29 -'!$D12</f>
        <v>2117381</v>
      </c>
      <c r="C12" s="19">
        <v>1629</v>
      </c>
      <c r="D12" s="19">
        <f t="shared" ref="D12:D46" ca="1" si="0">IF(AND(CELL("type",C12)="v",C12&gt;0),B12/C12,"")</f>
        <v>1299.8041743400859</v>
      </c>
      <c r="E12" s="19">
        <v>1174006</v>
      </c>
      <c r="F12" s="365">
        <f t="shared" ref="F12:F46" ca="1" si="1">IF(AND(CELL("type",E12)="v",E12&gt;0),B12/E12,"")</f>
        <v>1.803552111318</v>
      </c>
      <c r="G12" s="19">
        <v>720564</v>
      </c>
      <c r="H12" s="365">
        <f t="shared" ref="H12:H46" ca="1" si="2">IF(AND(CELL("type",G12)="v",G12&gt;0),B12/G12,"")</f>
        <v>2.9385051154373518</v>
      </c>
    </row>
    <row r="13" spans="1:8" ht="14.1" customHeight="1">
      <c r="A13" s="287" t="s">
        <v>113</v>
      </c>
      <c r="B13" s="288">
        <f>'- 29 -'!$D13</f>
        <v>1949666</v>
      </c>
      <c r="C13" s="288">
        <v>3170</v>
      </c>
      <c r="D13" s="288">
        <f t="shared" ca="1" si="0"/>
        <v>615.03659305993688</v>
      </c>
      <c r="E13" s="288">
        <v>821603</v>
      </c>
      <c r="F13" s="364">
        <f t="shared" ca="1" si="1"/>
        <v>2.3730025328534583</v>
      </c>
      <c r="G13" s="288">
        <v>508808</v>
      </c>
      <c r="H13" s="364">
        <f t="shared" ca="1" si="2"/>
        <v>3.8318304743636107</v>
      </c>
    </row>
    <row r="14" spans="1:8" ht="14.1" customHeight="1">
      <c r="A14" s="18" t="s">
        <v>365</v>
      </c>
      <c r="B14" s="19">
        <f>'- 29 -'!$D14</f>
        <v>7206599</v>
      </c>
      <c r="C14" s="19">
        <v>4244</v>
      </c>
      <c r="D14" s="19">
        <f t="shared" ca="1" si="0"/>
        <v>1698.0676248821867</v>
      </c>
      <c r="E14" s="19">
        <v>3068483</v>
      </c>
      <c r="F14" s="365">
        <f t="shared" ca="1" si="1"/>
        <v>2.3485869076022254</v>
      </c>
      <c r="G14" s="19">
        <v>1644852</v>
      </c>
      <c r="H14" s="365">
        <f t="shared" ca="1" si="2"/>
        <v>4.3813054305189771</v>
      </c>
    </row>
    <row r="15" spans="1:8" ht="14.1" customHeight="1">
      <c r="A15" s="287" t="s">
        <v>114</v>
      </c>
      <c r="B15" s="288">
        <f>'- 29 -'!$D15</f>
        <v>1548707</v>
      </c>
      <c r="C15" s="288">
        <v>1042</v>
      </c>
      <c r="D15" s="288">
        <f t="shared" ca="1" si="0"/>
        <v>1486.2831094049905</v>
      </c>
      <c r="E15" s="288">
        <v>716445</v>
      </c>
      <c r="F15" s="364">
        <f t="shared" ca="1" si="1"/>
        <v>2.1616551165825708</v>
      </c>
      <c r="G15" s="288">
        <v>460867</v>
      </c>
      <c r="H15" s="364">
        <f t="shared" ca="1" si="2"/>
        <v>3.3604206853604186</v>
      </c>
    </row>
    <row r="16" spans="1:8" ht="14.1" customHeight="1">
      <c r="A16" s="18" t="s">
        <v>115</v>
      </c>
      <c r="B16" s="19">
        <f>'- 29 -'!$D16</f>
        <v>350226</v>
      </c>
      <c r="C16" s="19">
        <v>278</v>
      </c>
      <c r="D16" s="19">
        <f t="shared" ca="1" si="0"/>
        <v>1259.8057553956835</v>
      </c>
      <c r="E16" s="19">
        <v>56100</v>
      </c>
      <c r="F16" s="365">
        <f t="shared" ca="1" si="1"/>
        <v>6.2428877005347596</v>
      </c>
      <c r="G16" s="19">
        <v>33847</v>
      </c>
      <c r="H16" s="365">
        <f t="shared" ca="1" si="2"/>
        <v>10.347327680444353</v>
      </c>
    </row>
    <row r="17" spans="1:8" ht="14.1" customHeight="1">
      <c r="A17" s="287" t="s">
        <v>116</v>
      </c>
      <c r="B17" s="288">
        <f>'- 29 -'!$D17</f>
        <v>1350827</v>
      </c>
      <c r="C17" s="288">
        <v>659</v>
      </c>
      <c r="D17" s="288">
        <f t="shared" ca="1" si="0"/>
        <v>2049.813353566009</v>
      </c>
      <c r="E17" s="288">
        <v>941788</v>
      </c>
      <c r="F17" s="364">
        <f t="shared" ca="1" si="1"/>
        <v>1.4343217369514158</v>
      </c>
      <c r="G17" s="288">
        <v>668581</v>
      </c>
      <c r="H17" s="364">
        <f t="shared" ca="1" si="2"/>
        <v>2.0204388099572079</v>
      </c>
    </row>
    <row r="18" spans="1:8" ht="14.1" customHeight="1">
      <c r="A18" s="18" t="s">
        <v>117</v>
      </c>
      <c r="B18" s="19">
        <f>'- 29 -'!$D18</f>
        <v>7361228</v>
      </c>
      <c r="C18" s="19">
        <v>5104</v>
      </c>
      <c r="D18" s="19">
        <f t="shared" ca="1" si="0"/>
        <v>1442.2468652037617</v>
      </c>
      <c r="E18" s="19">
        <v>1635800</v>
      </c>
      <c r="F18" s="365">
        <f t="shared" ca="1" si="1"/>
        <v>4.5000782491747158</v>
      </c>
      <c r="G18" s="19">
        <v>1051600</v>
      </c>
      <c r="H18" s="365">
        <f t="shared" ca="1" si="2"/>
        <v>7.0000266260935717</v>
      </c>
    </row>
    <row r="19" spans="1:8" ht="14.1" customHeight="1">
      <c r="A19" s="287" t="s">
        <v>118</v>
      </c>
      <c r="B19" s="288">
        <f>'- 29 -'!$D19</f>
        <v>2357228</v>
      </c>
      <c r="C19" s="288">
        <v>2624</v>
      </c>
      <c r="D19" s="288">
        <f t="shared" ca="1" si="0"/>
        <v>898.33384146341461</v>
      </c>
      <c r="E19" s="288">
        <v>823926.6</v>
      </c>
      <c r="F19" s="364">
        <f t="shared" ca="1" si="1"/>
        <v>2.8609684406353675</v>
      </c>
      <c r="G19" s="288">
        <v>479379.60000000003</v>
      </c>
      <c r="H19" s="364">
        <f t="shared" ca="1" si="2"/>
        <v>4.9172472086838903</v>
      </c>
    </row>
    <row r="20" spans="1:8" ht="14.1" customHeight="1">
      <c r="A20" s="18" t="s">
        <v>119</v>
      </c>
      <c r="B20" s="19">
        <f>'- 29 -'!$D20</f>
        <v>2858230</v>
      </c>
      <c r="C20" s="19">
        <v>4924</v>
      </c>
      <c r="D20" s="19">
        <f t="shared" ca="1" si="0"/>
        <v>580.46913078797729</v>
      </c>
      <c r="E20" s="19">
        <v>1429783</v>
      </c>
      <c r="F20" s="365">
        <f t="shared" ca="1" si="1"/>
        <v>1.9990655924710252</v>
      </c>
      <c r="G20" s="19">
        <v>838508</v>
      </c>
      <c r="H20" s="365">
        <f t="shared" ca="1" si="2"/>
        <v>3.4087092788619788</v>
      </c>
    </row>
    <row r="21" spans="1:8" ht="14.1" customHeight="1">
      <c r="A21" s="287" t="s">
        <v>120</v>
      </c>
      <c r="B21" s="288">
        <f>'- 29 -'!$D21</f>
        <v>1916508</v>
      </c>
      <c r="C21" s="288">
        <v>1565</v>
      </c>
      <c r="D21" s="288">
        <f t="shared" ca="1" si="0"/>
        <v>1224.6057507987221</v>
      </c>
      <c r="E21" s="288">
        <v>962302</v>
      </c>
      <c r="F21" s="364">
        <f t="shared" ca="1" si="1"/>
        <v>1.9915868407215198</v>
      </c>
      <c r="G21" s="288">
        <v>589237</v>
      </c>
      <c r="H21" s="364">
        <f t="shared" ca="1" si="2"/>
        <v>3.2525248753896987</v>
      </c>
    </row>
    <row r="22" spans="1:8" ht="14.1" customHeight="1">
      <c r="A22" s="18" t="s">
        <v>121</v>
      </c>
      <c r="B22" s="19">
        <f>'- 29 -'!$D22</f>
        <v>431301</v>
      </c>
      <c r="C22" s="19">
        <v>486</v>
      </c>
      <c r="D22" s="19">
        <f t="shared" ca="1" si="0"/>
        <v>887.45061728395058</v>
      </c>
      <c r="E22" s="19">
        <v>164692</v>
      </c>
      <c r="F22" s="365">
        <f t="shared" ca="1" si="1"/>
        <v>2.6188339445753286</v>
      </c>
      <c r="G22" s="19">
        <v>96924</v>
      </c>
      <c r="H22" s="365">
        <f t="shared" ca="1" si="2"/>
        <v>4.4498885724897859</v>
      </c>
    </row>
    <row r="23" spans="1:8" ht="14.1" customHeight="1">
      <c r="A23" s="287" t="s">
        <v>122</v>
      </c>
      <c r="B23" s="288">
        <f>'- 29 -'!$D23</f>
        <v>1556136</v>
      </c>
      <c r="C23" s="288">
        <v>795</v>
      </c>
      <c r="D23" s="288">
        <f t="shared" ca="1" si="0"/>
        <v>1957.4037735849056</v>
      </c>
      <c r="E23" s="288">
        <v>1047537</v>
      </c>
      <c r="F23" s="364">
        <f t="shared" ca="1" si="1"/>
        <v>1.4855188885929567</v>
      </c>
      <c r="G23" s="288">
        <v>622747</v>
      </c>
      <c r="H23" s="364">
        <f t="shared" ca="1" si="2"/>
        <v>2.4988253656781967</v>
      </c>
    </row>
    <row r="24" spans="1:8" ht="14.1" customHeight="1">
      <c r="A24" s="18" t="s">
        <v>123</v>
      </c>
      <c r="B24" s="19">
        <f>'- 29 -'!$D24</f>
        <v>2145631</v>
      </c>
      <c r="C24" s="19">
        <v>2791</v>
      </c>
      <c r="D24" s="19">
        <f t="shared" ca="1" si="0"/>
        <v>768.76782515227512</v>
      </c>
      <c r="E24" s="19">
        <v>1037476</v>
      </c>
      <c r="F24" s="365">
        <f t="shared" ca="1" si="1"/>
        <v>2.0681259132741383</v>
      </c>
      <c r="G24" s="19">
        <v>653004</v>
      </c>
      <c r="H24" s="365">
        <f t="shared" ca="1" si="2"/>
        <v>3.2857853856944215</v>
      </c>
    </row>
    <row r="25" spans="1:8" ht="14.1" customHeight="1">
      <c r="A25" s="287" t="s">
        <v>124</v>
      </c>
      <c r="B25" s="288">
        <f>'- 29 -'!$D25</f>
        <v>3490203</v>
      </c>
      <c r="C25" s="288">
        <v>2666</v>
      </c>
      <c r="D25" s="288">
        <f t="shared" ca="1" si="0"/>
        <v>1309.1534133533382</v>
      </c>
      <c r="E25" s="288">
        <v>867614</v>
      </c>
      <c r="F25" s="364">
        <f t="shared" ca="1" si="1"/>
        <v>4.022760121436491</v>
      </c>
      <c r="G25" s="288">
        <v>436155</v>
      </c>
      <c r="H25" s="364">
        <f t="shared" ca="1" si="2"/>
        <v>8.0022079306668505</v>
      </c>
    </row>
    <row r="26" spans="1:8" ht="14.1" customHeight="1">
      <c r="A26" s="18" t="s">
        <v>125</v>
      </c>
      <c r="B26" s="19">
        <f>'- 29 -'!$D26</f>
        <v>2813985</v>
      </c>
      <c r="C26" s="19">
        <v>1463</v>
      </c>
      <c r="D26" s="19">
        <f t="shared" ca="1" si="0"/>
        <v>1923.4347231715653</v>
      </c>
      <c r="E26" s="19">
        <v>1365514</v>
      </c>
      <c r="F26" s="365">
        <f t="shared" ca="1" si="1"/>
        <v>2.0607514825919031</v>
      </c>
      <c r="G26" s="19">
        <v>1151322</v>
      </c>
      <c r="H26" s="365">
        <f t="shared" ca="1" si="2"/>
        <v>2.4441337870725999</v>
      </c>
    </row>
    <row r="27" spans="1:8" ht="14.1" customHeight="1">
      <c r="A27" s="287" t="s">
        <v>126</v>
      </c>
      <c r="B27" s="288">
        <f>'- 29 -'!$D27</f>
        <v>0</v>
      </c>
      <c r="C27" s="288">
        <v>0</v>
      </c>
      <c r="D27" s="288" t="str">
        <f ca="1">IF(AND(CELL("type",C27)="v",C27&gt;0),B27/C27,"")</f>
        <v/>
      </c>
      <c r="E27" s="288">
        <v>0</v>
      </c>
      <c r="F27" s="364" t="str">
        <f ca="1">IF(AND(CELL("type",E27)="v",E27&gt;0),B27/E27,"")</f>
        <v/>
      </c>
      <c r="G27" s="288">
        <v>0</v>
      </c>
      <c r="H27" s="364" t="str">
        <f ca="1">IF(AND(CELL("type",G27)="v",G27&gt;0),B27/G27,"")</f>
        <v/>
      </c>
    </row>
    <row r="28" spans="1:8" ht="14.1" customHeight="1">
      <c r="A28" s="18" t="s">
        <v>127</v>
      </c>
      <c r="B28" s="19">
        <f>'- 29 -'!$D28</f>
        <v>1933347</v>
      </c>
      <c r="C28" s="19">
        <v>839</v>
      </c>
      <c r="D28" s="19">
        <f t="shared" ca="1" si="0"/>
        <v>2304.34684147795</v>
      </c>
      <c r="E28" s="19">
        <v>1251965</v>
      </c>
      <c r="F28" s="365">
        <f t="shared" ca="1" si="1"/>
        <v>1.5442500389387883</v>
      </c>
      <c r="G28" s="19">
        <v>809523</v>
      </c>
      <c r="H28" s="365">
        <f t="shared" ca="1" si="2"/>
        <v>2.3882545647251527</v>
      </c>
    </row>
    <row r="29" spans="1:8" ht="14.1" customHeight="1">
      <c r="A29" s="287" t="s">
        <v>128</v>
      </c>
      <c r="B29" s="288">
        <f>'- 29 -'!$D29</f>
        <v>1858407</v>
      </c>
      <c r="C29" s="288">
        <v>2264</v>
      </c>
      <c r="D29" s="288">
        <f t="shared" ca="1" si="0"/>
        <v>820.85114840989399</v>
      </c>
      <c r="E29" s="288">
        <v>477120</v>
      </c>
      <c r="F29" s="364">
        <f t="shared" ca="1" si="1"/>
        <v>3.895051559356137</v>
      </c>
      <c r="G29" s="288">
        <v>286848</v>
      </c>
      <c r="H29" s="364">
        <f t="shared" ca="1" si="2"/>
        <v>6.4787169511378853</v>
      </c>
    </row>
    <row r="30" spans="1:8" ht="14.1" customHeight="1">
      <c r="A30" s="18" t="s">
        <v>129</v>
      </c>
      <c r="B30" s="19">
        <f>'- 29 -'!$D30</f>
        <v>1037349</v>
      </c>
      <c r="C30" s="19">
        <v>618</v>
      </c>
      <c r="D30" s="19">
        <f t="shared" ca="1" si="0"/>
        <v>1678.5582524271845</v>
      </c>
      <c r="E30" s="19">
        <v>602418</v>
      </c>
      <c r="F30" s="365">
        <f t="shared" ca="1" si="1"/>
        <v>1.721975438980907</v>
      </c>
      <c r="G30" s="19">
        <v>414300</v>
      </c>
      <c r="H30" s="365">
        <f t="shared" ca="1" si="2"/>
        <v>2.5038595220854454</v>
      </c>
    </row>
    <row r="31" spans="1:8" ht="14.1" customHeight="1">
      <c r="A31" s="287" t="s">
        <v>130</v>
      </c>
      <c r="B31" s="288">
        <f>'- 29 -'!$D31</f>
        <v>947489</v>
      </c>
      <c r="C31" s="288">
        <v>1167</v>
      </c>
      <c r="D31" s="288">
        <f t="shared" ca="1" si="0"/>
        <v>811.90145672664949</v>
      </c>
      <c r="E31" s="288">
        <v>625125</v>
      </c>
      <c r="F31" s="364">
        <f t="shared" ca="1" si="1"/>
        <v>1.5156792641471706</v>
      </c>
      <c r="G31" s="288">
        <v>400875</v>
      </c>
      <c r="H31" s="364">
        <f t="shared" ca="1" si="2"/>
        <v>2.3635522294979734</v>
      </c>
    </row>
    <row r="32" spans="1:8" ht="14.1" customHeight="1">
      <c r="A32" s="18" t="s">
        <v>131</v>
      </c>
      <c r="B32" s="19">
        <f>'- 29 -'!$D32</f>
        <v>1796470</v>
      </c>
      <c r="C32" s="19">
        <v>1448</v>
      </c>
      <c r="D32" s="19">
        <f t="shared" ca="1" si="0"/>
        <v>1240.6560773480662</v>
      </c>
      <c r="E32" s="19">
        <v>1103300</v>
      </c>
      <c r="F32" s="365">
        <f t="shared" ca="1" si="1"/>
        <v>1.6282697362458081</v>
      </c>
      <c r="G32" s="19">
        <v>721496</v>
      </c>
      <c r="H32" s="365">
        <f t="shared" ca="1" si="2"/>
        <v>2.4899237140607848</v>
      </c>
    </row>
    <row r="33" spans="1:8" ht="14.1" customHeight="1">
      <c r="A33" s="287" t="s">
        <v>132</v>
      </c>
      <c r="B33" s="288">
        <f>'- 29 -'!$D33</f>
        <v>2202592</v>
      </c>
      <c r="C33" s="288">
        <v>1148</v>
      </c>
      <c r="D33" s="288">
        <f t="shared" ca="1" si="0"/>
        <v>1918.6341463414635</v>
      </c>
      <c r="E33" s="288">
        <v>1553035</v>
      </c>
      <c r="F33" s="364">
        <f t="shared" ca="1" si="1"/>
        <v>1.4182500716339297</v>
      </c>
      <c r="G33" s="288">
        <v>900442</v>
      </c>
      <c r="H33" s="364">
        <f t="shared" ca="1" si="2"/>
        <v>2.4461231261980227</v>
      </c>
    </row>
    <row r="34" spans="1:8" ht="14.1" customHeight="1">
      <c r="A34" s="18" t="s">
        <v>133</v>
      </c>
      <c r="B34" s="19">
        <f>'- 29 -'!$D34</f>
        <v>2232928</v>
      </c>
      <c r="C34" s="19">
        <v>1363</v>
      </c>
      <c r="D34" s="19">
        <f t="shared" ca="1" si="0"/>
        <v>1638.2450476889214</v>
      </c>
      <c r="E34" s="19">
        <v>1402219</v>
      </c>
      <c r="F34" s="365">
        <f t="shared" ca="1" si="1"/>
        <v>1.5924245784716937</v>
      </c>
      <c r="G34" s="19">
        <v>922504</v>
      </c>
      <c r="H34" s="365">
        <f t="shared" ca="1" si="2"/>
        <v>2.420507661755396</v>
      </c>
    </row>
    <row r="35" spans="1:8" ht="14.1" customHeight="1">
      <c r="A35" s="287" t="s">
        <v>134</v>
      </c>
      <c r="B35" s="288">
        <f>'- 29 -'!$D35</f>
        <v>3492130</v>
      </c>
      <c r="C35" s="288">
        <v>3450</v>
      </c>
      <c r="D35" s="288">
        <f t="shared" ca="1" si="0"/>
        <v>1012.2115942028986</v>
      </c>
      <c r="E35" s="288">
        <v>997805</v>
      </c>
      <c r="F35" s="364">
        <f t="shared" ca="1" si="1"/>
        <v>3.499812087532133</v>
      </c>
      <c r="G35" s="288">
        <v>429254</v>
      </c>
      <c r="H35" s="364">
        <f t="shared" ca="1" si="2"/>
        <v>8.135346438239365</v>
      </c>
    </row>
    <row r="36" spans="1:8" ht="14.1" customHeight="1">
      <c r="A36" s="18" t="s">
        <v>135</v>
      </c>
      <c r="B36" s="19">
        <f>'- 29 -'!$D36</f>
        <v>1354696</v>
      </c>
      <c r="C36" s="19">
        <v>911</v>
      </c>
      <c r="D36" s="19">
        <f t="shared" ca="1" si="0"/>
        <v>1487.0428100987926</v>
      </c>
      <c r="E36" s="19">
        <v>801108</v>
      </c>
      <c r="F36" s="365">
        <f t="shared" ca="1" si="1"/>
        <v>1.691027926322044</v>
      </c>
      <c r="G36" s="19">
        <v>516120</v>
      </c>
      <c r="H36" s="365">
        <f t="shared" ca="1" si="2"/>
        <v>2.6247694334650857</v>
      </c>
    </row>
    <row r="37" spans="1:8" ht="14.1" customHeight="1">
      <c r="A37" s="287" t="s">
        <v>136</v>
      </c>
      <c r="B37" s="288">
        <f>'- 29 -'!$D37</f>
        <v>2708035</v>
      </c>
      <c r="C37" s="288">
        <v>2743</v>
      </c>
      <c r="D37" s="288">
        <f t="shared" ca="1" si="0"/>
        <v>987.25300765585121</v>
      </c>
      <c r="E37" s="288">
        <v>1325830</v>
      </c>
      <c r="F37" s="364">
        <f t="shared" ca="1" si="1"/>
        <v>2.0425205343068118</v>
      </c>
      <c r="G37" s="288">
        <v>814946</v>
      </c>
      <c r="H37" s="364">
        <f t="shared" ca="1" si="2"/>
        <v>3.3229625030370111</v>
      </c>
    </row>
    <row r="38" spans="1:8" ht="14.1" customHeight="1">
      <c r="A38" s="18" t="s">
        <v>137</v>
      </c>
      <c r="B38" s="19">
        <f>'- 29 -'!$D38</f>
        <v>2897383</v>
      </c>
      <c r="C38" s="19">
        <v>2988</v>
      </c>
      <c r="D38" s="19">
        <f t="shared" ca="1" si="0"/>
        <v>969.67302543507367</v>
      </c>
      <c r="E38" s="19">
        <v>596122</v>
      </c>
      <c r="F38" s="365">
        <f t="shared" ca="1" si="1"/>
        <v>4.8603859612629625</v>
      </c>
      <c r="G38" s="19">
        <v>431036</v>
      </c>
      <c r="H38" s="365">
        <f t="shared" ca="1" si="2"/>
        <v>6.7219048988947563</v>
      </c>
    </row>
    <row r="39" spans="1:8" ht="14.1" customHeight="1">
      <c r="A39" s="287" t="s">
        <v>138</v>
      </c>
      <c r="B39" s="288">
        <f>'- 29 -'!$D39</f>
        <v>1827228</v>
      </c>
      <c r="C39" s="288">
        <v>816</v>
      </c>
      <c r="D39" s="288">
        <f t="shared" ca="1" si="0"/>
        <v>2239.25</v>
      </c>
      <c r="E39" s="288">
        <v>1136586</v>
      </c>
      <c r="F39" s="364">
        <f t="shared" ca="1" si="1"/>
        <v>1.6076460558197971</v>
      </c>
      <c r="G39" s="288">
        <v>723690</v>
      </c>
      <c r="H39" s="364">
        <f t="shared" ca="1" si="2"/>
        <v>2.5248766737138828</v>
      </c>
    </row>
    <row r="40" spans="1:8" ht="14.1" customHeight="1">
      <c r="A40" s="18" t="s">
        <v>139</v>
      </c>
      <c r="B40" s="19">
        <f>'- 29 -'!$D40</f>
        <v>1760562</v>
      </c>
      <c r="C40" s="19">
        <v>1907</v>
      </c>
      <c r="D40" s="19">
        <f t="shared" ca="1" si="0"/>
        <v>923.21027792344</v>
      </c>
      <c r="E40" s="19">
        <v>501534</v>
      </c>
      <c r="F40" s="365">
        <f t="shared" ca="1" si="1"/>
        <v>3.5103542332125039</v>
      </c>
      <c r="G40" s="19">
        <v>359240</v>
      </c>
      <c r="H40" s="365">
        <f t="shared" ca="1" si="2"/>
        <v>4.9007961251531009</v>
      </c>
    </row>
    <row r="41" spans="1:8" ht="14.1" customHeight="1">
      <c r="A41" s="287" t="s">
        <v>140</v>
      </c>
      <c r="B41" s="288">
        <f>'- 29 -'!$D41</f>
        <v>4432501</v>
      </c>
      <c r="C41" s="288">
        <v>3445</v>
      </c>
      <c r="D41" s="288">
        <f t="shared" ca="1" si="0"/>
        <v>1286.6476052249636</v>
      </c>
      <c r="E41" s="288">
        <v>2353395</v>
      </c>
      <c r="F41" s="364">
        <f t="shared" ca="1" si="1"/>
        <v>1.8834496546478598</v>
      </c>
      <c r="G41" s="288">
        <v>1453925</v>
      </c>
      <c r="H41" s="364">
        <f t="shared" ca="1" si="2"/>
        <v>3.0486448750795261</v>
      </c>
    </row>
    <row r="42" spans="1:8" ht="14.1" customHeight="1">
      <c r="A42" s="18" t="s">
        <v>141</v>
      </c>
      <c r="B42" s="19">
        <f>'- 29 -'!$D42</f>
        <v>1366450</v>
      </c>
      <c r="C42" s="19">
        <v>1298</v>
      </c>
      <c r="D42" s="19">
        <f t="shared" ca="1" si="0"/>
        <v>1052.7349768875192</v>
      </c>
      <c r="E42" s="19">
        <v>825322</v>
      </c>
      <c r="F42" s="365">
        <f t="shared" ca="1" si="1"/>
        <v>1.6556568224280948</v>
      </c>
      <c r="G42" s="19">
        <v>679250</v>
      </c>
      <c r="H42" s="365">
        <f t="shared" ca="1" si="2"/>
        <v>2.0117040853882959</v>
      </c>
    </row>
    <row r="43" spans="1:8" ht="14.1" customHeight="1">
      <c r="A43" s="287" t="s">
        <v>142</v>
      </c>
      <c r="B43" s="288">
        <f>'- 29 -'!$D43</f>
        <v>1060516</v>
      </c>
      <c r="C43" s="288">
        <v>514</v>
      </c>
      <c r="D43" s="288">
        <f t="shared" ca="1" si="0"/>
        <v>2063.2607003891048</v>
      </c>
      <c r="E43" s="288">
        <v>666169</v>
      </c>
      <c r="F43" s="364">
        <f t="shared" ca="1" si="1"/>
        <v>1.5919623999315489</v>
      </c>
      <c r="G43" s="288">
        <v>419030</v>
      </c>
      <c r="H43" s="364">
        <f t="shared" ca="1" si="2"/>
        <v>2.5308832303176385</v>
      </c>
    </row>
    <row r="44" spans="1:8" ht="14.1" customHeight="1">
      <c r="A44" s="18" t="s">
        <v>143</v>
      </c>
      <c r="B44" s="19">
        <f>'- 29 -'!$D44</f>
        <v>1004193</v>
      </c>
      <c r="C44" s="19">
        <v>441</v>
      </c>
      <c r="D44" s="19">
        <f t="shared" ca="1" si="0"/>
        <v>2277.0816326530612</v>
      </c>
      <c r="E44" s="19">
        <v>702072</v>
      </c>
      <c r="F44" s="365">
        <f t="shared" ca="1" si="1"/>
        <v>1.4303276587016716</v>
      </c>
      <c r="G44" s="19">
        <v>516082.6</v>
      </c>
      <c r="H44" s="365">
        <f t="shared" ca="1" si="2"/>
        <v>1.9457989864413179</v>
      </c>
    </row>
    <row r="45" spans="1:8" ht="14.1" customHeight="1">
      <c r="A45" s="287" t="s">
        <v>144</v>
      </c>
      <c r="B45" s="288">
        <f>'- 29 -'!$D45</f>
        <v>605672</v>
      </c>
      <c r="C45" s="288">
        <v>1013</v>
      </c>
      <c r="D45" s="288">
        <f t="shared" ca="1" si="0"/>
        <v>597.89930898321813</v>
      </c>
      <c r="E45" s="288">
        <v>279832</v>
      </c>
      <c r="F45" s="364">
        <f t="shared" ca="1" si="1"/>
        <v>2.1644129334743702</v>
      </c>
      <c r="G45" s="288">
        <v>167770</v>
      </c>
      <c r="H45" s="364">
        <f t="shared" ca="1" si="2"/>
        <v>3.6101329200691423</v>
      </c>
    </row>
    <row r="46" spans="1:8" ht="14.1" customHeight="1">
      <c r="A46" s="18" t="s">
        <v>145</v>
      </c>
      <c r="B46" s="19">
        <f>'- 29 -'!$D46</f>
        <v>5131284</v>
      </c>
      <c r="C46" s="19">
        <v>2040</v>
      </c>
      <c r="D46" s="19">
        <f t="shared" ca="1" si="0"/>
        <v>2515.3352941176472</v>
      </c>
      <c r="E46" s="19">
        <v>1042335</v>
      </c>
      <c r="F46" s="365">
        <f t="shared" ca="1" si="1"/>
        <v>4.9228741239620657</v>
      </c>
      <c r="G46" s="19">
        <v>646777</v>
      </c>
      <c r="H46" s="365">
        <f t="shared" ca="1" si="2"/>
        <v>7.9336216346592412</v>
      </c>
    </row>
    <row r="47" spans="1:8" ht="5.0999999999999996" customHeight="1">
      <c r="A47"/>
      <c r="B47" s="21"/>
      <c r="C47" s="370"/>
      <c r="D47" s="21"/>
      <c r="E47" s="370"/>
      <c r="F47" s="367"/>
      <c r="G47" s="370"/>
      <c r="H47" s="367"/>
    </row>
    <row r="48" spans="1:8" ht="14.1" customHeight="1">
      <c r="A48" s="289" t="s">
        <v>146</v>
      </c>
      <c r="B48" s="290">
        <f>SUM(B11:B46)</f>
        <v>80103265</v>
      </c>
      <c r="C48" s="290">
        <f>SUM(C11:C46)</f>
        <v>64573</v>
      </c>
      <c r="D48" s="290">
        <f>B48/C48</f>
        <v>1240.5071004909173</v>
      </c>
      <c r="E48" s="290">
        <f>SUM(E11:E46)</f>
        <v>34982561.600000001</v>
      </c>
      <c r="F48" s="368">
        <f>B48/E48</f>
        <v>2.2898055870213918</v>
      </c>
      <c r="G48" s="290">
        <f>SUM(G11:G46)</f>
        <v>21986434.200000003</v>
      </c>
      <c r="H48" s="368">
        <f>B48/G48</f>
        <v>3.6433040606466323</v>
      </c>
    </row>
    <row r="49" spans="1:8" ht="5.0999999999999996" customHeight="1">
      <c r="A49" s="20" t="s">
        <v>8</v>
      </c>
      <c r="B49" s="21"/>
      <c r="C49" s="370"/>
      <c r="D49" s="21"/>
      <c r="E49" s="370"/>
      <c r="F49" s="367"/>
      <c r="G49" s="370"/>
      <c r="H49" s="367"/>
    </row>
    <row r="50" spans="1:8" ht="14.1" customHeight="1">
      <c r="A50" s="18" t="s">
        <v>147</v>
      </c>
      <c r="B50" s="19">
        <f>'- 29 -'!$D50</f>
        <v>2600</v>
      </c>
      <c r="C50" s="36" t="s">
        <v>96</v>
      </c>
      <c r="D50" s="19" t="str">
        <f ca="1">IF(AND(CELL("type",C50)="v",C50&gt;0),B50/C50,"")</f>
        <v/>
      </c>
      <c r="E50" s="36" t="s">
        <v>96</v>
      </c>
      <c r="F50" s="365" t="str">
        <f ca="1">IF(AND(CELL("type",E50)="v",E50&gt;0),B50/E50,"")</f>
        <v/>
      </c>
      <c r="G50" s="36" t="s">
        <v>96</v>
      </c>
      <c r="H50" s="365" t="str">
        <f ca="1">IF(AND(CELL("type",G50)="v",G50&gt;0),B50/G50,"")</f>
        <v/>
      </c>
    </row>
    <row r="51" spans="1:8" ht="14.1" customHeight="1">
      <c r="A51" s="287" t="s">
        <v>643</v>
      </c>
      <c r="B51" s="288">
        <f>'- 29 -'!$D51</f>
        <v>0</v>
      </c>
      <c r="C51" s="288">
        <v>0</v>
      </c>
      <c r="D51" s="288" t="str">
        <f ca="1">IF(AND(CELL("type",C51)="v",C51&gt;0),B51/C51,"")</f>
        <v/>
      </c>
      <c r="E51" s="288">
        <v>0</v>
      </c>
      <c r="F51" s="364" t="str">
        <f ca="1">IF(AND(CELL("type",E51)="v",E51&gt;0),B51/E51,"")</f>
        <v/>
      </c>
      <c r="G51" s="288">
        <v>0</v>
      </c>
      <c r="H51" s="364" t="str">
        <f ca="1">IF(AND(CELL("type",G51)="v",G51&gt;0),B51/G51,"")</f>
        <v/>
      </c>
    </row>
    <row r="52" spans="1:8" ht="50.1" customHeight="1"/>
  </sheetData>
  <mergeCells count="6">
    <mergeCell ref="H8:H9"/>
    <mergeCell ref="D8:D9"/>
    <mergeCell ref="C8:C9"/>
    <mergeCell ref="E8:E9"/>
    <mergeCell ref="F8:F9"/>
    <mergeCell ref="G8:G9"/>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31.xml><?xml version="1.0" encoding="utf-8"?>
<worksheet xmlns="http://schemas.openxmlformats.org/spreadsheetml/2006/main" xmlns:r="http://schemas.openxmlformats.org/officeDocument/2006/relationships">
  <sheetPr codeName="Sheet33">
    <pageSetUpPr fitToPage="1"/>
  </sheetPr>
  <dimension ref="A1:E52"/>
  <sheetViews>
    <sheetView showGridLines="0" showZeros="0" workbookViewId="0"/>
  </sheetViews>
  <sheetFormatPr defaultColWidth="15.83203125" defaultRowHeight="12"/>
  <cols>
    <col min="1" max="1" width="32.83203125" style="1" customWidth="1"/>
    <col min="2" max="2" width="22.83203125" style="1" customWidth="1"/>
    <col min="3" max="3" width="19.83203125" style="1" customWidth="1"/>
    <col min="4" max="4" width="15.83203125" style="1"/>
    <col min="5" max="5" width="41.83203125" style="1" customWidth="1"/>
    <col min="6" max="16384" width="15.83203125" style="1"/>
  </cols>
  <sheetData>
    <row r="1" spans="1:5" ht="6.95" customHeight="1">
      <c r="A1" s="6"/>
      <c r="B1" s="7"/>
      <c r="C1" s="7"/>
      <c r="D1" s="7"/>
      <c r="E1" s="7"/>
    </row>
    <row r="2" spans="1:5" ht="15.95" customHeight="1">
      <c r="A2" s="133"/>
      <c r="B2" s="8" t="s">
        <v>269</v>
      </c>
      <c r="C2" s="9"/>
      <c r="D2" s="9"/>
      <c r="E2" s="159"/>
    </row>
    <row r="3" spans="1:5" ht="15.95" customHeight="1">
      <c r="A3" s="546"/>
      <c r="B3" s="10" t="str">
        <f>OPYEAR</f>
        <v>OPERATING FUND 2014/2015 ACTUAL</v>
      </c>
      <c r="C3" s="11"/>
      <c r="D3" s="11"/>
      <c r="E3" s="160"/>
    </row>
    <row r="4" spans="1:5" ht="15.95" customHeight="1">
      <c r="B4" s="7"/>
      <c r="C4" s="7"/>
      <c r="D4" s="7"/>
      <c r="E4" s="7"/>
    </row>
    <row r="5" spans="1:5" ht="15.95" customHeight="1">
      <c r="B5" s="7"/>
      <c r="C5" s="7"/>
      <c r="D5" s="7"/>
      <c r="E5" s="7"/>
    </row>
    <row r="6" spans="1:5" ht="15.95" customHeight="1">
      <c r="B6" s="631" t="s">
        <v>536</v>
      </c>
      <c r="C6" s="639"/>
      <c r="D6" s="632"/>
    </row>
    <row r="7" spans="1:5" ht="15.95" customHeight="1">
      <c r="B7" s="633"/>
      <c r="C7" s="640"/>
      <c r="D7" s="634"/>
    </row>
    <row r="8" spans="1:5" ht="15.95" customHeight="1">
      <c r="A8" s="66"/>
      <c r="B8" s="161"/>
      <c r="C8" s="685" t="s">
        <v>535</v>
      </c>
      <c r="D8" s="584" t="s">
        <v>534</v>
      </c>
    </row>
    <row r="9" spans="1:5" ht="15.95" customHeight="1">
      <c r="A9" s="34" t="s">
        <v>43</v>
      </c>
      <c r="B9" s="76" t="s">
        <v>44</v>
      </c>
      <c r="C9" s="686"/>
      <c r="D9" s="586"/>
    </row>
    <row r="10" spans="1:5" ht="5.0999999999999996" customHeight="1">
      <c r="A10" s="5"/>
    </row>
    <row r="11" spans="1:5" ht="14.1" customHeight="1">
      <c r="A11" s="287" t="s">
        <v>111</v>
      </c>
      <c r="B11" s="288">
        <f>SUM('- 29 -'!$B11,'- 29 -'!$D11,'- 30 -'!$D11)</f>
        <v>1194170</v>
      </c>
      <c r="C11" s="288">
        <v>635128</v>
      </c>
      <c r="D11" s="364">
        <f ca="1">IF(AND(CELL("type",C11)="v",C11&gt;0),B11/C11,"")</f>
        <v>1.8802036754795883</v>
      </c>
      <c r="E11" s="162"/>
    </row>
    <row r="12" spans="1:5" ht="14.1" customHeight="1">
      <c r="A12" s="18" t="s">
        <v>112</v>
      </c>
      <c r="B12" s="19">
        <f>SUM('- 29 -'!$B12,'- 29 -'!$D12,'- 30 -'!$D12)</f>
        <v>2405728</v>
      </c>
      <c r="C12" s="19">
        <v>1212816</v>
      </c>
      <c r="D12" s="365">
        <f t="shared" ref="D12:D46" ca="1" si="0">IF(AND(CELL("type",C12)="v",C12&gt;0),B12/C12,"")</f>
        <v>1.9835886070104616</v>
      </c>
      <c r="E12" s="162"/>
    </row>
    <row r="13" spans="1:5" ht="14.1" customHeight="1">
      <c r="A13" s="287" t="s">
        <v>113</v>
      </c>
      <c r="B13" s="288">
        <f>SUM('- 29 -'!$B13,'- 29 -'!$D13,'- 30 -'!$D13)</f>
        <v>2213387</v>
      </c>
      <c r="C13" s="288">
        <v>863280</v>
      </c>
      <c r="D13" s="364">
        <f t="shared" ca="1" si="0"/>
        <v>2.5639271151885832</v>
      </c>
      <c r="E13" s="162"/>
    </row>
    <row r="14" spans="1:5" ht="14.1" customHeight="1">
      <c r="A14" s="18" t="s">
        <v>365</v>
      </c>
      <c r="B14" s="19">
        <f>SUM('- 29 -'!$B14,'- 29 -'!$D14,'- 30 -'!$D14)</f>
        <v>7755341</v>
      </c>
      <c r="C14" s="36" t="s">
        <v>96</v>
      </c>
      <c r="D14" s="365" t="str">
        <f t="shared" ca="1" si="0"/>
        <v/>
      </c>
      <c r="E14" s="162"/>
    </row>
    <row r="15" spans="1:5" ht="14.1" customHeight="1">
      <c r="A15" s="287" t="s">
        <v>114</v>
      </c>
      <c r="B15" s="288">
        <f>SUM('- 29 -'!$B15,'- 29 -'!$D15,'- 30 -'!$D15)</f>
        <v>1705215</v>
      </c>
      <c r="C15" s="288">
        <v>811233</v>
      </c>
      <c r="D15" s="364">
        <f t="shared" ca="1" si="0"/>
        <v>2.1020039865242168</v>
      </c>
      <c r="E15" s="162"/>
    </row>
    <row r="16" spans="1:5" ht="14.1" customHeight="1">
      <c r="A16" s="18" t="s">
        <v>115</v>
      </c>
      <c r="B16" s="19">
        <f>SUM('- 29 -'!$B16,'- 29 -'!$D16,'- 30 -'!$D16)</f>
        <v>439407</v>
      </c>
      <c r="C16" s="19">
        <v>56100</v>
      </c>
      <c r="D16" s="365">
        <f t="shared" ca="1" si="0"/>
        <v>7.8325668449197865</v>
      </c>
      <c r="E16" s="162"/>
    </row>
    <row r="17" spans="1:5" ht="14.1" customHeight="1">
      <c r="A17" s="287" t="s">
        <v>116</v>
      </c>
      <c r="B17" s="288">
        <f>SUM('- 29 -'!$B17,'- 29 -'!$D17,'- 30 -'!$D17)</f>
        <v>1448392</v>
      </c>
      <c r="C17" s="288">
        <v>897053.07000000007</v>
      </c>
      <c r="D17" s="364">
        <f t="shared" ca="1" si="0"/>
        <v>1.6146112737789302</v>
      </c>
      <c r="E17" s="162"/>
    </row>
    <row r="18" spans="1:5" ht="14.1" customHeight="1">
      <c r="A18" s="18" t="s">
        <v>117</v>
      </c>
      <c r="B18" s="19">
        <f>SUM('- 29 -'!$B18,'- 29 -'!$D18,'- 30 -'!$D18)</f>
        <v>8351704</v>
      </c>
      <c r="C18" s="19">
        <v>1820000</v>
      </c>
      <c r="D18" s="365">
        <f t="shared" ca="1" si="0"/>
        <v>4.5888483516483518</v>
      </c>
      <c r="E18" s="162"/>
    </row>
    <row r="19" spans="1:5" ht="14.1" customHeight="1">
      <c r="A19" s="287" t="s">
        <v>118</v>
      </c>
      <c r="B19" s="288">
        <f>SUM('- 29 -'!$B19,'- 29 -'!$D19,'- 30 -'!$D19)</f>
        <v>2516290</v>
      </c>
      <c r="C19" s="288">
        <v>958894</v>
      </c>
      <c r="D19" s="364">
        <f t="shared" ca="1" si="0"/>
        <v>2.624158666129937</v>
      </c>
      <c r="E19" s="162"/>
    </row>
    <row r="20" spans="1:5" ht="14.1" customHeight="1">
      <c r="A20" s="18" t="s">
        <v>119</v>
      </c>
      <c r="B20" s="19">
        <f>SUM('- 29 -'!$B20,'- 29 -'!$D20,'- 30 -'!$D20)</f>
        <v>3513700</v>
      </c>
      <c r="C20" s="19">
        <v>1638924</v>
      </c>
      <c r="D20" s="365">
        <f t="shared" ca="1" si="0"/>
        <v>2.1439066118990264</v>
      </c>
      <c r="E20" s="162"/>
    </row>
    <row r="21" spans="1:5" ht="14.1" customHeight="1">
      <c r="A21" s="287" t="s">
        <v>120</v>
      </c>
      <c r="B21" s="288">
        <f>SUM('- 29 -'!$B21,'- 29 -'!$D21,'- 30 -'!$D21)</f>
        <v>2171542</v>
      </c>
      <c r="C21" s="288">
        <v>971680</v>
      </c>
      <c r="D21" s="364">
        <f t="shared" ca="1" si="0"/>
        <v>2.2348324551292609</v>
      </c>
      <c r="E21" s="162"/>
    </row>
    <row r="22" spans="1:5" ht="14.1" customHeight="1">
      <c r="A22" s="18" t="s">
        <v>121</v>
      </c>
      <c r="B22" s="19">
        <f>SUM('- 29 -'!$B22,'- 29 -'!$D22,'- 30 -'!$D22)</f>
        <v>586070</v>
      </c>
      <c r="C22" s="19">
        <v>172456</v>
      </c>
      <c r="D22" s="365">
        <f t="shared" ca="1" si="0"/>
        <v>3.3983740780256992</v>
      </c>
      <c r="E22" s="162"/>
    </row>
    <row r="23" spans="1:5" ht="14.1" customHeight="1">
      <c r="A23" s="287" t="s">
        <v>122</v>
      </c>
      <c r="B23" s="288">
        <f>SUM('- 29 -'!$B23,'- 29 -'!$D23,'- 30 -'!$D23)</f>
        <v>1649816</v>
      </c>
      <c r="C23" s="288">
        <v>983229</v>
      </c>
      <c r="D23" s="364">
        <f t="shared" ca="1" si="0"/>
        <v>1.6779570171343603</v>
      </c>
      <c r="E23" s="162"/>
    </row>
    <row r="24" spans="1:5" ht="14.1" customHeight="1">
      <c r="A24" s="18" t="s">
        <v>123</v>
      </c>
      <c r="B24" s="19">
        <f>SUM('- 29 -'!$B24,'- 29 -'!$D24,'- 30 -'!$D24)</f>
        <v>2408472</v>
      </c>
      <c r="C24" s="19">
        <v>1115914</v>
      </c>
      <c r="D24" s="365">
        <f t="shared" ca="1" si="0"/>
        <v>2.1582953525092434</v>
      </c>
      <c r="E24" s="162"/>
    </row>
    <row r="25" spans="1:5" ht="14.1" customHeight="1">
      <c r="A25" s="287" t="s">
        <v>124</v>
      </c>
      <c r="B25" s="288">
        <f>SUM('- 29 -'!$B25,'- 29 -'!$D25,'- 30 -'!$D25)</f>
        <v>3852197</v>
      </c>
      <c r="C25" s="288">
        <v>872087</v>
      </c>
      <c r="D25" s="364">
        <f t="shared" ca="1" si="0"/>
        <v>4.4172164015746134</v>
      </c>
      <c r="E25" s="162"/>
    </row>
    <row r="26" spans="1:5" ht="14.1" customHeight="1">
      <c r="A26" s="18" t="s">
        <v>125</v>
      </c>
      <c r="B26" s="19">
        <f>SUM('- 29 -'!$B26,'- 29 -'!$D26,'- 30 -'!$D26)</f>
        <v>3252339</v>
      </c>
      <c r="C26" s="19">
        <v>1405514</v>
      </c>
      <c r="D26" s="365">
        <f t="shared" ca="1" si="0"/>
        <v>2.3139854885828246</v>
      </c>
      <c r="E26" s="162"/>
    </row>
    <row r="27" spans="1:5" ht="14.1" customHeight="1">
      <c r="A27" s="287" t="s">
        <v>126</v>
      </c>
      <c r="B27" s="288">
        <f>SUM('- 29 -'!$B27,'- 29 -'!$D27,'- 30 -'!$D27)</f>
        <v>102474</v>
      </c>
      <c r="C27" s="369" t="s">
        <v>96</v>
      </c>
      <c r="D27" s="366" t="str">
        <f t="shared" ca="1" si="0"/>
        <v/>
      </c>
      <c r="E27" s="162"/>
    </row>
    <row r="28" spans="1:5" ht="14.1" customHeight="1">
      <c r="A28" s="18" t="s">
        <v>127</v>
      </c>
      <c r="B28" s="19">
        <f>SUM('- 29 -'!$B28,'- 29 -'!$D28,'- 30 -'!$D28)</f>
        <v>2121457</v>
      </c>
      <c r="C28" s="19">
        <v>971084</v>
      </c>
      <c r="D28" s="365">
        <f t="shared" ca="1" si="0"/>
        <v>2.1846276944116059</v>
      </c>
      <c r="E28" s="162"/>
    </row>
    <row r="29" spans="1:5" ht="14.1" customHeight="1">
      <c r="A29" s="287" t="s">
        <v>128</v>
      </c>
      <c r="B29" s="288">
        <f>SUM('- 29 -'!$B29,'- 29 -'!$D29,'- 30 -'!$D29)</f>
        <v>2666522</v>
      </c>
      <c r="C29" s="288">
        <v>678419</v>
      </c>
      <c r="D29" s="364">
        <f t="shared" ca="1" si="0"/>
        <v>3.9304942815575625</v>
      </c>
      <c r="E29" s="162"/>
    </row>
    <row r="30" spans="1:5" ht="14.1" customHeight="1">
      <c r="A30" s="18" t="s">
        <v>129</v>
      </c>
      <c r="B30" s="19">
        <f>SUM('- 29 -'!$B30,'- 29 -'!$D30,'- 30 -'!$D30)</f>
        <v>1149044</v>
      </c>
      <c r="C30" s="19">
        <v>733393</v>
      </c>
      <c r="D30" s="365">
        <f t="shared" ca="1" si="0"/>
        <v>1.5667507052835246</v>
      </c>
      <c r="E30" s="162"/>
    </row>
    <row r="31" spans="1:5" ht="14.1" customHeight="1">
      <c r="A31" s="287" t="s">
        <v>130</v>
      </c>
      <c r="B31" s="288">
        <f>SUM('- 29 -'!$B31,'- 29 -'!$D31,'- 30 -'!$D31)</f>
        <v>1072810</v>
      </c>
      <c r="C31" s="288">
        <v>609947</v>
      </c>
      <c r="D31" s="364">
        <f t="shared" ca="1" si="0"/>
        <v>1.7588577368197564</v>
      </c>
      <c r="E31" s="162"/>
    </row>
    <row r="32" spans="1:5" ht="14.1" customHeight="1">
      <c r="A32" s="18" t="s">
        <v>131</v>
      </c>
      <c r="B32" s="19">
        <f>SUM('- 29 -'!$B32,'- 29 -'!$D32,'- 30 -'!$D32)</f>
        <v>2038395</v>
      </c>
      <c r="C32" s="19">
        <v>1170234</v>
      </c>
      <c r="D32" s="365">
        <f t="shared" ca="1" si="0"/>
        <v>1.7418695748029882</v>
      </c>
      <c r="E32" s="162"/>
    </row>
    <row r="33" spans="1:5" ht="14.1" customHeight="1">
      <c r="A33" s="287" t="s">
        <v>132</v>
      </c>
      <c r="B33" s="288">
        <f>SUM('- 29 -'!$B33,'- 29 -'!$D33,'- 30 -'!$D33)</f>
        <v>2386941</v>
      </c>
      <c r="C33" s="288">
        <v>1602127</v>
      </c>
      <c r="D33" s="364">
        <f t="shared" ca="1" si="0"/>
        <v>1.4898575456252845</v>
      </c>
      <c r="E33" s="162"/>
    </row>
    <row r="34" spans="1:5" ht="14.1" customHeight="1">
      <c r="A34" s="18" t="s">
        <v>133</v>
      </c>
      <c r="B34" s="19">
        <f>SUM('- 29 -'!$B34,'- 29 -'!$D34,'- 30 -'!$D34)</f>
        <v>2471277</v>
      </c>
      <c r="C34" s="19">
        <v>1294688</v>
      </c>
      <c r="D34" s="365">
        <f t="shared" ca="1" si="0"/>
        <v>1.9087818841296127</v>
      </c>
      <c r="E34" s="162"/>
    </row>
    <row r="35" spans="1:5" ht="14.1" customHeight="1">
      <c r="A35" s="287" t="s">
        <v>134</v>
      </c>
      <c r="B35" s="288">
        <f>SUM('- 29 -'!$B35,'- 29 -'!$D35,'- 30 -'!$D35)</f>
        <v>3971151</v>
      </c>
      <c r="C35" s="288">
        <v>1176727</v>
      </c>
      <c r="D35" s="364">
        <f t="shared" ca="1" si="0"/>
        <v>3.3747428248013347</v>
      </c>
      <c r="E35" s="162"/>
    </row>
    <row r="36" spans="1:5" ht="14.1" customHeight="1">
      <c r="A36" s="18" t="s">
        <v>135</v>
      </c>
      <c r="B36" s="19">
        <f>SUM('- 29 -'!$B36,'- 29 -'!$D36,'- 30 -'!$D36)</f>
        <v>1505350</v>
      </c>
      <c r="C36" s="19">
        <v>826760</v>
      </c>
      <c r="D36" s="365">
        <f t="shared" ca="1" si="0"/>
        <v>1.820782331027142</v>
      </c>
      <c r="E36" s="162"/>
    </row>
    <row r="37" spans="1:5" ht="14.1" customHeight="1">
      <c r="A37" s="287" t="s">
        <v>136</v>
      </c>
      <c r="B37" s="288">
        <f>SUM('- 29 -'!$B37,'- 29 -'!$D37,'- 30 -'!$D37)</f>
        <v>3001767</v>
      </c>
      <c r="C37" s="288">
        <v>1345830</v>
      </c>
      <c r="D37" s="364">
        <f t="shared" ca="1" si="0"/>
        <v>2.2304206326207621</v>
      </c>
      <c r="E37" s="162"/>
    </row>
    <row r="38" spans="1:5" ht="14.1" customHeight="1">
      <c r="A38" s="18" t="s">
        <v>137</v>
      </c>
      <c r="B38" s="19">
        <f>SUM('- 29 -'!$B38,'- 29 -'!$D38,'- 30 -'!$D38)</f>
        <v>3596467</v>
      </c>
      <c r="C38" s="19">
        <v>882929</v>
      </c>
      <c r="D38" s="365">
        <f t="shared" ca="1" si="0"/>
        <v>4.0733365876531407</v>
      </c>
      <c r="E38" s="162"/>
    </row>
    <row r="39" spans="1:5" ht="14.1" customHeight="1">
      <c r="A39" s="287" t="s">
        <v>138</v>
      </c>
      <c r="B39" s="288">
        <f>SUM('- 29 -'!$B39,'- 29 -'!$D39,'- 30 -'!$D39)</f>
        <v>1935216</v>
      </c>
      <c r="C39" s="288">
        <v>1051410</v>
      </c>
      <c r="D39" s="364">
        <f t="shared" ca="1" si="0"/>
        <v>1.840591206094673</v>
      </c>
      <c r="E39" s="162"/>
    </row>
    <row r="40" spans="1:5" ht="14.1" customHeight="1">
      <c r="A40" s="18" t="s">
        <v>139</v>
      </c>
      <c r="B40" s="19">
        <f>SUM('- 29 -'!$B40,'- 29 -'!$D40,'- 30 -'!$D40)</f>
        <v>1985092</v>
      </c>
      <c r="C40" s="19">
        <v>622274</v>
      </c>
      <c r="D40" s="365">
        <f t="shared" ca="1" si="0"/>
        <v>3.1900609699264311</v>
      </c>
      <c r="E40" s="162"/>
    </row>
    <row r="41" spans="1:5" ht="14.1" customHeight="1">
      <c r="A41" s="287" t="s">
        <v>140</v>
      </c>
      <c r="B41" s="288">
        <f>SUM('- 29 -'!$B41,'- 29 -'!$D41,'- 30 -'!$D41)</f>
        <v>4848032</v>
      </c>
      <c r="C41" s="288">
        <v>2537145</v>
      </c>
      <c r="D41" s="364">
        <f t="shared" ca="1" si="0"/>
        <v>1.9108218095536518</v>
      </c>
      <c r="E41" s="162"/>
    </row>
    <row r="42" spans="1:5" ht="14.1" customHeight="1">
      <c r="A42" s="18" t="s">
        <v>141</v>
      </c>
      <c r="B42" s="19">
        <f>SUM('- 29 -'!$B42,'- 29 -'!$D42,'- 30 -'!$D42)</f>
        <v>1555308</v>
      </c>
      <c r="C42" s="19">
        <v>733616</v>
      </c>
      <c r="D42" s="365">
        <f t="shared" ca="1" si="0"/>
        <v>2.1200573597086212</v>
      </c>
      <c r="E42" s="162"/>
    </row>
    <row r="43" spans="1:5" ht="14.1" customHeight="1">
      <c r="A43" s="287" t="s">
        <v>142</v>
      </c>
      <c r="B43" s="288">
        <f>SUM('- 29 -'!$B43,'- 29 -'!$D43,'- 30 -'!$D43)</f>
        <v>1077875</v>
      </c>
      <c r="C43" s="288">
        <v>600953</v>
      </c>
      <c r="D43" s="364">
        <f t="shared" ca="1" si="0"/>
        <v>1.793609483603543</v>
      </c>
      <c r="E43" s="162"/>
    </row>
    <row r="44" spans="1:5" ht="14.1" customHeight="1">
      <c r="A44" s="18" t="s">
        <v>143</v>
      </c>
      <c r="B44" s="19">
        <f>SUM('- 29 -'!$B44,'- 29 -'!$D44,'- 30 -'!$D44)</f>
        <v>1068819</v>
      </c>
      <c r="C44" s="19">
        <v>730636</v>
      </c>
      <c r="D44" s="365">
        <f t="shared" ca="1" si="0"/>
        <v>1.4628611237332954</v>
      </c>
      <c r="E44" s="162"/>
    </row>
    <row r="45" spans="1:5" ht="14.1" customHeight="1">
      <c r="A45" s="287" t="s">
        <v>144</v>
      </c>
      <c r="B45" s="288">
        <f>SUM('- 29 -'!$B45,'- 29 -'!$D45,'- 30 -'!$D45)</f>
        <v>746105</v>
      </c>
      <c r="C45" s="288">
        <v>329819</v>
      </c>
      <c r="D45" s="364">
        <f t="shared" ca="1" si="0"/>
        <v>2.2621650056546168</v>
      </c>
      <c r="E45" s="162"/>
    </row>
    <row r="46" spans="1:5" ht="14.1" customHeight="1">
      <c r="A46" s="18" t="s">
        <v>145</v>
      </c>
      <c r="B46" s="19">
        <f>SUM('- 29 -'!$B46,'- 29 -'!$D46,'- 30 -'!$D46)</f>
        <v>6103084</v>
      </c>
      <c r="C46" s="19">
        <v>1128574</v>
      </c>
      <c r="D46" s="365">
        <f t="shared" ca="1" si="0"/>
        <v>5.407783627834772</v>
      </c>
      <c r="E46" s="162"/>
    </row>
    <row r="47" spans="1:5" ht="5.0999999999999996" customHeight="1">
      <c r="A47"/>
      <c r="B47" s="21"/>
      <c r="C47" s="370"/>
      <c r="D47" s="367"/>
      <c r="E47" s="162"/>
    </row>
    <row r="48" spans="1:5" ht="14.1" customHeight="1">
      <c r="A48" s="289" t="s">
        <v>146</v>
      </c>
      <c r="B48" s="290">
        <f>SUM(B11:B46)</f>
        <v>90866956</v>
      </c>
      <c r="C48" s="290">
        <f>SUM(C11:C46)</f>
        <v>33440873.07</v>
      </c>
      <c r="D48" s="368">
        <f>B48/C48</f>
        <v>2.7172423342474654</v>
      </c>
      <c r="E48" s="162"/>
    </row>
    <row r="49" spans="1:5" ht="5.0999999999999996" customHeight="1">
      <c r="A49" s="20" t="s">
        <v>8</v>
      </c>
      <c r="B49" s="21"/>
      <c r="C49" s="370"/>
      <c r="D49" s="367"/>
    </row>
    <row r="50" spans="1:5" ht="14.1" customHeight="1">
      <c r="A50" s="18" t="s">
        <v>147</v>
      </c>
      <c r="B50" s="19">
        <f>SUM('- 29 -'!$B50,'- 29 -'!$D50,'- 30 -'!$D50)</f>
        <v>34158</v>
      </c>
      <c r="C50" s="36" t="s">
        <v>96</v>
      </c>
      <c r="D50" s="365" t="str">
        <f ca="1">IF(AND(CELL("type",C50)="v",C50&gt;0),B50/C50,"")</f>
        <v/>
      </c>
      <c r="E50" s="162"/>
    </row>
    <row r="51" spans="1:5" ht="14.1" customHeight="1">
      <c r="A51" s="287" t="s">
        <v>643</v>
      </c>
      <c r="B51" s="288">
        <f>SUM('- 29 -'!$B51,'- 29 -'!$D51,'- 30 -'!$D51)</f>
        <v>0</v>
      </c>
      <c r="C51" s="288">
        <v>0</v>
      </c>
      <c r="D51" s="364" t="str">
        <f ca="1">IF(AND(CELL("type",C51)="v",C51&gt;0),B51/C51,"")</f>
        <v/>
      </c>
      <c r="E51" s="162"/>
    </row>
    <row r="52" spans="1:5" ht="50.1" customHeight="1"/>
  </sheetData>
  <mergeCells count="3">
    <mergeCell ref="C8:C9"/>
    <mergeCell ref="D8:D9"/>
    <mergeCell ref="B6:D7"/>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32.xml><?xml version="1.0" encoding="utf-8"?>
<worksheet xmlns="http://schemas.openxmlformats.org/spreadsheetml/2006/main" xmlns:r="http://schemas.openxmlformats.org/officeDocument/2006/relationships">
  <sheetPr codeName="Sheet34">
    <pageSetUpPr fitToPage="1"/>
  </sheetPr>
  <dimension ref="A1:I54"/>
  <sheetViews>
    <sheetView showGridLines="0" showZeros="0" workbookViewId="0"/>
  </sheetViews>
  <sheetFormatPr defaultColWidth="15.83203125" defaultRowHeight="12"/>
  <cols>
    <col min="1" max="1" width="32.83203125" style="1" customWidth="1"/>
    <col min="2" max="2" width="18.83203125" style="1" customWidth="1"/>
    <col min="3" max="3" width="15.83203125" style="1"/>
    <col min="4" max="4" width="15.83203125" style="1" customWidth="1"/>
    <col min="5" max="5" width="15.83203125" style="1"/>
    <col min="6" max="6" width="17.83203125" style="1" customWidth="1"/>
    <col min="7" max="8" width="15.83203125" style="1"/>
    <col min="9" max="9" width="0" style="1" hidden="1" customWidth="1"/>
    <col min="10" max="16384" width="15.83203125" style="1"/>
  </cols>
  <sheetData>
    <row r="1" spans="1:9" ht="6.95" customHeight="1">
      <c r="A1" s="6"/>
      <c r="B1" s="7"/>
      <c r="C1" s="7"/>
      <c r="D1" s="7"/>
      <c r="E1" s="7"/>
      <c r="F1" s="7"/>
    </row>
    <row r="2" spans="1:9" ht="15.95" customHeight="1">
      <c r="A2" s="8" t="s">
        <v>265</v>
      </c>
      <c r="B2" s="142"/>
      <c r="C2" s="157"/>
      <c r="D2" s="9"/>
      <c r="E2" s="9"/>
      <c r="F2" s="9"/>
      <c r="G2" s="9"/>
    </row>
    <row r="3" spans="1:9" ht="15.95" customHeight="1">
      <c r="A3" s="10" t="str">
        <f>OPYEAR</f>
        <v>OPERATING FUND 2014/2015 ACTUAL</v>
      </c>
      <c r="B3" s="10"/>
      <c r="C3" s="158"/>
      <c r="D3" s="11"/>
      <c r="E3" s="11"/>
      <c r="F3" s="11"/>
      <c r="G3" s="11"/>
    </row>
    <row r="4" spans="1:9" ht="15.95" customHeight="1">
      <c r="B4" s="7"/>
      <c r="C4" s="7"/>
      <c r="D4" s="68"/>
      <c r="E4" s="7"/>
      <c r="F4" s="7"/>
    </row>
    <row r="5" spans="1:9" ht="15.95" customHeight="1">
      <c r="B5" s="7"/>
      <c r="C5" s="7"/>
      <c r="D5" s="7"/>
      <c r="E5" s="7"/>
      <c r="F5" s="7"/>
    </row>
    <row r="6" spans="1:9" ht="15.95" customHeight="1">
      <c r="B6" s="371"/>
      <c r="C6" s="372"/>
      <c r="D6" s="373"/>
      <c r="E6" s="374"/>
      <c r="F6" s="691" t="s">
        <v>537</v>
      </c>
      <c r="G6" s="692"/>
    </row>
    <row r="7" spans="1:9" ht="15.95" customHeight="1">
      <c r="B7" s="688" t="s">
        <v>30</v>
      </c>
      <c r="C7" s="689"/>
      <c r="D7" s="689"/>
      <c r="E7" s="690"/>
      <c r="F7" s="693"/>
      <c r="G7" s="694"/>
      <c r="I7" s="3" t="s">
        <v>32</v>
      </c>
    </row>
    <row r="8" spans="1:9" ht="15.95" customHeight="1">
      <c r="A8" s="66"/>
      <c r="B8" s="75" t="s">
        <v>8</v>
      </c>
      <c r="C8" s="584" t="s">
        <v>538</v>
      </c>
      <c r="D8" s="584" t="s">
        <v>539</v>
      </c>
      <c r="E8" s="584" t="s">
        <v>540</v>
      </c>
      <c r="F8" s="75" t="s">
        <v>8</v>
      </c>
      <c r="G8" s="584" t="s">
        <v>541</v>
      </c>
      <c r="I8" s="3" t="s">
        <v>42</v>
      </c>
    </row>
    <row r="9" spans="1:9" ht="15.95" customHeight="1">
      <c r="A9" s="34" t="s">
        <v>43</v>
      </c>
      <c r="B9" s="76" t="s">
        <v>44</v>
      </c>
      <c r="C9" s="591"/>
      <c r="D9" s="586"/>
      <c r="E9" s="586"/>
      <c r="F9" s="76" t="s">
        <v>44</v>
      </c>
      <c r="G9" s="586"/>
      <c r="I9" s="418" t="str">
        <f>+Data!Z9</f>
        <v>Sept. 30 / 14</v>
      </c>
    </row>
    <row r="10" spans="1:9" ht="5.0999999999999996" customHeight="1">
      <c r="A10" s="5"/>
    </row>
    <row r="11" spans="1:9" ht="14.1" customHeight="1">
      <c r="A11" s="287" t="s">
        <v>111</v>
      </c>
      <c r="B11" s="288">
        <f>'- 31 -'!D11</f>
        <v>1365263</v>
      </c>
      <c r="C11" s="288">
        <f>B11/'- 7 -'!E11</f>
        <v>853.82301438398997</v>
      </c>
      <c r="D11" s="364">
        <f>B11/I11</f>
        <v>5.0072178068576498</v>
      </c>
      <c r="E11" s="288">
        <f>I11/'- 7 -'!E11</f>
        <v>170.51844903064415</v>
      </c>
      <c r="F11" s="288">
        <f>'- 31 -'!F11</f>
        <v>367848</v>
      </c>
      <c r="G11" s="364">
        <f>F11/I11</f>
        <v>1.3491137281366101</v>
      </c>
      <c r="I11" s="1">
        <f>+Data!Z11</f>
        <v>272659</v>
      </c>
    </row>
    <row r="12" spans="1:9" ht="14.1" customHeight="1">
      <c r="A12" s="18" t="s">
        <v>112</v>
      </c>
      <c r="B12" s="19">
        <f>'- 31 -'!D12</f>
        <v>2391910</v>
      </c>
      <c r="C12" s="19">
        <f>B12/'- 7 -'!E12</f>
        <v>1120.9626019308278</v>
      </c>
      <c r="D12" s="365">
        <f t="shared" ref="D12:D46" si="0">B12/I12</f>
        <v>6.125814415669562</v>
      </c>
      <c r="E12" s="19">
        <f>I12/'- 7 -'!E12</f>
        <v>182.98997094385606</v>
      </c>
      <c r="F12" s="19">
        <f>'- 31 -'!F12</f>
        <v>472136</v>
      </c>
      <c r="G12" s="365">
        <f t="shared" ref="G12:G48" si="1">F12/I12</f>
        <v>1.2091665300770364</v>
      </c>
      <c r="I12" s="1">
        <f>+Data!Z12</f>
        <v>390464</v>
      </c>
    </row>
    <row r="13" spans="1:9" ht="14.1" customHeight="1">
      <c r="A13" s="287" t="s">
        <v>113</v>
      </c>
      <c r="B13" s="288">
        <f>'- 31 -'!D13</f>
        <v>6087651</v>
      </c>
      <c r="C13" s="288">
        <f>B13/'- 7 -'!E13</f>
        <v>755.66670804369414</v>
      </c>
      <c r="D13" s="364">
        <f t="shared" si="0"/>
        <v>5.8161918765459699</v>
      </c>
      <c r="E13" s="288">
        <f>I13/'- 7 -'!E13</f>
        <v>129.92465243296922</v>
      </c>
      <c r="F13" s="288">
        <f>'- 31 -'!F13</f>
        <v>510721</v>
      </c>
      <c r="G13" s="364">
        <f t="shared" si="1"/>
        <v>0.48794704745417145</v>
      </c>
      <c r="I13" s="1">
        <f>+Data!Z13</f>
        <v>1046673</v>
      </c>
    </row>
    <row r="14" spans="1:9" ht="14.1" customHeight="1">
      <c r="A14" s="18" t="s">
        <v>365</v>
      </c>
      <c r="B14" s="19">
        <f>'- 31 -'!D14</f>
        <v>6305739</v>
      </c>
      <c r="C14" s="36">
        <f>B14/'- 7 -'!E14</f>
        <v>1203.3853053435114</v>
      </c>
      <c r="D14" s="365">
        <f t="shared" si="0"/>
        <v>6.8641290326794397</v>
      </c>
      <c r="E14" s="36">
        <f>I14/'- 7 -'!E14</f>
        <v>175.31507633587788</v>
      </c>
      <c r="F14" s="36">
        <f>'- 31 -'!F14</f>
        <v>583550</v>
      </c>
      <c r="G14" s="365">
        <f t="shared" si="1"/>
        <v>0.63522491131017111</v>
      </c>
      <c r="I14" s="1">
        <f>+Data!Z14</f>
        <v>918651</v>
      </c>
    </row>
    <row r="15" spans="1:9" ht="14.1" customHeight="1">
      <c r="A15" s="287" t="s">
        <v>114</v>
      </c>
      <c r="B15" s="288">
        <f>'- 31 -'!D15</f>
        <v>1949626</v>
      </c>
      <c r="C15" s="288">
        <f>B15/'- 7 -'!E15</f>
        <v>1342.255421686747</v>
      </c>
      <c r="D15" s="364">
        <f t="shared" si="0"/>
        <v>6.7460173561611603</v>
      </c>
      <c r="E15" s="288">
        <f>I15/'- 7 -'!E15</f>
        <v>198.97005163511187</v>
      </c>
      <c r="F15" s="288">
        <f>'- 31 -'!F15</f>
        <v>262085</v>
      </c>
      <c r="G15" s="364">
        <f t="shared" si="1"/>
        <v>0.90685596047113537</v>
      </c>
      <c r="I15" s="1">
        <f>+Data!Z15</f>
        <v>289004</v>
      </c>
    </row>
    <row r="16" spans="1:9" ht="14.1" customHeight="1">
      <c r="A16" s="18" t="s">
        <v>115</v>
      </c>
      <c r="B16" s="19">
        <f>'- 31 -'!D16</f>
        <v>1950126</v>
      </c>
      <c r="C16" s="19">
        <f>B16/'- 7 -'!E16</f>
        <v>2135.0186117801622</v>
      </c>
      <c r="D16" s="365">
        <f t="shared" si="0"/>
        <v>9.2976042337123648</v>
      </c>
      <c r="E16" s="19">
        <f>I16/'- 7 -'!E16</f>
        <v>229.63104882855268</v>
      </c>
      <c r="F16" s="19">
        <f>'- 31 -'!F16</f>
        <v>136646</v>
      </c>
      <c r="G16" s="365">
        <f t="shared" si="1"/>
        <v>0.65148632863715461</v>
      </c>
      <c r="I16" s="1">
        <f>+Data!Z16</f>
        <v>209745</v>
      </c>
    </row>
    <row r="17" spans="1:9" ht="14.1" customHeight="1">
      <c r="A17" s="287" t="s">
        <v>116</v>
      </c>
      <c r="B17" s="288">
        <f>'- 31 -'!D17</f>
        <v>1596921</v>
      </c>
      <c r="C17" s="288">
        <f>B17/'- 7 -'!E17</f>
        <v>1195.3001497005987</v>
      </c>
      <c r="D17" s="364">
        <f t="shared" si="0"/>
        <v>6.1236564293904037</v>
      </c>
      <c r="E17" s="288">
        <f>I17/'- 7 -'!E17</f>
        <v>195.19386227544911</v>
      </c>
      <c r="F17" s="288">
        <f>'- 31 -'!F17</f>
        <v>131259</v>
      </c>
      <c r="G17" s="364">
        <f t="shared" si="1"/>
        <v>0.50333424087062228</v>
      </c>
      <c r="I17" s="1">
        <f>+Data!Z17</f>
        <v>260779</v>
      </c>
    </row>
    <row r="18" spans="1:9" ht="14.1" customHeight="1">
      <c r="A18" s="18" t="s">
        <v>117</v>
      </c>
      <c r="B18" s="19">
        <f>'- 31 -'!D18</f>
        <v>15918027</v>
      </c>
      <c r="C18" s="19">
        <f>B18/'- 7 -'!E18</f>
        <v>2623.1573413839528</v>
      </c>
      <c r="D18" s="365">
        <f>B18/I18</f>
        <v>11.64447796792134</v>
      </c>
      <c r="E18" s="19">
        <f>I18/'- 7 -'!E18</f>
        <v>225.27049719277485</v>
      </c>
      <c r="F18" s="19">
        <f>'- 31 -'!F18</f>
        <v>1291077</v>
      </c>
      <c r="G18" s="365">
        <f>F18/I18</f>
        <v>0.94445861169791834</v>
      </c>
      <c r="I18" s="1">
        <f>+Data!Z18</f>
        <v>1367002.2</v>
      </c>
    </row>
    <row r="19" spans="1:9" ht="14.1" customHeight="1">
      <c r="A19" s="287" t="s">
        <v>118</v>
      </c>
      <c r="B19" s="288">
        <f>'- 31 -'!D19</f>
        <v>3595530</v>
      </c>
      <c r="C19" s="288">
        <f>B19/'- 7 -'!E19</f>
        <v>852.9713187673475</v>
      </c>
      <c r="D19" s="364">
        <f t="shared" si="0"/>
        <v>5.6144451887627715</v>
      </c>
      <c r="E19" s="288">
        <f>I19/'- 7 -'!E19</f>
        <v>151.92441819087608</v>
      </c>
      <c r="F19" s="288">
        <f>'- 31 -'!F19</f>
        <v>154385</v>
      </c>
      <c r="G19" s="364">
        <f t="shared" si="1"/>
        <v>0.24107325497691312</v>
      </c>
      <c r="I19" s="1">
        <f>+Data!Z19</f>
        <v>640407</v>
      </c>
    </row>
    <row r="20" spans="1:9" ht="14.1" customHeight="1">
      <c r="A20" s="18" t="s">
        <v>119</v>
      </c>
      <c r="B20" s="19">
        <f>'- 31 -'!D20</f>
        <v>6672921</v>
      </c>
      <c r="C20" s="19">
        <f>B20/'- 7 -'!E20</f>
        <v>905.29385429385434</v>
      </c>
      <c r="D20" s="365">
        <f t="shared" si="0"/>
        <v>6.368099195794886</v>
      </c>
      <c r="E20" s="19">
        <f>I20/'- 7 -'!E20</f>
        <v>142.16076516076515</v>
      </c>
      <c r="F20" s="19">
        <f>'- 31 -'!F20</f>
        <v>771338</v>
      </c>
      <c r="G20" s="365">
        <f t="shared" si="1"/>
        <v>0.73610295963132721</v>
      </c>
      <c r="I20" s="1">
        <f>+Data!Z20</f>
        <v>1047867</v>
      </c>
    </row>
    <row r="21" spans="1:9" ht="14.1" customHeight="1">
      <c r="A21" s="287" t="s">
        <v>120</v>
      </c>
      <c r="B21" s="288">
        <f>'- 31 -'!D21</f>
        <v>2849466</v>
      </c>
      <c r="C21" s="288">
        <f>B21/'- 7 -'!E21</f>
        <v>1064.4251027269331</v>
      </c>
      <c r="D21" s="364">
        <f t="shared" si="0"/>
        <v>6.2780715437696637</v>
      </c>
      <c r="E21" s="288">
        <f>I21/'- 7 -'!E21</f>
        <v>169.54650728427345</v>
      </c>
      <c r="F21" s="288">
        <f>'- 31 -'!F21</f>
        <v>324641</v>
      </c>
      <c r="G21" s="364">
        <f t="shared" si="1"/>
        <v>0.71526364028941825</v>
      </c>
      <c r="I21" s="1">
        <f>+Data!Z21</f>
        <v>453876</v>
      </c>
    </row>
    <row r="22" spans="1:9" ht="14.1" customHeight="1">
      <c r="A22" s="18" t="s">
        <v>121</v>
      </c>
      <c r="B22" s="19">
        <f>'- 31 -'!D22</f>
        <v>2082562</v>
      </c>
      <c r="C22" s="19">
        <f>B22/'- 7 -'!E22</f>
        <v>1359.4634114498335</v>
      </c>
      <c r="D22" s="365">
        <f t="shared" si="0"/>
        <v>6.0708482610051799</v>
      </c>
      <c r="E22" s="19">
        <f>I22/'- 7 -'!E22</f>
        <v>223.93302434884782</v>
      </c>
      <c r="F22" s="19">
        <f>'- 31 -'!F22</f>
        <v>187203</v>
      </c>
      <c r="G22" s="365">
        <f t="shared" si="1"/>
        <v>0.54571292811688332</v>
      </c>
      <c r="I22" s="1">
        <f>+Data!Z22</f>
        <v>343043</v>
      </c>
    </row>
    <row r="23" spans="1:9" ht="14.1" customHeight="1">
      <c r="A23" s="287" t="s">
        <v>122</v>
      </c>
      <c r="B23" s="288">
        <f>'- 31 -'!D23</f>
        <v>1166826</v>
      </c>
      <c r="C23" s="288">
        <f>B23/'- 7 -'!E23</f>
        <v>1039.9518716577541</v>
      </c>
      <c r="D23" s="364">
        <f t="shared" si="0"/>
        <v>5.0023407757999792</v>
      </c>
      <c r="E23" s="288">
        <f>I23/'- 7 -'!E23</f>
        <v>207.89304812834226</v>
      </c>
      <c r="F23" s="288">
        <f>'- 31 -'!F23</f>
        <v>100264</v>
      </c>
      <c r="G23" s="364">
        <f t="shared" si="1"/>
        <v>0.42984532016325411</v>
      </c>
      <c r="I23" s="1">
        <f>+Data!Z23</f>
        <v>233256</v>
      </c>
    </row>
    <row r="24" spans="1:9" ht="14.1" customHeight="1">
      <c r="A24" s="18" t="s">
        <v>123</v>
      </c>
      <c r="B24" s="19">
        <f>'- 31 -'!D24</f>
        <v>5511038</v>
      </c>
      <c r="C24" s="19">
        <f>B24/'- 7 -'!E24</f>
        <v>1361.7251859356084</v>
      </c>
      <c r="D24" s="365">
        <f t="shared" si="0"/>
        <v>7.8137169415130803</v>
      </c>
      <c r="E24" s="19">
        <f>I24/'- 7 -'!E24</f>
        <v>174.27367744804923</v>
      </c>
      <c r="F24" s="19">
        <f>'- 31 -'!F24</f>
        <v>422620</v>
      </c>
      <c r="G24" s="365">
        <f t="shared" si="1"/>
        <v>0.59920346290884907</v>
      </c>
      <c r="I24" s="1">
        <f>+Data!Z24</f>
        <v>705303</v>
      </c>
    </row>
    <row r="25" spans="1:9" ht="14.1" customHeight="1">
      <c r="A25" s="287" t="s">
        <v>124</v>
      </c>
      <c r="B25" s="288">
        <f>'- 31 -'!D25</f>
        <v>15768042</v>
      </c>
      <c r="C25" s="288">
        <f>B25/'- 7 -'!E25</f>
        <v>1134.88955584825</v>
      </c>
      <c r="D25" s="364">
        <f t="shared" si="0"/>
        <v>7.0520169841884615</v>
      </c>
      <c r="E25" s="288">
        <f>I25/'- 7 -'!E25</f>
        <v>160.93120002303169</v>
      </c>
      <c r="F25" s="288">
        <f>'- 31 -'!F25</f>
        <v>447071</v>
      </c>
      <c r="G25" s="364">
        <f t="shared" si="1"/>
        <v>0.19994570569625064</v>
      </c>
      <c r="I25" s="1">
        <f>+Data!Z25</f>
        <v>2235962</v>
      </c>
    </row>
    <row r="26" spans="1:9" ht="14.1" customHeight="1">
      <c r="A26" s="18" t="s">
        <v>125</v>
      </c>
      <c r="B26" s="19">
        <f>'- 31 -'!D26</f>
        <v>4197851</v>
      </c>
      <c r="C26" s="19">
        <f>B26/'- 7 -'!E26</f>
        <v>1350.8772325020113</v>
      </c>
      <c r="D26" s="365">
        <f t="shared" si="0"/>
        <v>5.453149701936729</v>
      </c>
      <c r="E26" s="19">
        <f>I26/'- 7 -'!E26</f>
        <v>247.72421560740145</v>
      </c>
      <c r="F26" s="19">
        <f>'- 31 -'!F26</f>
        <v>314222</v>
      </c>
      <c r="G26" s="365">
        <f t="shared" si="1"/>
        <v>0.40818495121479131</v>
      </c>
      <c r="I26" s="1">
        <f>+Data!Z26</f>
        <v>769803</v>
      </c>
    </row>
    <row r="27" spans="1:9" ht="14.1" customHeight="1">
      <c r="A27" s="287" t="s">
        <v>126</v>
      </c>
      <c r="B27" s="288">
        <f>'- 31 -'!D27</f>
        <v>3779927</v>
      </c>
      <c r="C27" s="369">
        <f>B27/'- 7 -'!E27</f>
        <v>1322.8090988626423</v>
      </c>
      <c r="D27" s="366">
        <f t="shared" si="0"/>
        <v>8.126935290715549</v>
      </c>
      <c r="E27" s="369">
        <f>I27/'- 7 -'!E27</f>
        <v>162.76850393700786</v>
      </c>
      <c r="F27" s="369">
        <f>'- 31 -'!F27</f>
        <v>310069</v>
      </c>
      <c r="G27" s="366">
        <f t="shared" si="1"/>
        <v>0.66665591654465273</v>
      </c>
      <c r="I27" s="1">
        <f>+Data!Z27</f>
        <v>465111</v>
      </c>
    </row>
    <row r="28" spans="1:9" ht="14.1" customHeight="1">
      <c r="A28" s="18" t="s">
        <v>127</v>
      </c>
      <c r="B28" s="19">
        <f>'- 31 -'!D28</f>
        <v>2929364</v>
      </c>
      <c r="C28" s="19">
        <f>B28/'- 7 -'!E28</f>
        <v>1463.9500249875061</v>
      </c>
      <c r="D28" s="365">
        <f t="shared" si="0"/>
        <v>6.6490168440501076</v>
      </c>
      <c r="E28" s="19">
        <f>I28/'- 7 -'!E28</f>
        <v>220.17541229385307</v>
      </c>
      <c r="F28" s="19">
        <f>'- 31 -'!F28</f>
        <v>105500</v>
      </c>
      <c r="G28" s="365">
        <f t="shared" si="1"/>
        <v>0.23946197094225449</v>
      </c>
      <c r="I28" s="1">
        <f>+Data!Z28+Data!AA28</f>
        <v>440571</v>
      </c>
    </row>
    <row r="29" spans="1:9" ht="14.1" customHeight="1">
      <c r="A29" s="287" t="s">
        <v>128</v>
      </c>
      <c r="B29" s="288">
        <f>'- 31 -'!D29</f>
        <v>12886915</v>
      </c>
      <c r="C29" s="288">
        <f>B29/'- 7 -'!E29</f>
        <v>1036.1588621233075</v>
      </c>
      <c r="D29" s="364">
        <f t="shared" si="0"/>
        <v>7.5584808098249754</v>
      </c>
      <c r="E29" s="288">
        <f>I29/'- 7 -'!E29</f>
        <v>137.08559804457593</v>
      </c>
      <c r="F29" s="288">
        <f>'- 31 -'!F29</f>
        <v>2285251</v>
      </c>
      <c r="G29" s="364">
        <f t="shared" si="1"/>
        <v>1.3403538262752051</v>
      </c>
      <c r="I29" s="1">
        <f>+Data!Z29</f>
        <v>1704961</v>
      </c>
    </row>
    <row r="30" spans="1:9" ht="14.1" customHeight="1">
      <c r="A30" s="18" t="s">
        <v>129</v>
      </c>
      <c r="B30" s="19">
        <f>'- 31 -'!D30</f>
        <v>1129157</v>
      </c>
      <c r="C30" s="19">
        <f>B30/'- 7 -'!E30</f>
        <v>1082.0862482031625</v>
      </c>
      <c r="D30" s="365">
        <f t="shared" si="0"/>
        <v>5.3839885564429606</v>
      </c>
      <c r="E30" s="19">
        <f>I30/'- 7 -'!E30</f>
        <v>200.98227120268328</v>
      </c>
      <c r="F30" s="19">
        <f>'- 31 -'!F30</f>
        <v>219316</v>
      </c>
      <c r="G30" s="365">
        <f t="shared" si="1"/>
        <v>1.0457313148170222</v>
      </c>
      <c r="I30" s="1">
        <f>+Data!Z30</f>
        <v>209725</v>
      </c>
    </row>
    <row r="31" spans="1:9" ht="14.1" customHeight="1">
      <c r="A31" s="287" t="s">
        <v>130</v>
      </c>
      <c r="B31" s="288">
        <f>'- 31 -'!D31</f>
        <v>3494874</v>
      </c>
      <c r="C31" s="288">
        <f>B31/'- 7 -'!E31</f>
        <v>1076.0080049261085</v>
      </c>
      <c r="D31" s="364">
        <f t="shared" si="0"/>
        <v>5.7532388857245396</v>
      </c>
      <c r="E31" s="288">
        <f>I31/'- 7 -'!E31</f>
        <v>187.02647783251231</v>
      </c>
      <c r="F31" s="288">
        <f>'- 31 -'!F31</f>
        <v>170065</v>
      </c>
      <c r="G31" s="364">
        <f t="shared" si="1"/>
        <v>0.27995989872617544</v>
      </c>
      <c r="I31" s="1">
        <f>+Data!Z31</f>
        <v>607462</v>
      </c>
    </row>
    <row r="32" spans="1:9" ht="14.1" customHeight="1">
      <c r="A32" s="18" t="s">
        <v>131</v>
      </c>
      <c r="B32" s="19">
        <f>'- 31 -'!D32</f>
        <v>2132200</v>
      </c>
      <c r="C32" s="19">
        <f>B32/'- 7 -'!E32</f>
        <v>1018.2425978987584</v>
      </c>
      <c r="D32" s="365">
        <f t="shared" si="0"/>
        <v>5.5542530855514398</v>
      </c>
      <c r="E32" s="19">
        <f>I32/'- 7 -'!E32</f>
        <v>183.32664756446991</v>
      </c>
      <c r="F32" s="19">
        <f>'- 31 -'!F32</f>
        <v>310154</v>
      </c>
      <c r="G32" s="365">
        <f t="shared" si="1"/>
        <v>0.80793256331306695</v>
      </c>
      <c r="I32" s="1">
        <f>+Data!Z32</f>
        <v>383886</v>
      </c>
    </row>
    <row r="33" spans="1:9" ht="14.1" customHeight="1">
      <c r="A33" s="287" t="s">
        <v>132</v>
      </c>
      <c r="B33" s="288">
        <f>'- 31 -'!D33</f>
        <v>2591045</v>
      </c>
      <c r="C33" s="288">
        <f>B33/'- 7 -'!E33</f>
        <v>1291.3256915026166</v>
      </c>
      <c r="D33" s="364">
        <f t="shared" si="0"/>
        <v>5.2367935453749874</v>
      </c>
      <c r="E33" s="288">
        <f>I33/'- 7 -'!E33</f>
        <v>246.58709195115873</v>
      </c>
      <c r="F33" s="288">
        <f>'- 31 -'!F33</f>
        <v>347645</v>
      </c>
      <c r="G33" s="364">
        <f t="shared" si="1"/>
        <v>0.7026296695278883</v>
      </c>
      <c r="I33" s="1">
        <f>+Data!Z33</f>
        <v>494777</v>
      </c>
    </row>
    <row r="34" spans="1:9" ht="14.1" customHeight="1">
      <c r="A34" s="18" t="s">
        <v>133</v>
      </c>
      <c r="B34" s="19">
        <f>'- 31 -'!D34</f>
        <v>2061659</v>
      </c>
      <c r="C34" s="19">
        <f>B34/'- 7 -'!E34</f>
        <v>1035.6140368502481</v>
      </c>
      <c r="D34" s="365">
        <f t="shared" si="0"/>
        <v>5.6386946259439261</v>
      </c>
      <c r="E34" s="19">
        <f>I34/'- 7 -'!E34</f>
        <v>183.66201852558822</v>
      </c>
      <c r="F34" s="19">
        <f>'- 31 -'!F34</f>
        <v>300955</v>
      </c>
      <c r="G34" s="365">
        <f t="shared" si="1"/>
        <v>0.82312028378648183</v>
      </c>
      <c r="I34" s="1">
        <f>+Data!Z34</f>
        <v>365627</v>
      </c>
    </row>
    <row r="35" spans="1:9" ht="14.1" customHeight="1">
      <c r="A35" s="287" t="s">
        <v>134</v>
      </c>
      <c r="B35" s="288">
        <f>'- 31 -'!D35</f>
        <v>17534622</v>
      </c>
      <c r="C35" s="288">
        <f>B35/'- 7 -'!E35</f>
        <v>1127.7009453984178</v>
      </c>
      <c r="D35" s="364">
        <f t="shared" si="0"/>
        <v>7.1924429114455215</v>
      </c>
      <c r="E35" s="288">
        <f>I35/'- 7 -'!E35</f>
        <v>156.78969708662936</v>
      </c>
      <c r="F35" s="288">
        <f>'- 31 -'!F35</f>
        <v>755574</v>
      </c>
      <c r="G35" s="364">
        <f t="shared" si="1"/>
        <v>0.30992529296454402</v>
      </c>
      <c r="I35" s="1">
        <f>+Data!Z35</f>
        <v>2437923</v>
      </c>
    </row>
    <row r="36" spans="1:9" ht="14.1" customHeight="1">
      <c r="A36" s="18" t="s">
        <v>135</v>
      </c>
      <c r="B36" s="19">
        <f>'- 31 -'!D36</f>
        <v>2085567</v>
      </c>
      <c r="C36" s="19">
        <f>B36/'- 7 -'!E36</f>
        <v>1264.746513038205</v>
      </c>
      <c r="D36" s="365">
        <f t="shared" si="0"/>
        <v>6.486000578449941</v>
      </c>
      <c r="E36" s="19">
        <f>I36/'- 7 -'!E36</f>
        <v>194.99636143117041</v>
      </c>
      <c r="F36" s="19">
        <f>'- 31 -'!F36</f>
        <v>110739</v>
      </c>
      <c r="G36" s="365">
        <f t="shared" si="1"/>
        <v>0.34439230101788532</v>
      </c>
      <c r="I36" s="1">
        <f>+Data!Z36</f>
        <v>321549</v>
      </c>
    </row>
    <row r="37" spans="1:9" ht="14.1" customHeight="1">
      <c r="A37" s="287" t="s">
        <v>136</v>
      </c>
      <c r="B37" s="288">
        <f>'- 31 -'!D37</f>
        <v>3798112</v>
      </c>
      <c r="C37" s="288">
        <f>B37/'- 7 -'!E37</f>
        <v>960.81760688085001</v>
      </c>
      <c r="D37" s="364">
        <f t="shared" si="0"/>
        <v>6.5234436858602773</v>
      </c>
      <c r="E37" s="288">
        <f>I37/'- 7 -'!E37</f>
        <v>147.28687073109032</v>
      </c>
      <c r="F37" s="288">
        <f>'- 31 -'!F37</f>
        <v>480492</v>
      </c>
      <c r="G37" s="364">
        <f t="shared" si="1"/>
        <v>0.82526858173386575</v>
      </c>
      <c r="I37" s="1">
        <f>+Data!Z37</f>
        <v>582225</v>
      </c>
    </row>
    <row r="38" spans="1:9" ht="14.1" customHeight="1">
      <c r="A38" s="18" t="s">
        <v>137</v>
      </c>
      <c r="B38" s="19">
        <f>'- 31 -'!D38</f>
        <v>9527514</v>
      </c>
      <c r="C38" s="19">
        <f>B38/'- 7 -'!E38</f>
        <v>904.30763973917249</v>
      </c>
      <c r="D38" s="365">
        <f t="shared" si="0"/>
        <v>7.8652876945061534</v>
      </c>
      <c r="E38" s="19">
        <f>I38/'- 7 -'!E38</f>
        <v>114.97451521968165</v>
      </c>
      <c r="F38" s="19">
        <f>'- 31 -'!F38</f>
        <v>490126</v>
      </c>
      <c r="G38" s="365">
        <f t="shared" si="1"/>
        <v>0.40461572625949671</v>
      </c>
      <c r="I38" s="1">
        <f>+Data!Z38</f>
        <v>1211337</v>
      </c>
    </row>
    <row r="39" spans="1:9" ht="14.1" customHeight="1">
      <c r="A39" s="287" t="s">
        <v>138</v>
      </c>
      <c r="B39" s="288">
        <f>'- 31 -'!D39</f>
        <v>1809904</v>
      </c>
      <c r="C39" s="288">
        <f>B39/'- 7 -'!E39</f>
        <v>1170.3226640801811</v>
      </c>
      <c r="D39" s="364">
        <f t="shared" si="0"/>
        <v>5.7575528148291886</v>
      </c>
      <c r="E39" s="288">
        <f>I39/'- 7 -'!E39</f>
        <v>203.26737795021015</v>
      </c>
      <c r="F39" s="288">
        <f>'- 31 -'!F39</f>
        <v>62785</v>
      </c>
      <c r="G39" s="364">
        <f t="shared" si="1"/>
        <v>0.19972769466173379</v>
      </c>
      <c r="I39" s="1">
        <f>+Data!Z39</f>
        <v>314353</v>
      </c>
    </row>
    <row r="40" spans="1:9" ht="14.1" customHeight="1">
      <c r="A40" s="18" t="s">
        <v>139</v>
      </c>
      <c r="B40" s="19">
        <f>'- 31 -'!D40</f>
        <v>8235807</v>
      </c>
      <c r="C40" s="19">
        <f>B40/'- 7 -'!E40</f>
        <v>1044.5434137432462</v>
      </c>
      <c r="D40" s="365">
        <f t="shared" si="0"/>
        <v>5.799435253027065</v>
      </c>
      <c r="E40" s="19">
        <f>I40/'- 7 -'!E40</f>
        <v>180.11122948532582</v>
      </c>
      <c r="F40" s="19">
        <f>'- 31 -'!F40</f>
        <v>679745</v>
      </c>
      <c r="G40" s="365">
        <f t="shared" si="1"/>
        <v>0.4786582682266452</v>
      </c>
      <c r="I40" s="1">
        <f>+Data!Z40</f>
        <v>1420105</v>
      </c>
    </row>
    <row r="41" spans="1:9" ht="14.1" customHeight="1">
      <c r="A41" s="287" t="s">
        <v>140</v>
      </c>
      <c r="B41" s="288">
        <f>'- 31 -'!D41</f>
        <v>5028514</v>
      </c>
      <c r="C41" s="288">
        <f>B41/'- 7 -'!E41</f>
        <v>1154.5204913327975</v>
      </c>
      <c r="D41" s="364">
        <f t="shared" si="0"/>
        <v>6.8852628263935483</v>
      </c>
      <c r="E41" s="288">
        <f>I41/'- 7 -'!E41</f>
        <v>167.67994489725635</v>
      </c>
      <c r="F41" s="288">
        <f>'- 31 -'!F41</f>
        <v>634713</v>
      </c>
      <c r="G41" s="364">
        <f t="shared" si="1"/>
        <v>0.8690769925923898</v>
      </c>
      <c r="I41" s="1">
        <f>+Data!Z41</f>
        <v>730330</v>
      </c>
    </row>
    <row r="42" spans="1:9" ht="14.1" customHeight="1">
      <c r="A42" s="18" t="s">
        <v>141</v>
      </c>
      <c r="B42" s="19">
        <f>'- 31 -'!D42</f>
        <v>1845119</v>
      </c>
      <c r="C42" s="19">
        <f>B42/'- 7 -'!E42</f>
        <v>1309.152121470129</v>
      </c>
      <c r="D42" s="365">
        <f t="shared" si="0"/>
        <v>5.5955596260163096</v>
      </c>
      <c r="E42" s="19">
        <f>I42/'- 7 -'!E42</f>
        <v>233.96267915425003</v>
      </c>
      <c r="F42" s="19">
        <f>'- 31 -'!F42</f>
        <v>149416</v>
      </c>
      <c r="G42" s="365">
        <f t="shared" si="1"/>
        <v>0.45312315199228498</v>
      </c>
      <c r="I42" s="1">
        <f>+Data!Z42</f>
        <v>329747</v>
      </c>
    </row>
    <row r="43" spans="1:9" ht="14.1" customHeight="1">
      <c r="A43" s="287" t="s">
        <v>142</v>
      </c>
      <c r="B43" s="288">
        <f>'- 31 -'!D43</f>
        <v>814043</v>
      </c>
      <c r="C43" s="288">
        <f>B43/'- 7 -'!E43</f>
        <v>845.1179884347456</v>
      </c>
      <c r="D43" s="364">
        <f t="shared" si="0"/>
        <v>4.4581156420114132</v>
      </c>
      <c r="E43" s="288">
        <f>I43/'- 7 -'!E43</f>
        <v>189.56843121580516</v>
      </c>
      <c r="F43" s="288">
        <f>'- 31 -'!F43</f>
        <v>96246</v>
      </c>
      <c r="G43" s="364">
        <f t="shared" si="1"/>
        <v>0.52709230112049421</v>
      </c>
      <c r="I43" s="1">
        <f>+Data!Z43</f>
        <v>182598</v>
      </c>
    </row>
    <row r="44" spans="1:9" ht="14.1" customHeight="1">
      <c r="A44" s="18" t="s">
        <v>143</v>
      </c>
      <c r="B44" s="19">
        <f>'- 31 -'!D44</f>
        <v>864067</v>
      </c>
      <c r="C44" s="19">
        <f>B44/'- 7 -'!E44</f>
        <v>1243.261870503597</v>
      </c>
      <c r="D44" s="365">
        <f t="shared" si="0"/>
        <v>4.8243061410218475</v>
      </c>
      <c r="E44" s="19">
        <f>I44/'- 7 -'!E44</f>
        <v>257.70791366906474</v>
      </c>
      <c r="F44" s="19">
        <f>'- 31 -'!F44</f>
        <v>114476</v>
      </c>
      <c r="G44" s="365">
        <f t="shared" si="1"/>
        <v>0.63914866532296333</v>
      </c>
      <c r="I44" s="1">
        <f>+Data!Z44</f>
        <v>179107</v>
      </c>
    </row>
    <row r="45" spans="1:9" ht="14.1" customHeight="1">
      <c r="A45" s="287" t="s">
        <v>144</v>
      </c>
      <c r="B45" s="288">
        <f>'- 31 -'!D45</f>
        <v>1445352</v>
      </c>
      <c r="C45" s="288">
        <f>B45/'- 7 -'!E45</f>
        <v>899.41008089607965</v>
      </c>
      <c r="D45" s="364">
        <f t="shared" si="0"/>
        <v>6.9815673545096217</v>
      </c>
      <c r="E45" s="288">
        <f>I45/'- 7 -'!E45</f>
        <v>128.82638456751712</v>
      </c>
      <c r="F45" s="288">
        <f>'- 31 -'!F45</f>
        <v>145383</v>
      </c>
      <c r="G45" s="364">
        <f t="shared" si="1"/>
        <v>0.70225191282170185</v>
      </c>
      <c r="I45" s="1">
        <f>+Data!Z45</f>
        <v>207024</v>
      </c>
    </row>
    <row r="46" spans="1:9" ht="14.1" customHeight="1">
      <c r="A46" s="18" t="s">
        <v>145</v>
      </c>
      <c r="B46" s="19">
        <f>'- 31 -'!D46</f>
        <v>35282811</v>
      </c>
      <c r="C46" s="19">
        <f>B46/'- 7 -'!E46</f>
        <v>1179.8692817014446</v>
      </c>
      <c r="D46" s="365">
        <f t="shared" si="0"/>
        <v>7.0858565481413258</v>
      </c>
      <c r="E46" s="19">
        <f>I46/'- 7 -'!E46</f>
        <v>166.51046682718032</v>
      </c>
      <c r="F46" s="19">
        <f>'- 31 -'!F46</f>
        <v>4332012</v>
      </c>
      <c r="G46" s="365">
        <f t="shared" si="1"/>
        <v>0.86999915048794729</v>
      </c>
      <c r="I46" s="1">
        <f>+Data!Z46</f>
        <v>4979329</v>
      </c>
    </row>
    <row r="47" spans="1:9" ht="5.0999999999999996" customHeight="1">
      <c r="A47"/>
      <c r="B47" s="21"/>
      <c r="C47" s="370"/>
      <c r="D47" s="367"/>
      <c r="E47" s="370"/>
      <c r="F47" s="370"/>
      <c r="G47" s="367"/>
      <c r="I47"/>
    </row>
    <row r="48" spans="1:9" ht="14.1" customHeight="1">
      <c r="A48" s="289" t="s">
        <v>146</v>
      </c>
      <c r="B48" s="290">
        <f>SUM(B11:B46)</f>
        <v>198686072</v>
      </c>
      <c r="C48" s="290">
        <f>B48/'- 7 -'!E48</f>
        <v>1151.8363018627897</v>
      </c>
      <c r="D48" s="368">
        <f>B48/I48</f>
        <v>6.9223190835703798</v>
      </c>
      <c r="E48" s="290">
        <f>I48/'- 7 -'!E48</f>
        <v>166.3945692125908</v>
      </c>
      <c r="F48" s="290">
        <f>SUM(F11:F46)</f>
        <v>18577728</v>
      </c>
      <c r="G48" s="368">
        <f t="shared" si="1"/>
        <v>0.6472570511322997</v>
      </c>
      <c r="I48" s="1">
        <f>+Data!Z48</f>
        <v>28702241.199999999</v>
      </c>
    </row>
    <row r="49" spans="1:9" ht="5.0999999999999996" customHeight="1">
      <c r="A49" s="20" t="s">
        <v>8</v>
      </c>
      <c r="B49" s="21"/>
      <c r="C49" s="370"/>
      <c r="D49" s="367"/>
      <c r="E49" s="370"/>
      <c r="F49" s="370"/>
      <c r="G49" s="367"/>
    </row>
    <row r="50" spans="1:9" ht="14.1" customHeight="1">
      <c r="A50" s="18" t="s">
        <v>147</v>
      </c>
      <c r="B50" s="19">
        <f>'- 31 -'!D50</f>
        <v>473139</v>
      </c>
      <c r="C50" s="19">
        <f>B50/'- 7 -'!E50</f>
        <v>2843.3834134615386</v>
      </c>
      <c r="D50" s="365">
        <f>B50/I50</f>
        <v>6.5232659138850977</v>
      </c>
      <c r="E50" s="19">
        <f>I50/'- 7 -'!E50</f>
        <v>435.88341346153845</v>
      </c>
      <c r="F50" s="19">
        <f>'- 31 -'!F50</f>
        <v>0</v>
      </c>
      <c r="G50" s="365">
        <f>F50/I50</f>
        <v>0</v>
      </c>
      <c r="I50" s="1">
        <f>+Data!Z50</f>
        <v>72531</v>
      </c>
    </row>
    <row r="51" spans="1:9" ht="14.1" customHeight="1">
      <c r="A51" s="287" t="s">
        <v>643</v>
      </c>
      <c r="B51" s="288">
        <f>'- 31 -'!D51</f>
        <v>2223475</v>
      </c>
      <c r="C51" s="288">
        <f>B51/'- 7 -'!E51</f>
        <v>2992.563930013459</v>
      </c>
      <c r="D51" s="366" t="s">
        <v>96</v>
      </c>
      <c r="E51" s="288">
        <f>I51/'- 7 -'!E51</f>
        <v>0</v>
      </c>
      <c r="F51" s="288">
        <f>'- 31 -'!F51</f>
        <v>4484</v>
      </c>
      <c r="G51" s="366" t="s">
        <v>96</v>
      </c>
    </row>
    <row r="52" spans="1:9" ht="50.1" customHeight="1">
      <c r="A52" s="22"/>
      <c r="B52" s="22"/>
      <c r="C52" s="22"/>
      <c r="D52" s="22"/>
      <c r="E52" s="22"/>
      <c r="F52" s="22"/>
      <c r="G52" s="22"/>
      <c r="I52" s="220"/>
    </row>
    <row r="53" spans="1:9" ht="15" customHeight="1">
      <c r="A53" s="132" t="s">
        <v>434</v>
      </c>
    </row>
    <row r="54" spans="1:9" ht="12" customHeight="1">
      <c r="A54" s="24" t="s">
        <v>352</v>
      </c>
    </row>
  </sheetData>
  <mergeCells count="6">
    <mergeCell ref="B7:E7"/>
    <mergeCell ref="F6:G7"/>
    <mergeCell ref="C8:C9"/>
    <mergeCell ref="D8:D9"/>
    <mergeCell ref="E8:E9"/>
    <mergeCell ref="G8:G9"/>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33.xml><?xml version="1.0" encoding="utf-8"?>
<worksheet xmlns="http://schemas.openxmlformats.org/spreadsheetml/2006/main" xmlns:r="http://schemas.openxmlformats.org/officeDocument/2006/relationships">
  <sheetPr codeName="Sheet52">
    <pageSetUpPr fitToPage="1"/>
  </sheetPr>
  <dimension ref="A1:J56"/>
  <sheetViews>
    <sheetView showGridLines="0" showZeros="0" workbookViewId="0"/>
  </sheetViews>
  <sheetFormatPr defaultColWidth="15.83203125" defaultRowHeight="12"/>
  <cols>
    <col min="1" max="1" width="32.83203125" style="1" customWidth="1"/>
    <col min="2" max="2" width="13.83203125" style="1" customWidth="1"/>
    <col min="3" max="3" width="8.83203125" style="1" customWidth="1"/>
    <col min="4" max="4" width="9.83203125" style="1" customWidth="1"/>
    <col min="5" max="5" width="14.83203125" style="1" customWidth="1"/>
    <col min="6" max="6" width="8.83203125" style="1" customWidth="1"/>
    <col min="7" max="7" width="9.83203125" style="1" customWidth="1"/>
    <col min="8" max="8" width="14.83203125" style="1" customWidth="1"/>
    <col min="9" max="9" width="8.83203125" style="1" customWidth="1"/>
    <col min="10" max="10" width="9.83203125" style="1" customWidth="1"/>
    <col min="11" max="16384" width="15.83203125" style="1"/>
  </cols>
  <sheetData>
    <row r="1" spans="1:10" ht="6.95" customHeight="1">
      <c r="A1" s="6"/>
      <c r="B1" s="7"/>
      <c r="C1" s="7"/>
      <c r="D1" s="7"/>
      <c r="E1" s="7"/>
      <c r="F1" s="7"/>
      <c r="G1" s="7"/>
      <c r="H1" s="7"/>
      <c r="I1" s="7"/>
      <c r="J1" s="7"/>
    </row>
    <row r="2" spans="1:10" ht="15.95" customHeight="1">
      <c r="A2" s="133"/>
      <c r="B2" s="8" t="s">
        <v>287</v>
      </c>
      <c r="C2" s="9"/>
      <c r="D2" s="9"/>
      <c r="E2" s="9"/>
      <c r="F2" s="9"/>
      <c r="G2" s="9"/>
      <c r="H2" s="72"/>
      <c r="I2" s="152"/>
      <c r="J2" s="80"/>
    </row>
    <row r="3" spans="1:10" ht="15.95" customHeight="1">
      <c r="A3" s="546"/>
      <c r="B3" s="10" t="str">
        <f>OPYEAR</f>
        <v>OPERATING FUND 2014/2015 ACTUAL</v>
      </c>
      <c r="C3" s="11"/>
      <c r="D3" s="11"/>
      <c r="E3" s="11"/>
      <c r="F3" s="11"/>
      <c r="G3" s="11"/>
      <c r="H3" s="74"/>
      <c r="I3" s="74"/>
      <c r="J3" s="65"/>
    </row>
    <row r="4" spans="1:10" ht="15.95" customHeight="1">
      <c r="B4" s="7"/>
      <c r="C4" s="7"/>
      <c r="D4" s="7"/>
      <c r="E4" s="7"/>
      <c r="F4" s="7"/>
      <c r="G4" s="7"/>
      <c r="H4" s="7"/>
      <c r="I4" s="7"/>
      <c r="J4" s="7"/>
    </row>
    <row r="5" spans="1:10" ht="14.1" customHeight="1"/>
    <row r="6" spans="1:10" ht="18" customHeight="1">
      <c r="B6" s="396" t="s">
        <v>268</v>
      </c>
      <c r="C6" s="154"/>
      <c r="D6" s="155"/>
      <c r="E6" s="155"/>
      <c r="F6" s="155"/>
      <c r="G6" s="155"/>
      <c r="H6" s="155"/>
      <c r="I6" s="155"/>
      <c r="J6" s="156"/>
    </row>
    <row r="7" spans="1:10" ht="15.95" customHeight="1">
      <c r="B7" s="695" t="s">
        <v>73</v>
      </c>
      <c r="C7" s="696"/>
      <c r="D7" s="697"/>
      <c r="E7" s="695" t="s">
        <v>68</v>
      </c>
      <c r="F7" s="696"/>
      <c r="G7" s="697"/>
      <c r="H7" s="695" t="s">
        <v>277</v>
      </c>
      <c r="I7" s="696"/>
      <c r="J7" s="697"/>
    </row>
    <row r="8" spans="1:10" ht="15.95" customHeight="1">
      <c r="A8" s="66"/>
      <c r="B8" s="138"/>
      <c r="C8" s="67"/>
      <c r="D8" s="584" t="s">
        <v>502</v>
      </c>
      <c r="E8" s="138"/>
      <c r="F8" s="136"/>
      <c r="G8" s="584" t="s">
        <v>502</v>
      </c>
      <c r="H8" s="138"/>
      <c r="I8" s="136"/>
      <c r="J8" s="584" t="s">
        <v>502</v>
      </c>
    </row>
    <row r="9" spans="1:10" ht="15.95" customHeight="1">
      <c r="A9" s="34" t="s">
        <v>43</v>
      </c>
      <c r="B9" s="76" t="s">
        <v>44</v>
      </c>
      <c r="C9" s="76" t="s">
        <v>45</v>
      </c>
      <c r="D9" s="586"/>
      <c r="E9" s="76" t="s">
        <v>44</v>
      </c>
      <c r="F9" s="76" t="s">
        <v>45</v>
      </c>
      <c r="G9" s="586"/>
      <c r="H9" s="76" t="s">
        <v>44</v>
      </c>
      <c r="I9" s="76" t="s">
        <v>45</v>
      </c>
      <c r="J9" s="586"/>
    </row>
    <row r="10" spans="1:10" ht="5.0999999999999996" customHeight="1">
      <c r="A10" s="5"/>
    </row>
    <row r="11" spans="1:10" ht="14.1" customHeight="1">
      <c r="A11" s="287" t="s">
        <v>111</v>
      </c>
      <c r="B11" s="288">
        <v>139885</v>
      </c>
      <c r="C11" s="294">
        <f>B11/'- 3 -'!$D11*100</f>
        <v>0.80010840086080071</v>
      </c>
      <c r="D11" s="288">
        <f>B11/'- 7 -'!$E11</f>
        <v>87.482801751094428</v>
      </c>
      <c r="E11" s="288">
        <v>151866</v>
      </c>
      <c r="F11" s="294">
        <f>E11/'- 3 -'!$D11*100</f>
        <v>0.86863682600083181</v>
      </c>
      <c r="G11" s="288">
        <f>E11/'- 7 -'!$E11</f>
        <v>94.975609756097555</v>
      </c>
      <c r="H11" s="288">
        <v>238292</v>
      </c>
      <c r="I11" s="294">
        <f>H11/'- 3 -'!$D11*100</f>
        <v>1.3629726636731738</v>
      </c>
      <c r="J11" s="288">
        <f>H11/'- 7 -'!$E11</f>
        <v>149.02564102564102</v>
      </c>
    </row>
    <row r="12" spans="1:10" ht="14.1" customHeight="1">
      <c r="A12" s="18" t="s">
        <v>112</v>
      </c>
      <c r="B12" s="19">
        <v>289642</v>
      </c>
      <c r="C12" s="69">
        <f>B12/'- 3 -'!$D12*100</f>
        <v>0.91466589882925209</v>
      </c>
      <c r="D12" s="19">
        <f>B12/'- 7 -'!$E12</f>
        <v>135.73999437623021</v>
      </c>
      <c r="E12" s="19">
        <v>116051</v>
      </c>
      <c r="F12" s="69">
        <f>E12/'- 3 -'!$D12*100</f>
        <v>0.36647962735043099</v>
      </c>
      <c r="G12" s="19">
        <f>E12/'- 7 -'!$E12</f>
        <v>54.387009091761186</v>
      </c>
      <c r="H12" s="19">
        <v>636770</v>
      </c>
      <c r="I12" s="69">
        <f>H12/'- 3 -'!$D12*100</f>
        <v>2.0108679141750954</v>
      </c>
      <c r="J12" s="19">
        <f>H12/'- 7 -'!$E12</f>
        <v>298.42065798106665</v>
      </c>
    </row>
    <row r="13" spans="1:10" ht="14.1" customHeight="1">
      <c r="A13" s="287" t="s">
        <v>113</v>
      </c>
      <c r="B13" s="288">
        <v>397557</v>
      </c>
      <c r="C13" s="294">
        <f>B13/'- 3 -'!$D13*100</f>
        <v>0.45964024474143184</v>
      </c>
      <c r="D13" s="288">
        <f>B13/'- 7 -'!$E13</f>
        <v>49.349180734856006</v>
      </c>
      <c r="E13" s="288">
        <v>289795</v>
      </c>
      <c r="F13" s="294">
        <f>E13/'- 3 -'!$D13*100</f>
        <v>0.33504992925503324</v>
      </c>
      <c r="G13" s="288">
        <f>E13/'- 7 -'!$E13</f>
        <v>35.972567030784511</v>
      </c>
      <c r="H13" s="288">
        <v>1123670</v>
      </c>
      <c r="I13" s="294">
        <f>H13/'- 3 -'!$D13*100</f>
        <v>1.2991444089994761</v>
      </c>
      <c r="J13" s="288">
        <f>H13/'- 7 -'!$E13</f>
        <v>139.48237338629593</v>
      </c>
    </row>
    <row r="14" spans="1:10" ht="14.1" customHeight="1">
      <c r="A14" s="18" t="s">
        <v>365</v>
      </c>
      <c r="B14" s="19">
        <v>365569</v>
      </c>
      <c r="C14" s="69">
        <f>B14/'- 3 -'!$D14*100</f>
        <v>0.47186489021834588</v>
      </c>
      <c r="D14" s="19">
        <f>B14/'- 7 -'!$E14</f>
        <v>69.765076335877865</v>
      </c>
      <c r="E14" s="19">
        <v>462341</v>
      </c>
      <c r="F14" s="69">
        <f>E14/'- 3 -'!$D14*100</f>
        <v>0.5967751237343436</v>
      </c>
      <c r="G14" s="19">
        <f>E14/'- 7 -'!$E14</f>
        <v>88.233015267175574</v>
      </c>
      <c r="H14" s="19">
        <v>2168510</v>
      </c>
      <c r="I14" s="69">
        <f>H14/'- 3 -'!$D14*100</f>
        <v>2.7990440466434112</v>
      </c>
      <c r="J14" s="19">
        <f>H14/'- 7 -'!$E14</f>
        <v>413.83778625954199</v>
      </c>
    </row>
    <row r="15" spans="1:10" ht="14.1" customHeight="1">
      <c r="A15" s="287" t="s">
        <v>114</v>
      </c>
      <c r="B15" s="288">
        <v>123222</v>
      </c>
      <c r="C15" s="294">
        <f>B15/'- 3 -'!$D15*100</f>
        <v>0.62685122104281288</v>
      </c>
      <c r="D15" s="288">
        <f>B15/'- 7 -'!$E15</f>
        <v>84.834423407917384</v>
      </c>
      <c r="E15" s="288">
        <v>204622</v>
      </c>
      <c r="F15" s="294">
        <f>E15/'- 3 -'!$D15*100</f>
        <v>1.0409468321584006</v>
      </c>
      <c r="G15" s="288">
        <f>E15/'- 7 -'!$E15</f>
        <v>140.87573149741826</v>
      </c>
      <c r="H15" s="288">
        <v>349534</v>
      </c>
      <c r="I15" s="294">
        <f>H15/'- 3 -'!$D15*100</f>
        <v>1.7781387633375414</v>
      </c>
      <c r="J15" s="288">
        <f>H15/'- 7 -'!$E15</f>
        <v>240.64302925989674</v>
      </c>
    </row>
    <row r="16" spans="1:10" ht="14.1" customHeight="1">
      <c r="A16" s="18" t="s">
        <v>115</v>
      </c>
      <c r="B16" s="19">
        <v>108999</v>
      </c>
      <c r="C16" s="69">
        <f>B16/'- 3 -'!$D16*100</f>
        <v>0.80049857565026961</v>
      </c>
      <c r="D16" s="19">
        <f>B16/'- 7 -'!$E16</f>
        <v>119.33326034596016</v>
      </c>
      <c r="E16" s="19">
        <v>61363</v>
      </c>
      <c r="F16" s="69">
        <f>E16/'- 3 -'!$D16*100</f>
        <v>0.45065545645031146</v>
      </c>
      <c r="G16" s="19">
        <f>E16/'- 7 -'!$E16</f>
        <v>67.180862710751043</v>
      </c>
      <c r="H16" s="19">
        <v>177391</v>
      </c>
      <c r="I16" s="69">
        <f>H16/'- 3 -'!$D16*100</f>
        <v>1.3027756477873833</v>
      </c>
      <c r="J16" s="19">
        <f>H16/'- 7 -'!$E16</f>
        <v>194.20954674841252</v>
      </c>
    </row>
    <row r="17" spans="1:10" ht="14.1" customHeight="1">
      <c r="A17" s="287" t="s">
        <v>116</v>
      </c>
      <c r="B17" s="288">
        <v>136075</v>
      </c>
      <c r="C17" s="294">
        <f>B17/'- 3 -'!$D17*100</f>
        <v>0.7836905741389425</v>
      </c>
      <c r="D17" s="288">
        <f>B17/'- 7 -'!$E17</f>
        <v>101.85254491017965</v>
      </c>
      <c r="E17" s="288">
        <v>93461</v>
      </c>
      <c r="F17" s="294">
        <f>E17/'- 3 -'!$D17*100</f>
        <v>0.53826569722285289</v>
      </c>
      <c r="G17" s="288">
        <f>E17/'- 7 -'!$E17</f>
        <v>69.955838323353291</v>
      </c>
      <c r="H17" s="288">
        <v>248849</v>
      </c>
      <c r="I17" s="294">
        <f>H17/'- 3 -'!$D17*100</f>
        <v>1.4331847560823201</v>
      </c>
      <c r="J17" s="288">
        <f>H17/'- 7 -'!$E17</f>
        <v>186.26422155688624</v>
      </c>
    </row>
    <row r="18" spans="1:10" ht="14.1" customHeight="1">
      <c r="A18" s="18" t="s">
        <v>117</v>
      </c>
      <c r="B18" s="19">
        <v>339611</v>
      </c>
      <c r="C18" s="69">
        <f>B18/'- 3 -'!$D18*100</f>
        <v>0.27797276575555863</v>
      </c>
      <c r="D18" s="19">
        <f>B18/'- 7 -'!$E18</f>
        <v>55.965044403100059</v>
      </c>
      <c r="E18" s="19">
        <v>0</v>
      </c>
      <c r="F18" s="69">
        <f>E18/'- 3 -'!$D18*100</f>
        <v>0</v>
      </c>
      <c r="G18" s="19">
        <f>E18/'- 7 -'!$E18</f>
        <v>0</v>
      </c>
      <c r="H18" s="19">
        <v>795589</v>
      </c>
      <c r="I18" s="69">
        <f>H18/'- 3 -'!$D18*100</f>
        <v>0.65119231925555743</v>
      </c>
      <c r="J18" s="19">
        <f>H18/'- 7 -'!$E18</f>
        <v>131.10639440895017</v>
      </c>
    </row>
    <row r="19" spans="1:10" ht="14.1" customHeight="1">
      <c r="A19" s="287" t="s">
        <v>118</v>
      </c>
      <c r="B19" s="288">
        <v>441460</v>
      </c>
      <c r="C19" s="294">
        <f>B19/'- 3 -'!$D19*100</f>
        <v>1.024906462136699</v>
      </c>
      <c r="D19" s="288">
        <f>B19/'- 7 -'!$E19</f>
        <v>104.72801461343202</v>
      </c>
      <c r="E19" s="288">
        <v>298491</v>
      </c>
      <c r="F19" s="294">
        <f>E19/'- 3 -'!$D19*100</f>
        <v>0.69298544554352692</v>
      </c>
      <c r="G19" s="288">
        <f>E19/'- 7 -'!$E19</f>
        <v>70.8113301544374</v>
      </c>
      <c r="H19" s="288">
        <v>863252</v>
      </c>
      <c r="I19" s="294">
        <f>H19/'- 3 -'!$D19*100</f>
        <v>2.0041511195859867</v>
      </c>
      <c r="J19" s="288">
        <f>H19/'- 7 -'!$E19</f>
        <v>204.79016914573103</v>
      </c>
    </row>
    <row r="20" spans="1:10" ht="14.1" customHeight="1">
      <c r="A20" s="18" t="s">
        <v>119</v>
      </c>
      <c r="B20" s="19">
        <v>597848</v>
      </c>
      <c r="C20" s="69">
        <f>B20/'- 3 -'!$D20*100</f>
        <v>0.80079561993267534</v>
      </c>
      <c r="D20" s="19">
        <f>B20/'- 7 -'!$E20</f>
        <v>81.108126441459774</v>
      </c>
      <c r="E20" s="19">
        <v>436461</v>
      </c>
      <c r="F20" s="69">
        <f>E20/'- 3 -'!$D20*100</f>
        <v>0.58462361180673916</v>
      </c>
      <c r="G20" s="19">
        <f>E20/'- 7 -'!$E20</f>
        <v>59.213268213268215</v>
      </c>
      <c r="H20" s="19">
        <v>1147793</v>
      </c>
      <c r="I20" s="69">
        <f>H20/'- 3 -'!$D20*100</f>
        <v>1.5374269161883711</v>
      </c>
      <c r="J20" s="19">
        <f>H20/'- 7 -'!$E20</f>
        <v>155.71740605073938</v>
      </c>
    </row>
    <row r="21" spans="1:10" ht="14.1" customHeight="1">
      <c r="A21" s="287" t="s">
        <v>120</v>
      </c>
      <c r="B21" s="288">
        <v>443667</v>
      </c>
      <c r="C21" s="294">
        <f>B21/'- 3 -'!$D21*100</f>
        <v>1.2745094884909869</v>
      </c>
      <c r="D21" s="288">
        <f>B21/'- 7 -'!$E21</f>
        <v>165.73290997385132</v>
      </c>
      <c r="E21" s="288">
        <v>155922</v>
      </c>
      <c r="F21" s="294">
        <f>E21/'- 3 -'!$D21*100</f>
        <v>0.4479126652748382</v>
      </c>
      <c r="G21" s="288">
        <f>E21/'- 7 -'!$E21</f>
        <v>58.245050429585355</v>
      </c>
      <c r="H21" s="288">
        <v>276532</v>
      </c>
      <c r="I21" s="294">
        <f>H21/'- 3 -'!$D21*100</f>
        <v>0.79438555914996956</v>
      </c>
      <c r="J21" s="288">
        <f>H21/'- 7 -'!$E21</f>
        <v>103.29921553978333</v>
      </c>
    </row>
    <row r="22" spans="1:10" ht="14.1" customHeight="1">
      <c r="A22" s="18" t="s">
        <v>121</v>
      </c>
      <c r="B22" s="19">
        <v>131165</v>
      </c>
      <c r="C22" s="69">
        <f>B22/'- 3 -'!$D22*100</f>
        <v>0.6748317371001874</v>
      </c>
      <c r="D22" s="19">
        <f>B22/'- 7 -'!$E22</f>
        <v>85.622429662510598</v>
      </c>
      <c r="E22" s="19">
        <v>3344</v>
      </c>
      <c r="F22" s="69">
        <f>E22/'- 3 -'!$D22*100</f>
        <v>1.7204569274295936E-2</v>
      </c>
      <c r="G22" s="19">
        <f>E22/'- 7 -'!$E22</f>
        <v>2.1829101116260849</v>
      </c>
      <c r="H22" s="19">
        <v>180435</v>
      </c>
      <c r="I22" s="69">
        <f>H22/'- 3 -'!$D22*100</f>
        <v>0.9283213089137522</v>
      </c>
      <c r="J22" s="19">
        <f>H22/'- 7 -'!$E22</f>
        <v>117.78510346628369</v>
      </c>
    </row>
    <row r="23" spans="1:10" ht="14.1" customHeight="1">
      <c r="A23" s="287" t="s">
        <v>122</v>
      </c>
      <c r="B23" s="288">
        <v>104062</v>
      </c>
      <c r="C23" s="294">
        <f>B23/'- 3 -'!$D23*100</f>
        <v>0.64053503036358372</v>
      </c>
      <c r="D23" s="288">
        <f>B23/'- 7 -'!$E23</f>
        <v>92.746880570409985</v>
      </c>
      <c r="E23" s="288">
        <v>59772</v>
      </c>
      <c r="F23" s="294">
        <f>E23/'- 3 -'!$D23*100</f>
        <v>0.36791585626734186</v>
      </c>
      <c r="G23" s="288">
        <f>E23/'- 7 -'!$E23</f>
        <v>53.272727272727273</v>
      </c>
      <c r="H23" s="288">
        <v>248375</v>
      </c>
      <c r="I23" s="294">
        <f>H23/'- 3 -'!$D23*100</f>
        <v>1.5288278926654792</v>
      </c>
      <c r="J23" s="288">
        <f>H23/'- 7 -'!$E23</f>
        <v>221.36809269162211</v>
      </c>
    </row>
    <row r="24" spans="1:10" ht="14.1" customHeight="1">
      <c r="A24" s="18" t="s">
        <v>123</v>
      </c>
      <c r="B24" s="19">
        <v>431891</v>
      </c>
      <c r="C24" s="69">
        <f>B24/'- 3 -'!$D24*100</f>
        <v>0.79652635713426678</v>
      </c>
      <c r="D24" s="19">
        <f>B24/'- 7 -'!$E24</f>
        <v>106.71616713202046</v>
      </c>
      <c r="E24" s="19">
        <v>342360</v>
      </c>
      <c r="F24" s="69">
        <f>E24/'- 3 -'!$D24*100</f>
        <v>0.63140645123072159</v>
      </c>
      <c r="G24" s="19">
        <f>E24/'- 7 -'!$E24</f>
        <v>84.593906748041803</v>
      </c>
      <c r="H24" s="19">
        <v>752816</v>
      </c>
      <c r="I24" s="69">
        <f>H24/'- 3 -'!$D24*100</f>
        <v>1.3884007447999382</v>
      </c>
      <c r="J24" s="19">
        <f>H24/'- 7 -'!$E24</f>
        <v>186.01368881421266</v>
      </c>
    </row>
    <row r="25" spans="1:10" ht="14.1" customHeight="1">
      <c r="A25" s="287" t="s">
        <v>124</v>
      </c>
      <c r="B25" s="288">
        <v>1039980</v>
      </c>
      <c r="C25" s="294">
        <f>B25/'- 3 -'!$D25*100</f>
        <v>0.65096619920072707</v>
      </c>
      <c r="D25" s="288">
        <f>B25/'- 7 -'!$E25</f>
        <v>74.851553559475747</v>
      </c>
      <c r="E25" s="288">
        <v>1086148</v>
      </c>
      <c r="F25" s="294">
        <f>E25/'- 3 -'!$D25*100</f>
        <v>0.67986464675231384</v>
      </c>
      <c r="G25" s="288">
        <f>E25/'- 7 -'!$E25</f>
        <v>78.174450658202517</v>
      </c>
      <c r="H25" s="288">
        <v>1416817</v>
      </c>
      <c r="I25" s="294">
        <f>H25/'- 3 -'!$D25*100</f>
        <v>0.88684395608855604</v>
      </c>
      <c r="J25" s="288">
        <f>H25/'- 7 -'!$E25</f>
        <v>101.97403176933763</v>
      </c>
    </row>
    <row r="26" spans="1:10" ht="14.1" customHeight="1">
      <c r="A26" s="18" t="s">
        <v>125</v>
      </c>
      <c r="B26" s="19">
        <v>301711</v>
      </c>
      <c r="C26" s="69">
        <f>B26/'- 3 -'!$D26*100</f>
        <v>0.77552649954804154</v>
      </c>
      <c r="D26" s="19">
        <f>B26/'- 7 -'!$E26</f>
        <v>97.091230893000798</v>
      </c>
      <c r="E26" s="19">
        <v>410741</v>
      </c>
      <c r="F26" s="69">
        <f>E26/'- 3 -'!$D26*100</f>
        <v>1.0557802995278998</v>
      </c>
      <c r="G26" s="19">
        <f>E26/'- 7 -'!$E26</f>
        <v>132.17731295253418</v>
      </c>
      <c r="H26" s="19">
        <v>373649</v>
      </c>
      <c r="I26" s="69">
        <f>H26/'- 3 -'!$D26*100</f>
        <v>0.96043797219732185</v>
      </c>
      <c r="J26" s="19">
        <f>H26/'- 7 -'!$E26</f>
        <v>120.24102976669349</v>
      </c>
    </row>
    <row r="27" spans="1:10" ht="14.1" customHeight="1">
      <c r="A27" s="287" t="s">
        <v>126</v>
      </c>
      <c r="B27" s="288">
        <v>231469</v>
      </c>
      <c r="C27" s="294">
        <f>B27/'- 3 -'!$D27*100</f>
        <v>0.59275579986795779</v>
      </c>
      <c r="D27" s="288">
        <f>B27/'- 7 -'!$E27</f>
        <v>81.004024496937888</v>
      </c>
      <c r="E27" s="288">
        <v>146837</v>
      </c>
      <c r="F27" s="294">
        <f>E27/'- 3 -'!$D27*100</f>
        <v>0.37602652357426403</v>
      </c>
      <c r="G27" s="288">
        <f>E27/'- 7 -'!$E27</f>
        <v>51.38652668416448</v>
      </c>
      <c r="H27" s="288">
        <v>109522</v>
      </c>
      <c r="I27" s="294">
        <f>H27/'- 3 -'!$D27*100</f>
        <v>0.28046866195101061</v>
      </c>
      <c r="J27" s="288">
        <f>H27/'- 7 -'!$E27</f>
        <v>38.327909011373578</v>
      </c>
    </row>
    <row r="28" spans="1:10" ht="14.1" customHeight="1">
      <c r="A28" s="18" t="s">
        <v>127</v>
      </c>
      <c r="B28" s="19">
        <v>198011</v>
      </c>
      <c r="C28" s="69">
        <f>B28/'- 3 -'!$D28*100</f>
        <v>0.72007574194137269</v>
      </c>
      <c r="D28" s="19">
        <f>B28/'- 7 -'!$E28</f>
        <v>98.956021989005492</v>
      </c>
      <c r="E28" s="19">
        <v>208283</v>
      </c>
      <c r="F28" s="69">
        <f>E28/'- 3 -'!$D28*100</f>
        <v>0.75743032335968674</v>
      </c>
      <c r="G28" s="19">
        <f>E28/'- 7 -'!$E28</f>
        <v>104.08945527236382</v>
      </c>
      <c r="H28" s="19">
        <v>374026</v>
      </c>
      <c r="I28" s="69">
        <f>H28/'- 3 -'!$D28*100</f>
        <v>1.360162058953108</v>
      </c>
      <c r="J28" s="19">
        <f>H28/'- 7 -'!$E28</f>
        <v>186.91954022988506</v>
      </c>
    </row>
    <row r="29" spans="1:10" ht="14.1" customHeight="1">
      <c r="A29" s="287" t="s">
        <v>128</v>
      </c>
      <c r="B29" s="288">
        <v>1158826</v>
      </c>
      <c r="C29" s="294">
        <f>B29/'- 3 -'!$D29*100</f>
        <v>0.79434893053098055</v>
      </c>
      <c r="D29" s="288">
        <f>B29/'- 7 -'!$E29</f>
        <v>93.174187116071138</v>
      </c>
      <c r="E29" s="288">
        <v>486537</v>
      </c>
      <c r="F29" s="294">
        <f>E29/'- 3 -'!$D29*100</f>
        <v>0.33351007451830705</v>
      </c>
      <c r="G29" s="288">
        <f>E29/'- 7 -'!$E29</f>
        <v>39.119496349660693</v>
      </c>
      <c r="H29" s="288">
        <v>1907571</v>
      </c>
      <c r="I29" s="294">
        <f>H29/'- 3 -'!$D29*100</f>
        <v>1.3075966398423173</v>
      </c>
      <c r="J29" s="288">
        <f>H29/'- 7 -'!$E29</f>
        <v>153.37624224101887</v>
      </c>
    </row>
    <row r="30" spans="1:10" ht="14.1" customHeight="1">
      <c r="A30" s="18" t="s">
        <v>129</v>
      </c>
      <c r="B30" s="19">
        <v>102179</v>
      </c>
      <c r="C30" s="69">
        <f>B30/'- 3 -'!$D30*100</f>
        <v>0.75153135758135448</v>
      </c>
      <c r="D30" s="19">
        <f>B30/'- 7 -'!$E30</f>
        <v>97.919501677048402</v>
      </c>
      <c r="E30" s="19">
        <v>110645</v>
      </c>
      <c r="F30" s="69">
        <f>E30/'- 3 -'!$D30*100</f>
        <v>0.81379918632584947</v>
      </c>
      <c r="G30" s="19">
        <f>E30/'- 7 -'!$E30</f>
        <v>106.03258265452803</v>
      </c>
      <c r="H30" s="19">
        <v>145125</v>
      </c>
      <c r="I30" s="69">
        <f>H30/'- 3 -'!$D30*100</f>
        <v>1.0674012103171304</v>
      </c>
      <c r="J30" s="19">
        <f>H30/'- 7 -'!$E30</f>
        <v>139.07522759942501</v>
      </c>
    </row>
    <row r="31" spans="1:10" ht="14.1" customHeight="1">
      <c r="A31" s="287" t="s">
        <v>130</v>
      </c>
      <c r="B31" s="288">
        <v>264750</v>
      </c>
      <c r="C31" s="294">
        <f>B31/'- 3 -'!$D31*100</f>
        <v>0.74892826879608398</v>
      </c>
      <c r="D31" s="288">
        <f>B31/'- 7 -'!$E31</f>
        <v>81.511699507389167</v>
      </c>
      <c r="E31" s="288">
        <v>153949</v>
      </c>
      <c r="F31" s="294">
        <f>E31/'- 3 -'!$D31*100</f>
        <v>0.43549294826397861</v>
      </c>
      <c r="G31" s="288">
        <f>E31/'- 7 -'!$E31</f>
        <v>47.398091133004925</v>
      </c>
      <c r="H31" s="288">
        <v>206282</v>
      </c>
      <c r="I31" s="294">
        <f>H31/'- 3 -'!$D31*100</f>
        <v>0.58353322433916444</v>
      </c>
      <c r="J31" s="288">
        <f>H31/'- 7 -'!$E31</f>
        <v>63.510467980295566</v>
      </c>
    </row>
    <row r="32" spans="1:10" ht="14.1" customHeight="1">
      <c r="A32" s="18" t="s">
        <v>131</v>
      </c>
      <c r="B32" s="19">
        <v>256113</v>
      </c>
      <c r="C32" s="69">
        <f>B32/'- 3 -'!$D32*100</f>
        <v>0.9699228959904983</v>
      </c>
      <c r="D32" s="19">
        <f>B32/'- 7 -'!$E32</f>
        <v>122.3080229226361</v>
      </c>
      <c r="E32" s="19">
        <v>163712</v>
      </c>
      <c r="F32" s="69">
        <f>E32/'- 3 -'!$D32*100</f>
        <v>0.61999202363174255</v>
      </c>
      <c r="G32" s="19">
        <f>E32/'- 7 -'!$E32</f>
        <v>78.181470869149948</v>
      </c>
      <c r="H32" s="19">
        <v>272834</v>
      </c>
      <c r="I32" s="69">
        <f>H32/'- 3 -'!$D32*100</f>
        <v>1.0332468223193341</v>
      </c>
      <c r="J32" s="19">
        <f>H32/'- 7 -'!$E32</f>
        <v>130.29321872015282</v>
      </c>
    </row>
    <row r="33" spans="1:10" ht="14.1" customHeight="1">
      <c r="A33" s="287" t="s">
        <v>132</v>
      </c>
      <c r="B33" s="288">
        <v>293768</v>
      </c>
      <c r="C33" s="294">
        <f>B33/'- 3 -'!$D33*100</f>
        <v>1.114747230663214</v>
      </c>
      <c r="D33" s="288">
        <f>B33/'- 7 -'!$E33</f>
        <v>146.40817343633191</v>
      </c>
      <c r="E33" s="288">
        <v>134002</v>
      </c>
      <c r="F33" s="294">
        <f>E33/'- 3 -'!$D33*100</f>
        <v>0.5084909125681899</v>
      </c>
      <c r="G33" s="288">
        <f>E33/'- 7 -'!$E33</f>
        <v>66.783952155494646</v>
      </c>
      <c r="H33" s="288">
        <v>348434</v>
      </c>
      <c r="I33" s="294">
        <f>H33/'- 3 -'!$D33*100</f>
        <v>1.3221856586452789</v>
      </c>
      <c r="J33" s="288">
        <f>H33/'- 7 -'!$E33</f>
        <v>173.65262895589333</v>
      </c>
    </row>
    <row r="34" spans="1:10" ht="14.1" customHeight="1">
      <c r="A34" s="18" t="s">
        <v>133</v>
      </c>
      <c r="B34" s="19">
        <v>222635</v>
      </c>
      <c r="C34" s="69">
        <f>B34/'- 3 -'!$D34*100</f>
        <v>0.83990023131350722</v>
      </c>
      <c r="D34" s="19">
        <f>B34/'- 7 -'!$E34</f>
        <v>111.83417388334104</v>
      </c>
      <c r="E34" s="19">
        <v>177619</v>
      </c>
      <c r="F34" s="69">
        <f>E34/'- 3 -'!$D34*100</f>
        <v>0.6700754112591184</v>
      </c>
      <c r="G34" s="19">
        <f>E34/'- 7 -'!$E34</f>
        <v>89.221704273744706</v>
      </c>
      <c r="H34" s="19">
        <v>439028</v>
      </c>
      <c r="I34" s="69">
        <f>H34/'- 3 -'!$D34*100</f>
        <v>1.6562522458423268</v>
      </c>
      <c r="J34" s="19">
        <f>H34/'- 7 -'!$E34</f>
        <v>220.53286182161585</v>
      </c>
    </row>
    <row r="35" spans="1:10" ht="14.1" customHeight="1">
      <c r="A35" s="287" t="s">
        <v>134</v>
      </c>
      <c r="B35" s="288">
        <v>631958</v>
      </c>
      <c r="C35" s="294">
        <f>B35/'- 3 -'!$D35*100</f>
        <v>0.3616293413869725</v>
      </c>
      <c r="D35" s="288">
        <f>B35/'- 7 -'!$E35</f>
        <v>40.642999549810277</v>
      </c>
      <c r="E35" s="288">
        <v>620854</v>
      </c>
      <c r="F35" s="294">
        <f>E35/'- 3 -'!$D35*100</f>
        <v>0.35527522891943364</v>
      </c>
      <c r="G35" s="288">
        <f>E35/'- 7 -'!$E35</f>
        <v>39.928870023795746</v>
      </c>
      <c r="H35" s="288">
        <v>1309021</v>
      </c>
      <c r="I35" s="294">
        <f>H35/'- 3 -'!$D35*100</f>
        <v>0.74906940349155504</v>
      </c>
      <c r="J35" s="288">
        <f>H35/'- 7 -'!$E35</f>
        <v>84.18682873496688</v>
      </c>
    </row>
    <row r="36" spans="1:10" ht="14.1" customHeight="1">
      <c r="A36" s="18" t="s">
        <v>135</v>
      </c>
      <c r="B36" s="19">
        <v>160469</v>
      </c>
      <c r="C36" s="69">
        <f>B36/'- 3 -'!$D36*100</f>
        <v>0.73489602257890163</v>
      </c>
      <c r="D36" s="19">
        <f>B36/'- 7 -'!$E36</f>
        <v>97.312916919345056</v>
      </c>
      <c r="E36" s="19">
        <v>204465</v>
      </c>
      <c r="F36" s="69">
        <f>E36/'- 3 -'!$D36*100</f>
        <v>0.93638344637652826</v>
      </c>
      <c r="G36" s="19">
        <f>E36/'- 7 -'!$E36</f>
        <v>123.99332929047908</v>
      </c>
      <c r="H36" s="19">
        <v>268402</v>
      </c>
      <c r="I36" s="69">
        <f>H36/'- 3 -'!$D36*100</f>
        <v>1.2291941886110236</v>
      </c>
      <c r="J36" s="19">
        <f>H36/'- 7 -'!$E36</f>
        <v>162.76652516676774</v>
      </c>
    </row>
    <row r="37" spans="1:10" ht="14.1" customHeight="1">
      <c r="A37" s="287" t="s">
        <v>136</v>
      </c>
      <c r="B37" s="288">
        <v>230056</v>
      </c>
      <c r="C37" s="294">
        <f>B37/'- 3 -'!$D37*100</f>
        <v>0.51040072145107374</v>
      </c>
      <c r="D37" s="288">
        <f>B37/'- 7 -'!$E37</f>
        <v>58.197824437136354</v>
      </c>
      <c r="E37" s="288">
        <v>524609</v>
      </c>
      <c r="F37" s="294">
        <f>E37/'- 3 -'!$D37*100</f>
        <v>1.163894060923107</v>
      </c>
      <c r="G37" s="288">
        <f>E37/'- 7 -'!$E37</f>
        <v>132.71161143435364</v>
      </c>
      <c r="H37" s="288">
        <v>489941</v>
      </c>
      <c r="I37" s="294">
        <f>H37/'- 3 -'!$D37*100</f>
        <v>1.0869798652000404</v>
      </c>
      <c r="J37" s="288">
        <f>H37/'- 7 -'!$E37</f>
        <v>123.94156336959271</v>
      </c>
    </row>
    <row r="38" spans="1:10" ht="14.1" customHeight="1">
      <c r="A38" s="18" t="s">
        <v>137</v>
      </c>
      <c r="B38" s="19">
        <v>250371</v>
      </c>
      <c r="C38" s="69">
        <f>B38/'- 3 -'!$D38*100</f>
        <v>0.20513339245966841</v>
      </c>
      <c r="D38" s="19">
        <f>B38/'- 7 -'!$E38</f>
        <v>23.764059341097411</v>
      </c>
      <c r="E38" s="19">
        <v>558180</v>
      </c>
      <c r="F38" s="69">
        <f>E38/'- 3 -'!$D38*100</f>
        <v>0.45732675510797066</v>
      </c>
      <c r="G38" s="19">
        <f>E38/'- 7 -'!$E38</f>
        <v>52.979868447279244</v>
      </c>
      <c r="H38" s="19">
        <v>1505538</v>
      </c>
      <c r="I38" s="69">
        <f>H38/'- 3 -'!$D38*100</f>
        <v>1.2335139349882547</v>
      </c>
      <c r="J38" s="19">
        <f>H38/'- 7 -'!$E38</f>
        <v>142.89871579486888</v>
      </c>
    </row>
    <row r="39" spans="1:10" ht="14.1" customHeight="1">
      <c r="A39" s="287" t="s">
        <v>138</v>
      </c>
      <c r="B39" s="288">
        <v>203693</v>
      </c>
      <c r="C39" s="294">
        <f>B39/'- 3 -'!$D39*100</f>
        <v>1.0088699406554087</v>
      </c>
      <c r="D39" s="288">
        <f>B39/'- 7 -'!$E39</f>
        <v>131.71225347559005</v>
      </c>
      <c r="E39" s="288">
        <v>195953</v>
      </c>
      <c r="F39" s="294">
        <f>E39/'- 3 -'!$D39*100</f>
        <v>0.97053453717726812</v>
      </c>
      <c r="G39" s="288">
        <f>E39/'- 7 -'!$E39</f>
        <v>126.70740381506627</v>
      </c>
      <c r="H39" s="288">
        <v>146003</v>
      </c>
      <c r="I39" s="294">
        <f>H39/'- 3 -'!$D39*100</f>
        <v>0.72313745659159434</v>
      </c>
      <c r="J39" s="288">
        <f>H39/'- 7 -'!$E39</f>
        <v>94.408664726802456</v>
      </c>
    </row>
    <row r="40" spans="1:10" ht="14.1" customHeight="1">
      <c r="A40" s="18" t="s">
        <v>139</v>
      </c>
      <c r="B40" s="19">
        <v>680161</v>
      </c>
      <c r="C40" s="69">
        <f>B40/'- 3 -'!$D40*100</f>
        <v>0.69564923366754472</v>
      </c>
      <c r="D40" s="19">
        <f>B40/'- 7 -'!$E40</f>
        <v>86.264490272176133</v>
      </c>
      <c r="E40" s="19">
        <v>477738</v>
      </c>
      <c r="F40" s="69">
        <f>E40/'- 3 -'!$D40*100</f>
        <v>0.48861677396067321</v>
      </c>
      <c r="G40" s="19">
        <f>E40/'- 7 -'!$E40</f>
        <v>60.591279202496004</v>
      </c>
      <c r="H40" s="19">
        <v>779282</v>
      </c>
      <c r="I40" s="69">
        <f>H40/'- 3 -'!$D40*100</f>
        <v>0.79702735986172613</v>
      </c>
      <c r="J40" s="19">
        <f>H40/'- 7 -'!$E40</f>
        <v>98.835958704309661</v>
      </c>
    </row>
    <row r="41" spans="1:10" ht="14.1" customHeight="1">
      <c r="A41" s="287" t="s">
        <v>140</v>
      </c>
      <c r="B41" s="288">
        <v>383234</v>
      </c>
      <c r="C41" s="294">
        <f>B41/'- 3 -'!$D41*100</f>
        <v>0.64141569710244406</v>
      </c>
      <c r="D41" s="288">
        <f>B41/'- 7 -'!$E41</f>
        <v>87.988520261738032</v>
      </c>
      <c r="E41" s="288">
        <v>329349</v>
      </c>
      <c r="F41" s="294">
        <f>E41/'- 3 -'!$D41*100</f>
        <v>0.5512288012676142</v>
      </c>
      <c r="G41" s="288">
        <f>E41/'- 7 -'!$E41</f>
        <v>75.616806336815515</v>
      </c>
      <c r="H41" s="288">
        <v>567814</v>
      </c>
      <c r="I41" s="294">
        <f>H41/'- 3 -'!$D41*100</f>
        <v>0.95034577473430637</v>
      </c>
      <c r="J41" s="288">
        <f>H41/'- 7 -'!$E41</f>
        <v>130.36712202961772</v>
      </c>
    </row>
    <row r="42" spans="1:10" ht="14.1" customHeight="1">
      <c r="A42" s="18" t="s">
        <v>141</v>
      </c>
      <c r="B42" s="19">
        <v>151081</v>
      </c>
      <c r="C42" s="69">
        <f>B42/'- 3 -'!$D42*100</f>
        <v>0.75922187408869979</v>
      </c>
      <c r="D42" s="19">
        <f>B42/'- 7 -'!$E42</f>
        <v>107.1952603944941</v>
      </c>
      <c r="E42" s="19">
        <v>109186</v>
      </c>
      <c r="F42" s="69">
        <f>E42/'- 3 -'!$D42*100</f>
        <v>0.54868844887344392</v>
      </c>
      <c r="G42" s="19">
        <f>E42/'- 7 -'!$E42</f>
        <v>77.469845324251452</v>
      </c>
      <c r="H42" s="19">
        <v>304301</v>
      </c>
      <c r="I42" s="69">
        <f>H42/'- 3 -'!$D42*100</f>
        <v>1.5291927873595319</v>
      </c>
      <c r="J42" s="19">
        <f>H42/'- 7 -'!$E42</f>
        <v>215.90818788136795</v>
      </c>
    </row>
    <row r="43" spans="1:10" ht="14.1" customHeight="1">
      <c r="A43" s="287" t="s">
        <v>142</v>
      </c>
      <c r="B43" s="288">
        <v>42792</v>
      </c>
      <c r="C43" s="294">
        <f>B43/'- 3 -'!$D43*100</f>
        <v>0.33408962567861955</v>
      </c>
      <c r="D43" s="288">
        <f>B43/'- 7 -'!$E43</f>
        <v>44.42552661358139</v>
      </c>
      <c r="E43" s="288">
        <v>85325</v>
      </c>
      <c r="F43" s="294">
        <f>E43/'- 3 -'!$D43*100</f>
        <v>0.66615716281146509</v>
      </c>
      <c r="G43" s="288">
        <f>E43/'- 7 -'!$E43</f>
        <v>88.582166253127497</v>
      </c>
      <c r="H43" s="288">
        <v>278742</v>
      </c>
      <c r="I43" s="294">
        <f>H43/'- 3 -'!$D43*100</f>
        <v>2.1762200981704471</v>
      </c>
      <c r="J43" s="288">
        <f>H43/'- 7 -'!$E43</f>
        <v>289.38259813336379</v>
      </c>
    </row>
    <row r="44" spans="1:10" ht="14.1" customHeight="1">
      <c r="A44" s="18" t="s">
        <v>143</v>
      </c>
      <c r="B44" s="19">
        <v>102296</v>
      </c>
      <c r="C44" s="69">
        <f>B44/'- 3 -'!$D44*100</f>
        <v>0.97028368675931165</v>
      </c>
      <c r="D44" s="19">
        <f>B44/'- 7 -'!$E44</f>
        <v>147.18848920863309</v>
      </c>
      <c r="E44" s="19">
        <v>82879</v>
      </c>
      <c r="F44" s="69">
        <f>E44/'- 3 -'!$D44*100</f>
        <v>0.78611227882737345</v>
      </c>
      <c r="G44" s="19">
        <f>E44/'- 7 -'!$E44</f>
        <v>119.25035971223022</v>
      </c>
      <c r="H44" s="19">
        <v>166150</v>
      </c>
      <c r="I44" s="69">
        <f>H44/'- 3 -'!$D44*100</f>
        <v>1.5759427011325919</v>
      </c>
      <c r="J44" s="19">
        <f>H44/'- 7 -'!$E44</f>
        <v>239.06474820143885</v>
      </c>
    </row>
    <row r="45" spans="1:10" ht="14.1" customHeight="1">
      <c r="A45" s="287" t="s">
        <v>144</v>
      </c>
      <c r="B45" s="288">
        <v>173262</v>
      </c>
      <c r="C45" s="294">
        <f>B45/'- 3 -'!$D45*100</f>
        <v>0.99221123742133654</v>
      </c>
      <c r="D45" s="288">
        <f>B45/'- 7 -'!$E45</f>
        <v>107.8170504044804</v>
      </c>
      <c r="E45" s="288">
        <v>39598</v>
      </c>
      <c r="F45" s="294">
        <f>E45/'- 3 -'!$D45*100</f>
        <v>0.2267639792880729</v>
      </c>
      <c r="G45" s="288">
        <f>E45/'- 7 -'!$E45</f>
        <v>24.640945861854387</v>
      </c>
      <c r="H45" s="288">
        <v>263205</v>
      </c>
      <c r="I45" s="294">
        <f>H45/'- 3 -'!$D45*100</f>
        <v>1.5072835286761257</v>
      </c>
      <c r="J45" s="288">
        <f>H45/'- 7 -'!$E45</f>
        <v>163.78655880522714</v>
      </c>
    </row>
    <row r="46" spans="1:10" ht="14.1" customHeight="1">
      <c r="A46" s="18" t="s">
        <v>145</v>
      </c>
      <c r="B46" s="19">
        <v>2039728</v>
      </c>
      <c r="C46" s="69">
        <f>B46/'- 3 -'!$D46*100</f>
        <v>0.55467114651263583</v>
      </c>
      <c r="D46" s="19">
        <f>B46/'- 7 -'!$E46</f>
        <v>68.209202782236488</v>
      </c>
      <c r="E46" s="19">
        <v>1886011</v>
      </c>
      <c r="F46" s="69">
        <f>E46/'- 3 -'!$D46*100</f>
        <v>0.51287028648204203</v>
      </c>
      <c r="G46" s="19">
        <f>E46/'- 7 -'!$E46</f>
        <v>63.068853665061532</v>
      </c>
      <c r="H46" s="19">
        <v>3289169</v>
      </c>
      <c r="I46" s="69">
        <f>H46/'- 3 -'!$D46*100</f>
        <v>0.89443648383697227</v>
      </c>
      <c r="J46" s="19">
        <f>H46/'- 7 -'!$E46</f>
        <v>109.99093766720171</v>
      </c>
    </row>
    <row r="47" spans="1:10" ht="5.0999999999999996" customHeight="1">
      <c r="A47" s="20"/>
      <c r="B47" s="21"/>
      <c r="C47"/>
      <c r="D47"/>
      <c r="E47"/>
      <c r="F47"/>
      <c r="G47"/>
      <c r="H47"/>
      <c r="I47"/>
      <c r="J47"/>
    </row>
    <row r="48" spans="1:10" ht="14.1" customHeight="1">
      <c r="A48" s="289" t="s">
        <v>146</v>
      </c>
      <c r="B48" s="290">
        <f>SUM(B11:B46)</f>
        <v>13169196</v>
      </c>
      <c r="C48" s="297">
        <f>B48/'- 3 -'!$D48*100</f>
        <v>0.61608635514195043</v>
      </c>
      <c r="D48" s="290">
        <f>B48/'- 7 -'!$E48</f>
        <v>76.34535157122761</v>
      </c>
      <c r="E48" s="290">
        <v>10868469</v>
      </c>
      <c r="F48" s="297">
        <f>E48/'- 3 -'!$D48*100</f>
        <v>0.50845286623293329</v>
      </c>
      <c r="G48" s="290">
        <f>E48/'- 7 -'!$E48</f>
        <v>63.007421777759895</v>
      </c>
      <c r="H48" s="290">
        <v>24168664</v>
      </c>
      <c r="I48" s="297">
        <f>H48/'- 3 -'!$D48*100</f>
        <v>1.1306676666070179</v>
      </c>
      <c r="J48" s="290">
        <f>H48/'- 7 -'!$E48</f>
        <v>140.11220959023407</v>
      </c>
    </row>
    <row r="49" spans="1:10" ht="5.0999999999999996" customHeight="1">
      <c r="A49" s="20" t="s">
        <v>8</v>
      </c>
      <c r="B49" s="21"/>
      <c r="C49"/>
      <c r="D49"/>
      <c r="E49"/>
      <c r="F49"/>
      <c r="G49"/>
      <c r="H49"/>
      <c r="I49"/>
      <c r="J49"/>
    </row>
    <row r="50" spans="1:10" ht="14.1" customHeight="1">
      <c r="A50" s="18" t="s">
        <v>147</v>
      </c>
      <c r="B50" s="19">
        <v>0</v>
      </c>
      <c r="C50" s="69">
        <f>B50/'- 3 -'!$D50*100</f>
        <v>0</v>
      </c>
      <c r="D50" s="19">
        <f>B50/'- 7 -'!$E50</f>
        <v>0</v>
      </c>
      <c r="E50" s="19">
        <v>35124</v>
      </c>
      <c r="F50" s="69">
        <f>E50/'- 3 -'!$D50*100</f>
        <v>1.0813283677526231</v>
      </c>
      <c r="G50" s="19">
        <f>E50/'- 7 -'!$E50</f>
        <v>211.08173076923077</v>
      </c>
      <c r="H50" s="19">
        <v>52782</v>
      </c>
      <c r="I50" s="69">
        <f>H50/'- 3 -'!$D50*100</f>
        <v>1.6249480100990481</v>
      </c>
      <c r="J50" s="19">
        <f>H50/'- 7 -'!$E50</f>
        <v>317.19951923076923</v>
      </c>
    </row>
    <row r="51" spans="1:10" ht="14.1" customHeight="1">
      <c r="A51" s="287" t="s">
        <v>643</v>
      </c>
      <c r="B51" s="288">
        <v>38781</v>
      </c>
      <c r="C51" s="294">
        <f>B51/'- 3 -'!$D51*100</f>
        <v>0.17393363557896138</v>
      </c>
      <c r="D51" s="288">
        <f>B51/'- 7 -'!$E51</f>
        <v>52.195154777927321</v>
      </c>
      <c r="E51" s="288">
        <v>105512</v>
      </c>
      <c r="F51" s="294">
        <f>E51/'- 3 -'!$D51*100</f>
        <v>0.47322363418187702</v>
      </c>
      <c r="G51" s="288">
        <f>E51/'- 7 -'!$E51</f>
        <v>142.00807537012113</v>
      </c>
      <c r="H51" s="288">
        <v>131814</v>
      </c>
      <c r="I51" s="294">
        <f>H51/'- 3 -'!$D51*100</f>
        <v>0.59118868106044753</v>
      </c>
      <c r="J51" s="288">
        <f>H51/'- 7 -'!$E51</f>
        <v>177.40780619111709</v>
      </c>
    </row>
    <row r="52" spans="1:10" ht="50.1" customHeight="1">
      <c r="A52" s="22"/>
      <c r="B52" s="22"/>
      <c r="C52" s="22"/>
      <c r="D52" s="22"/>
      <c r="E52" s="22"/>
      <c r="F52" s="22"/>
      <c r="G52" s="22"/>
      <c r="H52" s="22"/>
      <c r="I52" s="22"/>
      <c r="J52" s="22"/>
    </row>
    <row r="53" spans="1:10" ht="15" customHeight="1">
      <c r="A53" s="607" t="s">
        <v>542</v>
      </c>
      <c r="B53" s="607"/>
      <c r="C53" s="607"/>
      <c r="D53" s="607"/>
      <c r="E53" s="607"/>
      <c r="F53" s="607"/>
      <c r="G53" s="607"/>
      <c r="H53" s="607"/>
      <c r="I53" s="607"/>
      <c r="J53" s="607"/>
    </row>
    <row r="54" spans="1:10" ht="12" customHeight="1">
      <c r="A54" s="608"/>
      <c r="B54" s="608"/>
      <c r="C54" s="608"/>
      <c r="D54" s="608"/>
      <c r="E54" s="608"/>
      <c r="F54" s="608"/>
      <c r="G54" s="608"/>
      <c r="H54" s="608"/>
      <c r="I54" s="608"/>
      <c r="J54" s="608"/>
    </row>
    <row r="55" spans="1:10" ht="12" customHeight="1">
      <c r="A55" s="608"/>
      <c r="B55" s="608"/>
      <c r="C55" s="608"/>
      <c r="D55" s="608"/>
      <c r="E55" s="608"/>
      <c r="F55" s="608"/>
      <c r="G55" s="608"/>
      <c r="H55" s="608"/>
      <c r="I55" s="608"/>
      <c r="J55" s="608"/>
    </row>
    <row r="56" spans="1:10">
      <c r="A56" s="132" t="s">
        <v>435</v>
      </c>
    </row>
  </sheetData>
  <mergeCells count="7">
    <mergeCell ref="A53:J55"/>
    <mergeCell ref="B7:D7"/>
    <mergeCell ref="E7:G7"/>
    <mergeCell ref="H7:J7"/>
    <mergeCell ref="D8:D9"/>
    <mergeCell ref="G8:G9"/>
    <mergeCell ref="J8:J9"/>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34.xml><?xml version="1.0" encoding="utf-8"?>
<worksheet xmlns="http://schemas.openxmlformats.org/spreadsheetml/2006/main" xmlns:r="http://schemas.openxmlformats.org/officeDocument/2006/relationships">
  <sheetPr codeName="Sheet53">
    <pageSetUpPr autoPageBreaks="0" fitToPage="1"/>
  </sheetPr>
  <dimension ref="A1:H54"/>
  <sheetViews>
    <sheetView showGridLines="0" showZeros="0" workbookViewId="0"/>
  </sheetViews>
  <sheetFormatPr defaultColWidth="15.83203125" defaultRowHeight="12"/>
  <cols>
    <col min="1" max="1" width="32.83203125" style="1" customWidth="1"/>
    <col min="2" max="2" width="18.83203125" style="1" customWidth="1"/>
    <col min="3" max="3" width="9.83203125" style="1" customWidth="1"/>
    <col min="4" max="4" width="10.83203125" style="1" customWidth="1"/>
    <col min="5" max="5" width="18.83203125" style="1" customWidth="1"/>
    <col min="6" max="6" width="9.83203125" style="1" customWidth="1"/>
    <col min="7" max="7" width="10.83203125" style="1" customWidth="1"/>
    <col min="8" max="8" width="22.1640625" style="1" customWidth="1"/>
    <col min="9" max="16384" width="15.83203125" style="1"/>
  </cols>
  <sheetData>
    <row r="1" spans="1:8" ht="6.95" customHeight="1">
      <c r="A1" s="6"/>
      <c r="B1" s="6"/>
      <c r="C1" s="6"/>
      <c r="D1" s="6"/>
      <c r="E1" s="7"/>
      <c r="F1" s="7"/>
      <c r="G1" s="7"/>
    </row>
    <row r="2" spans="1:8" ht="15.95" customHeight="1">
      <c r="A2" s="133"/>
      <c r="B2" s="8" t="s">
        <v>287</v>
      </c>
      <c r="C2" s="140"/>
      <c r="D2" s="140"/>
      <c r="E2" s="8"/>
      <c r="F2" s="141"/>
      <c r="G2" s="142"/>
      <c r="H2" s="143"/>
    </row>
    <row r="3" spans="1:8" ht="15.95" customHeight="1">
      <c r="A3" s="546"/>
      <c r="B3" s="10" t="str">
        <f>OPYEAR</f>
        <v>OPERATING FUND 2014/2015 ACTUAL</v>
      </c>
      <c r="C3" s="144"/>
      <c r="D3" s="144"/>
      <c r="E3" s="10"/>
      <c r="F3" s="145"/>
      <c r="G3" s="145"/>
      <c r="H3" s="146"/>
    </row>
    <row r="4" spans="1:8" ht="15.95" customHeight="1">
      <c r="E4" s="7"/>
      <c r="F4" s="7"/>
      <c r="G4" s="7"/>
    </row>
    <row r="5" spans="1:8" ht="18" customHeight="1">
      <c r="B5" s="564" t="s">
        <v>268</v>
      </c>
      <c r="C5" s="565"/>
      <c r="D5" s="566"/>
      <c r="E5" s="147"/>
      <c r="F5" s="148"/>
      <c r="G5" s="149"/>
    </row>
    <row r="6" spans="1:8" ht="15.95" customHeight="1">
      <c r="B6" s="658" t="s">
        <v>543</v>
      </c>
      <c r="C6" s="662"/>
      <c r="D6" s="659"/>
      <c r="E6" s="324"/>
      <c r="F6" s="325"/>
      <c r="G6" s="326"/>
    </row>
    <row r="7" spans="1:8" ht="15.95" customHeight="1">
      <c r="B7" s="660"/>
      <c r="C7" s="663"/>
      <c r="D7" s="661"/>
      <c r="E7" s="698" t="s">
        <v>32</v>
      </c>
      <c r="F7" s="699"/>
      <c r="G7" s="700"/>
    </row>
    <row r="8" spans="1:8" ht="15.95" customHeight="1">
      <c r="A8" s="66"/>
      <c r="B8" s="138"/>
      <c r="C8" s="67"/>
      <c r="D8" s="590" t="s">
        <v>502</v>
      </c>
      <c r="E8" s="138"/>
      <c r="F8" s="136"/>
      <c r="G8" s="590" t="s">
        <v>502</v>
      </c>
    </row>
    <row r="9" spans="1:8" ht="15.95" customHeight="1">
      <c r="A9" s="34" t="s">
        <v>43</v>
      </c>
      <c r="B9" s="76" t="s">
        <v>44</v>
      </c>
      <c r="C9" s="76" t="s">
        <v>45</v>
      </c>
      <c r="D9" s="586"/>
      <c r="E9" s="76" t="s">
        <v>44</v>
      </c>
      <c r="F9" s="76" t="s">
        <v>45</v>
      </c>
      <c r="G9" s="586"/>
    </row>
    <row r="10" spans="1:8" ht="5.0999999999999996" customHeight="1">
      <c r="A10" s="5"/>
      <c r="B10" s="5"/>
      <c r="C10" s="5"/>
      <c r="D10" s="5"/>
    </row>
    <row r="11" spans="1:8" ht="14.1" customHeight="1">
      <c r="A11" s="287" t="s">
        <v>111</v>
      </c>
      <c r="B11" s="288">
        <f>'- 26 -'!B11</f>
        <v>24904</v>
      </c>
      <c r="C11" s="294">
        <f>'- 26 -'!C11</f>
        <v>0.14244486267317713</v>
      </c>
      <c r="D11" s="288">
        <f>'- 26 -'!D11</f>
        <v>15.57473420888055</v>
      </c>
      <c r="E11" s="288">
        <f>SUM('- 37 -'!B11,'- 37 -'!E11,'- 37 -'!H11,B11)</f>
        <v>554947</v>
      </c>
      <c r="F11" s="294">
        <f>E11/'- 3 -'!D11*100</f>
        <v>3.1741627532079839</v>
      </c>
      <c r="G11" s="288">
        <f>E11/'- 7 -'!E11</f>
        <v>347.05878674171356</v>
      </c>
    </row>
    <row r="12" spans="1:8" ht="14.1" customHeight="1">
      <c r="A12" s="18" t="s">
        <v>112</v>
      </c>
      <c r="B12" s="19">
        <f>'- 26 -'!B12</f>
        <v>72381</v>
      </c>
      <c r="C12" s="69">
        <f>'- 26 -'!C12</f>
        <v>0.22857331610457082</v>
      </c>
      <c r="D12" s="19">
        <f>'- 26 -'!D12</f>
        <v>33.921173493298348</v>
      </c>
      <c r="E12" s="19">
        <f>SUM('- 37 -'!B12,'- 37 -'!E12,'- 37 -'!H12,B12)</f>
        <v>1114844</v>
      </c>
      <c r="F12" s="69">
        <f>E12/'- 3 -'!D12*100</f>
        <v>3.5205867564593492</v>
      </c>
      <c r="G12" s="19">
        <f>E12/'- 7 -'!E12</f>
        <v>522.46883494235647</v>
      </c>
    </row>
    <row r="13" spans="1:8" ht="14.1" customHeight="1">
      <c r="A13" s="287" t="s">
        <v>113</v>
      </c>
      <c r="B13" s="288">
        <f>'- 26 -'!B13</f>
        <v>176032</v>
      </c>
      <c r="C13" s="294">
        <f>'- 26 -'!C13</f>
        <v>0.203521486383899</v>
      </c>
      <c r="D13" s="288">
        <f>'- 26 -'!D13</f>
        <v>21.851042701092354</v>
      </c>
      <c r="E13" s="288">
        <f>SUM('- 37 -'!B13,'- 37 -'!E13,'- 37 -'!H13,B13)</f>
        <v>1987054</v>
      </c>
      <c r="F13" s="294">
        <f>E13/'- 3 -'!D13*100</f>
        <v>2.2973560693798403</v>
      </c>
      <c r="G13" s="288">
        <f>E13/'- 7 -'!E13</f>
        <v>246.6551638530288</v>
      </c>
    </row>
    <row r="14" spans="1:8" ht="14.1" customHeight="1">
      <c r="A14" s="18" t="s">
        <v>365</v>
      </c>
      <c r="B14" s="19">
        <f>'- 26 -'!B14</f>
        <v>114261</v>
      </c>
      <c r="C14" s="69">
        <f>'- 26 -'!C14</f>
        <v>0.14748448096320643</v>
      </c>
      <c r="D14" s="19">
        <f>'- 26 -'!D14</f>
        <v>21.805534351145038</v>
      </c>
      <c r="E14" s="19">
        <f>SUM('- 37 -'!B14,'- 37 -'!E14,'- 37 -'!H14,B14)</f>
        <v>3110681</v>
      </c>
      <c r="F14" s="69">
        <f>E14/'- 3 -'!D14*100</f>
        <v>4.0151685415593077</v>
      </c>
      <c r="G14" s="19">
        <f>E14/'- 7 -'!E14</f>
        <v>593.64141221374041</v>
      </c>
    </row>
    <row r="15" spans="1:8" ht="14.1" customHeight="1">
      <c r="A15" s="287" t="s">
        <v>114</v>
      </c>
      <c r="B15" s="288">
        <f>'- 26 -'!B15</f>
        <v>41576</v>
      </c>
      <c r="C15" s="294">
        <f>'- 26 -'!C15</f>
        <v>0.21150416618847273</v>
      </c>
      <c r="D15" s="288">
        <f>'- 26 -'!D15</f>
        <v>28.623752151462995</v>
      </c>
      <c r="E15" s="288">
        <f>SUM('- 37 -'!B15,'- 37 -'!E15,'- 37 -'!H15,B15)</f>
        <v>718954</v>
      </c>
      <c r="F15" s="294">
        <f>E15/'- 3 -'!D15*100</f>
        <v>3.6574409827272274</v>
      </c>
      <c r="G15" s="288">
        <f>E15/'- 7 -'!E15</f>
        <v>494.97693631669534</v>
      </c>
    </row>
    <row r="16" spans="1:8" ht="14.1" customHeight="1">
      <c r="A16" s="18" t="s">
        <v>115</v>
      </c>
      <c r="B16" s="19">
        <f>'- 26 -'!B16</f>
        <v>29625</v>
      </c>
      <c r="C16" s="69">
        <f>'- 26 -'!C16</f>
        <v>0.21756869607647078</v>
      </c>
      <c r="D16" s="19">
        <f>'- 26 -'!D16</f>
        <v>32.433763958835122</v>
      </c>
      <c r="E16" s="19">
        <f>SUM('- 37 -'!B16,'- 37 -'!E16,'- 37 -'!H16,B16)</f>
        <v>377378</v>
      </c>
      <c r="F16" s="69">
        <f>E16/'- 3 -'!D16*100</f>
        <v>2.7714983759644354</v>
      </c>
      <c r="G16" s="19">
        <f>E16/'- 7 -'!E16</f>
        <v>413.15743376395886</v>
      </c>
    </row>
    <row r="17" spans="1:7" ht="14.1" customHeight="1">
      <c r="A17" s="287" t="s">
        <v>116</v>
      </c>
      <c r="B17" s="288">
        <f>'- 26 -'!B17</f>
        <v>77946</v>
      </c>
      <c r="C17" s="294">
        <f>'- 26 -'!C17</f>
        <v>0.44891086159716342</v>
      </c>
      <c r="D17" s="288">
        <f>'- 26 -'!D17</f>
        <v>58.342814371257482</v>
      </c>
      <c r="E17" s="288">
        <f>SUM('- 37 -'!B17,'- 37 -'!E17,'- 37 -'!H17,B17)</f>
        <v>556331</v>
      </c>
      <c r="F17" s="294">
        <f>E17/'- 3 -'!D17*100</f>
        <v>3.204051889041279</v>
      </c>
      <c r="G17" s="288">
        <f>E17/'- 7 -'!E17</f>
        <v>416.41541916167665</v>
      </c>
    </row>
    <row r="18" spans="1:7" ht="14.1" customHeight="1">
      <c r="A18" s="18" t="s">
        <v>117</v>
      </c>
      <c r="B18" s="19">
        <f>'- 26 -'!B18</f>
        <v>1147953</v>
      </c>
      <c r="C18" s="69">
        <f>'- 26 -'!C18</f>
        <v>0.93960345915588928</v>
      </c>
      <c r="D18" s="19">
        <f>'- 26 -'!D18</f>
        <v>189.17302624965598</v>
      </c>
      <c r="E18" s="19">
        <f>SUM('- 37 -'!B18,'- 37 -'!E18,'- 37 -'!H18,B18)</f>
        <v>2283153</v>
      </c>
      <c r="F18" s="69">
        <f>E18/'- 3 -'!D18*100</f>
        <v>1.8687685441670054</v>
      </c>
      <c r="G18" s="19">
        <f>E18/'- 7 -'!E18</f>
        <v>376.24446506170619</v>
      </c>
    </row>
    <row r="19" spans="1:7" ht="14.1" customHeight="1">
      <c r="A19" s="287" t="s">
        <v>118</v>
      </c>
      <c r="B19" s="288">
        <f>'- 26 -'!B19</f>
        <v>48374</v>
      </c>
      <c r="C19" s="294">
        <f>'- 26 -'!C19</f>
        <v>0.11230649481130946</v>
      </c>
      <c r="D19" s="288">
        <f>'- 26 -'!D19</f>
        <v>11.475814295542428</v>
      </c>
      <c r="E19" s="288">
        <f>SUM('- 37 -'!B19,'- 37 -'!E19,'- 37 -'!H19,B19)</f>
        <v>1651577</v>
      </c>
      <c r="F19" s="294">
        <f>E19/'- 3 -'!D19*100</f>
        <v>3.8343495220775221</v>
      </c>
      <c r="G19" s="288">
        <f>E19/'- 7 -'!E19</f>
        <v>391.80532820914289</v>
      </c>
    </row>
    <row r="20" spans="1:7" ht="14.1" customHeight="1">
      <c r="A20" s="18" t="s">
        <v>119</v>
      </c>
      <c r="B20" s="19">
        <f>'- 26 -'!B20</f>
        <v>58093</v>
      </c>
      <c r="C20" s="69">
        <f>'- 26 -'!C20</f>
        <v>7.781345751553724E-2</v>
      </c>
      <c r="D20" s="19">
        <f>'- 26 -'!D20</f>
        <v>7.8812915479582148</v>
      </c>
      <c r="E20" s="19">
        <f>SUM('- 37 -'!B20,'- 37 -'!E20,'- 37 -'!H20,B20)</f>
        <v>2240195</v>
      </c>
      <c r="F20" s="69">
        <f>E20/'- 3 -'!D20*100</f>
        <v>3.0006596054433228</v>
      </c>
      <c r="G20" s="19">
        <f>E20/'- 7 -'!E20</f>
        <v>303.92009225342559</v>
      </c>
    </row>
    <row r="21" spans="1:7" ht="14.1" customHeight="1">
      <c r="A21" s="287" t="s">
        <v>120</v>
      </c>
      <c r="B21" s="288">
        <f>'- 26 -'!B21</f>
        <v>51157</v>
      </c>
      <c r="C21" s="294">
        <f>'- 26 -'!C21</f>
        <v>0.14695724924939968</v>
      </c>
      <c r="D21" s="288">
        <f>'- 26 -'!D21</f>
        <v>19.109824430332463</v>
      </c>
      <c r="E21" s="288">
        <f>SUM('- 37 -'!B21,'- 37 -'!E21,'- 37 -'!H21,B21)</f>
        <v>927278</v>
      </c>
      <c r="F21" s="294">
        <f>E21/'- 3 -'!D21*100</f>
        <v>2.6637649621651946</v>
      </c>
      <c r="G21" s="288">
        <f>E21/'- 7 -'!E21</f>
        <v>346.3870003735525</v>
      </c>
    </row>
    <row r="22" spans="1:7" ht="14.1" customHeight="1">
      <c r="A22" s="18" t="s">
        <v>121</v>
      </c>
      <c r="B22" s="19">
        <f>'- 26 -'!B22</f>
        <v>57225</v>
      </c>
      <c r="C22" s="69">
        <f>'- 26 -'!C22</f>
        <v>0.29441730763205293</v>
      </c>
      <c r="D22" s="19">
        <f>'- 26 -'!D22</f>
        <v>37.355571512500816</v>
      </c>
      <c r="E22" s="19">
        <f>SUM('- 37 -'!B22,'- 37 -'!E22,'- 37 -'!H22,B22)</f>
        <v>372169</v>
      </c>
      <c r="F22" s="69">
        <f>E22/'- 3 -'!D22*100</f>
        <v>1.9147749229202884</v>
      </c>
      <c r="G22" s="19">
        <f>E22/'- 7 -'!E22</f>
        <v>242.9460147529212</v>
      </c>
    </row>
    <row r="23" spans="1:7" ht="14.1" customHeight="1">
      <c r="A23" s="287" t="s">
        <v>122</v>
      </c>
      <c r="B23" s="288">
        <f>'- 26 -'!B23</f>
        <v>54240</v>
      </c>
      <c r="C23" s="294">
        <f>'- 26 -'!C23</f>
        <v>0.33386461962023395</v>
      </c>
      <c r="D23" s="288">
        <f>'- 26 -'!D23</f>
        <v>48.342245989304814</v>
      </c>
      <c r="E23" s="288">
        <f>SUM('- 37 -'!B23,'- 37 -'!E23,'- 37 -'!H23,B23)</f>
        <v>466449</v>
      </c>
      <c r="F23" s="294">
        <f>E23/'- 3 -'!D23*100</f>
        <v>2.8711433989166388</v>
      </c>
      <c r="G23" s="288">
        <f>E23/'- 7 -'!E23</f>
        <v>415.72994652406419</v>
      </c>
    </row>
    <row r="24" spans="1:7" ht="14.1" customHeight="1">
      <c r="A24" s="18" t="s">
        <v>123</v>
      </c>
      <c r="B24" s="19">
        <f>'- 26 -'!B24</f>
        <v>215324</v>
      </c>
      <c r="C24" s="69">
        <f>'- 26 -'!C24</f>
        <v>0.39711696081552716</v>
      </c>
      <c r="D24" s="19">
        <f>'- 26 -'!D24</f>
        <v>53.204516814509155</v>
      </c>
      <c r="E24" s="19">
        <f>SUM('- 37 -'!B24,'- 37 -'!E24,'- 37 -'!H24,B24)</f>
        <v>1742391</v>
      </c>
      <c r="F24" s="69">
        <f>E24/'- 3 -'!D24*100</f>
        <v>3.2134505139804537</v>
      </c>
      <c r="G24" s="19">
        <f>E24/'- 7 -'!E24</f>
        <v>430.52827950878407</v>
      </c>
    </row>
    <row r="25" spans="1:7" ht="14.1" customHeight="1">
      <c r="A25" s="287" t="s">
        <v>124</v>
      </c>
      <c r="B25" s="288">
        <f>'- 26 -'!B25</f>
        <v>375113</v>
      </c>
      <c r="C25" s="294">
        <f>'- 26 -'!C25</f>
        <v>0.23479863447449212</v>
      </c>
      <c r="D25" s="288">
        <f>'- 26 -'!D25</f>
        <v>26.998394979091543</v>
      </c>
      <c r="E25" s="288">
        <f>SUM('- 37 -'!B25,'- 37 -'!E25,'- 37 -'!H25,B25)</f>
        <v>3918058</v>
      </c>
      <c r="F25" s="294">
        <f>E25/'- 3 -'!D25*100</f>
        <v>2.452473436516089</v>
      </c>
      <c r="G25" s="288">
        <f>E25/'- 7 -'!E25</f>
        <v>281.99843096610743</v>
      </c>
    </row>
    <row r="26" spans="1:7" ht="14.1" customHeight="1">
      <c r="A26" s="18" t="s">
        <v>125</v>
      </c>
      <c r="B26" s="19">
        <f>'- 26 -'!B26</f>
        <v>22362</v>
      </c>
      <c r="C26" s="69">
        <f>'- 26 -'!C26</f>
        <v>5.7479918143167823E-2</v>
      </c>
      <c r="D26" s="19">
        <f>'- 26 -'!D26</f>
        <v>7.1961383748994372</v>
      </c>
      <c r="E26" s="19">
        <f>SUM('- 37 -'!B26,'- 37 -'!E26,'- 37 -'!H26,B26)</f>
        <v>1108463</v>
      </c>
      <c r="F26" s="69">
        <f>E26/'- 3 -'!D26*100</f>
        <v>2.849224689416431</v>
      </c>
      <c r="G26" s="19">
        <f>E26/'- 7 -'!E26</f>
        <v>356.70571198712793</v>
      </c>
    </row>
    <row r="27" spans="1:7" ht="14.1" customHeight="1">
      <c r="A27" s="287" t="s">
        <v>126</v>
      </c>
      <c r="B27" s="288">
        <f>'- 26 -'!B27</f>
        <v>156218</v>
      </c>
      <c r="C27" s="294">
        <f>'- 26 -'!C27</f>
        <v>0.40004979303393817</v>
      </c>
      <c r="D27" s="288">
        <f>'- 26 -'!D27</f>
        <v>54.669466316710412</v>
      </c>
      <c r="E27" s="288">
        <f>SUM('- 37 -'!B27,'- 37 -'!E27,'- 37 -'!H27,B27)</f>
        <v>644046</v>
      </c>
      <c r="F27" s="294">
        <f>E27/'- 3 -'!D27*100</f>
        <v>1.6493007784271707</v>
      </c>
      <c r="G27" s="288">
        <f>E27/'- 7 -'!E27</f>
        <v>225.38792650918634</v>
      </c>
    </row>
    <row r="28" spans="1:7" ht="14.1" customHeight="1">
      <c r="A28" s="18" t="s">
        <v>127</v>
      </c>
      <c r="B28" s="19">
        <f>'- 26 -'!B28</f>
        <v>67668</v>
      </c>
      <c r="C28" s="69">
        <f>'- 26 -'!C28</f>
        <v>0.24607766894611313</v>
      </c>
      <c r="D28" s="19">
        <f>'- 26 -'!D28</f>
        <v>33.817091454272862</v>
      </c>
      <c r="E28" s="19">
        <f>SUM('- 37 -'!B28,'- 37 -'!E28,'- 37 -'!H28,B28)</f>
        <v>847988</v>
      </c>
      <c r="F28" s="69">
        <f>E28/'- 3 -'!D28*100</f>
        <v>3.0837457932002805</v>
      </c>
      <c r="G28" s="19">
        <f>E28/'- 7 -'!E28</f>
        <v>423.78210894552723</v>
      </c>
    </row>
    <row r="29" spans="1:7" ht="14.1" customHeight="1">
      <c r="A29" s="287" t="s">
        <v>128</v>
      </c>
      <c r="B29" s="288">
        <f>'- 26 -'!B29</f>
        <v>728111</v>
      </c>
      <c r="C29" s="294">
        <f>'- 26 -'!C29</f>
        <v>0.49910357047377496</v>
      </c>
      <c r="D29" s="288">
        <f>'- 26 -'!D29</f>
        <v>58.543000032161579</v>
      </c>
      <c r="E29" s="288">
        <f>SUM('- 37 -'!B29,'- 37 -'!E29,'- 37 -'!H29,B29)</f>
        <v>4281045</v>
      </c>
      <c r="F29" s="294">
        <f>E29/'- 3 -'!D29*100</f>
        <v>2.9345592153653799</v>
      </c>
      <c r="G29" s="288">
        <f>E29/'- 7 -'!E29</f>
        <v>344.21292573891225</v>
      </c>
    </row>
    <row r="30" spans="1:7" ht="14.1" customHeight="1">
      <c r="A30" s="18" t="s">
        <v>129</v>
      </c>
      <c r="B30" s="19">
        <f>'- 26 -'!B30</f>
        <v>39805</v>
      </c>
      <c r="C30" s="69">
        <f>'- 26 -'!C30</f>
        <v>0.29276764979619901</v>
      </c>
      <c r="D30" s="19">
        <f>'- 26 -'!D30</f>
        <v>38.145663632007668</v>
      </c>
      <c r="E30" s="19">
        <f>SUM('- 37 -'!B30,'- 37 -'!E30,'- 37 -'!H30,B30)</f>
        <v>397754</v>
      </c>
      <c r="F30" s="69">
        <f>E30/'- 3 -'!D30*100</f>
        <v>2.9254994040205333</v>
      </c>
      <c r="G30" s="19">
        <f>E30/'- 7 -'!E30</f>
        <v>381.17297556300912</v>
      </c>
    </row>
    <row r="31" spans="1:7" ht="14.1" customHeight="1">
      <c r="A31" s="287" t="s">
        <v>130</v>
      </c>
      <c r="B31" s="288">
        <f>'- 26 -'!B31</f>
        <v>133398</v>
      </c>
      <c r="C31" s="294">
        <f>'- 26 -'!C31</f>
        <v>0.37735801020154869</v>
      </c>
      <c r="D31" s="288">
        <f>'- 26 -'!D31</f>
        <v>41.070812807881772</v>
      </c>
      <c r="E31" s="288">
        <f>SUM('- 37 -'!B31,'- 37 -'!E31,'- 37 -'!H31,B31)</f>
        <v>758379</v>
      </c>
      <c r="F31" s="294">
        <f>E31/'- 3 -'!D31*100</f>
        <v>2.145312451600776</v>
      </c>
      <c r="G31" s="288">
        <f>E31/'- 7 -'!E31</f>
        <v>233.49107142857142</v>
      </c>
    </row>
    <row r="32" spans="1:7" ht="14.1" customHeight="1">
      <c r="A32" s="18" t="s">
        <v>131</v>
      </c>
      <c r="B32" s="19">
        <f>'- 26 -'!B32</f>
        <v>54144</v>
      </c>
      <c r="C32" s="69">
        <f>'- 26 -'!C32</f>
        <v>0.205048182952484</v>
      </c>
      <c r="D32" s="19">
        <f>'- 26 -'!D32</f>
        <v>25.856733524355302</v>
      </c>
      <c r="E32" s="19">
        <f>SUM('- 37 -'!B32,'- 37 -'!E32,'- 37 -'!H32,B32)</f>
        <v>746803</v>
      </c>
      <c r="F32" s="69">
        <f>E32/'- 3 -'!D32*100</f>
        <v>2.8282099248940589</v>
      </c>
      <c r="G32" s="19">
        <f>E32/'- 7 -'!E32</f>
        <v>356.63944603629415</v>
      </c>
    </row>
    <row r="33" spans="1:7" ht="14.1" customHeight="1">
      <c r="A33" s="287" t="s">
        <v>132</v>
      </c>
      <c r="B33" s="288">
        <f>'- 26 -'!B33</f>
        <v>64086</v>
      </c>
      <c r="C33" s="294">
        <f>'- 26 -'!C33</f>
        <v>0.24318404667725124</v>
      </c>
      <c r="D33" s="288">
        <f>'- 26 -'!D33</f>
        <v>31.939197607774734</v>
      </c>
      <c r="E33" s="288">
        <f>SUM('- 37 -'!B33,'- 37 -'!E33,'- 37 -'!H33,B33)</f>
        <v>840290</v>
      </c>
      <c r="F33" s="294">
        <f>E33/'- 3 -'!D33*100</f>
        <v>3.1886078485539344</v>
      </c>
      <c r="G33" s="288">
        <f>E33/'- 7 -'!E33</f>
        <v>418.78395215549466</v>
      </c>
    </row>
    <row r="34" spans="1:7" ht="14.1" customHeight="1">
      <c r="A34" s="18" t="s">
        <v>133</v>
      </c>
      <c r="B34" s="19">
        <f>'- 26 -'!B34</f>
        <v>30493</v>
      </c>
      <c r="C34" s="69">
        <f>'- 26 -'!C34</f>
        <v>0.11503617020433793</v>
      </c>
      <c r="D34" s="19">
        <f>'- 26 -'!D34</f>
        <v>15.317265767847456</v>
      </c>
      <c r="E34" s="19">
        <f>SUM('- 37 -'!B34,'- 37 -'!E34,'- 37 -'!H34,B34)</f>
        <v>869775</v>
      </c>
      <c r="F34" s="69">
        <f>E34/'- 3 -'!D34*100</f>
        <v>3.2812640586192905</v>
      </c>
      <c r="G34" s="19">
        <f>E34/'- 7 -'!E34</f>
        <v>436.90600574654906</v>
      </c>
    </row>
    <row r="35" spans="1:7" ht="14.1" customHeight="1">
      <c r="A35" s="287" t="s">
        <v>134</v>
      </c>
      <c r="B35" s="288">
        <f>'- 26 -'!B35</f>
        <v>1016479</v>
      </c>
      <c r="C35" s="294">
        <f>'- 26 -'!C35</f>
        <v>0.58166623621140712</v>
      </c>
      <c r="D35" s="288">
        <f>'- 26 -'!D35</f>
        <v>65.372628464853051</v>
      </c>
      <c r="E35" s="288">
        <f>SUM('- 37 -'!B35,'- 37 -'!E35,'- 37 -'!H35,B35)</f>
        <v>3578312</v>
      </c>
      <c r="F35" s="294">
        <f>E35/'- 3 -'!D35*100</f>
        <v>2.0476402100093685</v>
      </c>
      <c r="G35" s="288">
        <f>E35/'- 7 -'!E35</f>
        <v>230.13132677342594</v>
      </c>
    </row>
    <row r="36" spans="1:7" ht="14.1" customHeight="1">
      <c r="A36" s="18" t="s">
        <v>135</v>
      </c>
      <c r="B36" s="19">
        <f>'- 26 -'!B36</f>
        <v>37656</v>
      </c>
      <c r="C36" s="69">
        <f>'- 26 -'!C36</f>
        <v>0.17245227817354827</v>
      </c>
      <c r="D36" s="19">
        <f>'- 26 -'!D36</f>
        <v>22.835657974530019</v>
      </c>
      <c r="E36" s="19">
        <f>SUM('- 37 -'!B36,'- 37 -'!E36,'- 37 -'!H36,B36)</f>
        <v>670992</v>
      </c>
      <c r="F36" s="69">
        <f>E36/'- 3 -'!D36*100</f>
        <v>3.0729259357400016</v>
      </c>
      <c r="G36" s="19">
        <f>E36/'- 7 -'!E36</f>
        <v>406.90842935112187</v>
      </c>
    </row>
    <row r="37" spans="1:7" ht="14.1" customHeight="1">
      <c r="A37" s="287" t="s">
        <v>136</v>
      </c>
      <c r="B37" s="288">
        <f>'- 26 -'!B37</f>
        <v>243403</v>
      </c>
      <c r="C37" s="294">
        <f>'- 26 -'!C37</f>
        <v>0.54001228745764374</v>
      </c>
      <c r="D37" s="288">
        <f>'- 26 -'!D37</f>
        <v>61.574247407032637</v>
      </c>
      <c r="E37" s="288">
        <f>SUM('- 37 -'!B37,'- 37 -'!E37,'- 37 -'!H37,B37)</f>
        <v>1488009</v>
      </c>
      <c r="F37" s="294">
        <f>E37/'- 3 -'!D37*100</f>
        <v>3.301286935031865</v>
      </c>
      <c r="G37" s="288">
        <f>E37/'- 7 -'!E37</f>
        <v>376.42524664811538</v>
      </c>
    </row>
    <row r="38" spans="1:7" ht="14.1" customHeight="1">
      <c r="A38" s="18" t="s">
        <v>137</v>
      </c>
      <c r="B38" s="19">
        <f>'- 26 -'!B38</f>
        <v>479152</v>
      </c>
      <c r="C38" s="69">
        <f>'- 26 -'!C38</f>
        <v>0.39257771572520395</v>
      </c>
      <c r="D38" s="19">
        <f>'- 26 -'!D38</f>
        <v>45.478895564604152</v>
      </c>
      <c r="E38" s="19">
        <f>SUM('- 37 -'!B38,'- 37 -'!E38,'- 37 -'!H38,B38)</f>
        <v>2793241</v>
      </c>
      <c r="F38" s="69">
        <f>E38/'- 3 -'!D38*100</f>
        <v>2.2885517982810977</v>
      </c>
      <c r="G38" s="19">
        <f>E38/'- 7 -'!E38</f>
        <v>265.12153914784966</v>
      </c>
    </row>
    <row r="39" spans="1:7" ht="14.1" customHeight="1">
      <c r="A39" s="287" t="s">
        <v>138</v>
      </c>
      <c r="B39" s="288">
        <f>'- 26 -'!B39</f>
        <v>58340</v>
      </c>
      <c r="C39" s="294">
        <f>'- 26 -'!C39</f>
        <v>0.28895186549285706</v>
      </c>
      <c r="D39" s="288">
        <f>'- 26 -'!D39</f>
        <v>37.723892660847071</v>
      </c>
      <c r="E39" s="288">
        <f>SUM('- 37 -'!B39,'- 37 -'!E39,'- 37 -'!H39,B39)</f>
        <v>603989</v>
      </c>
      <c r="F39" s="294">
        <f>E39/'- 3 -'!D39*100</f>
        <v>2.9914937999171283</v>
      </c>
      <c r="G39" s="288">
        <f>E39/'- 7 -'!E39</f>
        <v>390.55221467830586</v>
      </c>
    </row>
    <row r="40" spans="1:7" ht="14.1" customHeight="1">
      <c r="A40" s="18" t="s">
        <v>139</v>
      </c>
      <c r="B40" s="19">
        <f>'- 26 -'!B40</f>
        <v>407136</v>
      </c>
      <c r="C40" s="69">
        <f>'- 26 -'!C40</f>
        <v>0.41640706597183536</v>
      </c>
      <c r="D40" s="19">
        <f>'- 26 -'!D40</f>
        <v>51.636861730461909</v>
      </c>
      <c r="E40" s="19">
        <f>SUM('- 37 -'!B40,'- 37 -'!E40,'- 37 -'!H40,B40)</f>
        <v>2344317</v>
      </c>
      <c r="F40" s="69">
        <f>E40/'- 3 -'!D40*100</f>
        <v>2.3977004334617793</v>
      </c>
      <c r="G40" s="19">
        <f>E40/'- 7 -'!E40</f>
        <v>297.32858990944374</v>
      </c>
    </row>
    <row r="41" spans="1:7" ht="14.1" customHeight="1">
      <c r="A41" s="287" t="s">
        <v>140</v>
      </c>
      <c r="B41" s="288">
        <f>'- 26 -'!B41</f>
        <v>155048</v>
      </c>
      <c r="C41" s="294">
        <f>'- 26 -'!C41</f>
        <v>0.25950260416440019</v>
      </c>
      <c r="D41" s="288">
        <f>'- 26 -'!D41</f>
        <v>35.598209160831132</v>
      </c>
      <c r="E41" s="288">
        <f>SUM('- 37 -'!B41,'- 37 -'!E41,'- 37 -'!H41,B41)</f>
        <v>1435445</v>
      </c>
      <c r="F41" s="294">
        <f>E41/'- 3 -'!D41*100</f>
        <v>2.4024928772687648</v>
      </c>
      <c r="G41" s="288">
        <f>E41/'- 7 -'!E41</f>
        <v>329.57065778900244</v>
      </c>
    </row>
    <row r="42" spans="1:7" ht="14.1" customHeight="1">
      <c r="A42" s="18" t="s">
        <v>141</v>
      </c>
      <c r="B42" s="19">
        <f>'- 26 -'!B42</f>
        <v>38724</v>
      </c>
      <c r="C42" s="69">
        <f>'- 26 -'!C42</f>
        <v>0.19459831383304857</v>
      </c>
      <c r="D42" s="19">
        <f>'- 26 -'!D42</f>
        <v>27.475521498510002</v>
      </c>
      <c r="E42" s="19">
        <f>SUM('- 37 -'!B42,'- 37 -'!E42,'- 37 -'!H42,B42)</f>
        <v>603292</v>
      </c>
      <c r="F42" s="69">
        <f>E42/'- 3 -'!D42*100</f>
        <v>3.0317014241547242</v>
      </c>
      <c r="G42" s="19">
        <f>E42/'- 7 -'!E42</f>
        <v>428.04881509862349</v>
      </c>
    </row>
    <row r="43" spans="1:7" ht="14.1" customHeight="1">
      <c r="A43" s="287" t="s">
        <v>142</v>
      </c>
      <c r="B43" s="288">
        <f>'- 26 -'!B43</f>
        <v>20048</v>
      </c>
      <c r="C43" s="294">
        <f>'- 26 -'!C43</f>
        <v>0.15652058365126575</v>
      </c>
      <c r="D43" s="288">
        <f>'- 26 -'!D43</f>
        <v>20.813305233433343</v>
      </c>
      <c r="E43" s="288">
        <f>SUM('- 37 -'!B43,'- 37 -'!E43,'- 37 -'!H43,B43)</f>
        <v>426907</v>
      </c>
      <c r="F43" s="294">
        <f>E43/'- 3 -'!D43*100</f>
        <v>3.3329874703117977</v>
      </c>
      <c r="G43" s="288">
        <f>E43/'- 7 -'!E43</f>
        <v>443.203596233506</v>
      </c>
    </row>
    <row r="44" spans="1:7" ht="14.1" customHeight="1">
      <c r="A44" s="18" t="s">
        <v>143</v>
      </c>
      <c r="B44" s="19">
        <f>'- 26 -'!B44</f>
        <v>5626</v>
      </c>
      <c r="C44" s="69">
        <f>'- 26 -'!C44</f>
        <v>5.3362946954992246E-2</v>
      </c>
      <c r="D44" s="19">
        <f>'- 26 -'!D44</f>
        <v>8.0949640287769782</v>
      </c>
      <c r="E44" s="19">
        <f>SUM('- 37 -'!B44,'- 37 -'!E44,'- 37 -'!H44,B44)</f>
        <v>356951</v>
      </c>
      <c r="F44" s="69">
        <f>E44/'- 3 -'!D44*100</f>
        <v>3.3857016136742697</v>
      </c>
      <c r="G44" s="19">
        <f>E44/'- 7 -'!E44</f>
        <v>513.59856115107914</v>
      </c>
    </row>
    <row r="45" spans="1:7" ht="14.1" customHeight="1">
      <c r="A45" s="287" t="s">
        <v>144</v>
      </c>
      <c r="B45" s="288">
        <f>'- 26 -'!B45</f>
        <v>55222</v>
      </c>
      <c r="C45" s="294">
        <f>'- 26 -'!C45</f>
        <v>0.31623719542012124</v>
      </c>
      <c r="D45" s="288">
        <f>'- 26 -'!D45</f>
        <v>34.363410080896081</v>
      </c>
      <c r="E45" s="288">
        <f>SUM('- 37 -'!B45,'- 37 -'!E45,'- 37 -'!H45,B45)</f>
        <v>531287</v>
      </c>
      <c r="F45" s="294">
        <f>E45/'- 3 -'!D45*100</f>
        <v>3.0424959408056562</v>
      </c>
      <c r="G45" s="288">
        <f>E45/'- 7 -'!E45</f>
        <v>330.60796515245801</v>
      </c>
    </row>
    <row r="46" spans="1:7" ht="14.1" customHeight="1">
      <c r="A46" s="18" t="s">
        <v>145</v>
      </c>
      <c r="B46" s="19">
        <f>'- 26 -'!B46</f>
        <v>1229535</v>
      </c>
      <c r="C46" s="69">
        <f>'- 26 -'!C46</f>
        <v>0.33435222153513294</v>
      </c>
      <c r="D46" s="19">
        <f>'- 26 -'!D46</f>
        <v>41.116071428571431</v>
      </c>
      <c r="E46" s="19">
        <f>SUM('- 37 -'!B46,'- 37 -'!E46,'- 37 -'!H46,B46)</f>
        <v>8444443</v>
      </c>
      <c r="F46" s="69">
        <f>E46/'- 3 -'!D46*100</f>
        <v>2.2963301383667827</v>
      </c>
      <c r="G46" s="19">
        <f>E46/'- 7 -'!E46</f>
        <v>282.38506554307116</v>
      </c>
    </row>
    <row r="47" spans="1:7" ht="5.0999999999999996" customHeight="1">
      <c r="A47" s="20"/>
      <c r="B47" s="21"/>
      <c r="C47"/>
      <c r="D47"/>
      <c r="E47"/>
      <c r="F47"/>
      <c r="G47"/>
    </row>
    <row r="48" spans="1:7" ht="14.1" customHeight="1">
      <c r="A48" s="289" t="s">
        <v>146</v>
      </c>
      <c r="B48" s="290">
        <f>SUM(B11:B46)</f>
        <v>7586858</v>
      </c>
      <c r="C48" s="297">
        <f>'- 26 -'!C48</f>
        <v>0.35493128754401926</v>
      </c>
      <c r="D48" s="290">
        <f>'- 26 -'!D48</f>
        <v>43.983045079667789</v>
      </c>
      <c r="E48" s="290">
        <f>SUM('- 37 -'!B48,'- 37 -'!E48,'- 37 -'!H48,B48)</f>
        <v>55793187</v>
      </c>
      <c r="F48" s="297">
        <f>E48/'- 3 -'!D48*100</f>
        <v>2.610138175525921</v>
      </c>
      <c r="G48" s="290">
        <f>E48/'- 7 -'!E48</f>
        <v>323.44802801888937</v>
      </c>
    </row>
    <row r="49" spans="1:8" ht="5.0999999999999996" customHeight="1">
      <c r="A49" s="20" t="s">
        <v>8</v>
      </c>
      <c r="B49" s="21"/>
      <c r="C49"/>
      <c r="D49"/>
      <c r="E49"/>
      <c r="F49"/>
      <c r="G49"/>
    </row>
    <row r="50" spans="1:8" ht="14.1" customHeight="1">
      <c r="A50" s="18" t="s">
        <v>147</v>
      </c>
      <c r="B50" s="19">
        <f>'- 26 -'!B50</f>
        <v>0</v>
      </c>
      <c r="C50" s="69">
        <f>'- 26 -'!C50</f>
        <v>0</v>
      </c>
      <c r="D50" s="19">
        <f>'- 26 -'!D50</f>
        <v>0</v>
      </c>
      <c r="E50" s="19">
        <f>SUM('- 37 -'!B50,'- 37 -'!E50,'- 37 -'!H50,B50)</f>
        <v>87906</v>
      </c>
      <c r="F50" s="69">
        <f>E50/'- 3 -'!D50*100</f>
        <v>2.7062763778516707</v>
      </c>
      <c r="G50" s="19">
        <f>E50/'- 7 -'!E50</f>
        <v>528.28125</v>
      </c>
    </row>
    <row r="51" spans="1:8" ht="14.1" customHeight="1">
      <c r="A51" s="287" t="s">
        <v>643</v>
      </c>
      <c r="B51" s="288">
        <f>'- 26 -'!B51</f>
        <v>923459</v>
      </c>
      <c r="C51" s="294">
        <f>'- 26 -'!C51</f>
        <v>4.1417338691140531</v>
      </c>
      <c r="D51" s="288">
        <f>'- 26 -'!D51</f>
        <v>1242.878869448183</v>
      </c>
      <c r="E51" s="288">
        <f>SUM('- 37 -'!B51,'- 37 -'!E51,'- 37 -'!H51,B51)</f>
        <v>1199566</v>
      </c>
      <c r="F51" s="294">
        <f>E51/'- 3 -'!D51*100</f>
        <v>5.3800798199353395</v>
      </c>
      <c r="G51" s="288">
        <f>E51/'- 7 -'!E51</f>
        <v>1614.4899057873486</v>
      </c>
    </row>
    <row r="52" spans="1:8" ht="50.1" customHeight="1">
      <c r="A52" s="22"/>
      <c r="B52" s="22"/>
      <c r="C52" s="22"/>
      <c r="D52" s="22"/>
      <c r="E52" s="22"/>
      <c r="F52" s="22"/>
      <c r="G52" s="22"/>
      <c r="H52" s="22"/>
    </row>
    <row r="53" spans="1:8" ht="15" customHeight="1">
      <c r="A53" s="132" t="s">
        <v>353</v>
      </c>
    </row>
    <row r="54" spans="1:8" ht="12" customHeight="1">
      <c r="A54" s="132" t="s">
        <v>436</v>
      </c>
      <c r="B54" s="129"/>
      <c r="C54" s="129"/>
      <c r="D54" s="129"/>
    </row>
  </sheetData>
  <mergeCells count="4">
    <mergeCell ref="D8:D9"/>
    <mergeCell ref="G8:G9"/>
    <mergeCell ref="E7:G7"/>
    <mergeCell ref="B6:D7"/>
  </mergeCells>
  <phoneticPr fontId="6" type="noConversion"/>
  <pageMargins left="0.5" right="0.5" top="0.6" bottom="0.2" header="0.3" footer="0.5"/>
  <pageSetup orientation="portrait" r:id="rId1"/>
  <headerFooter alignWithMargins="0">
    <oddHeader>&amp;C&amp;"Arial,Regular"&amp;11&amp;A</oddHeader>
  </headerFooter>
</worksheet>
</file>

<file path=xl/worksheets/sheet35.xml><?xml version="1.0" encoding="utf-8"?>
<worksheet xmlns="http://schemas.openxmlformats.org/spreadsheetml/2006/main" xmlns:r="http://schemas.openxmlformats.org/officeDocument/2006/relationships">
  <sheetPr codeName="Sheet35">
    <pageSetUpPr fitToPage="1"/>
  </sheetPr>
  <dimension ref="A1:M55"/>
  <sheetViews>
    <sheetView showGridLines="0" showZeros="0" workbookViewId="0"/>
  </sheetViews>
  <sheetFormatPr defaultColWidth="14.83203125" defaultRowHeight="12"/>
  <cols>
    <col min="1" max="1" width="31.83203125" style="1" customWidth="1"/>
    <col min="2" max="2" width="15.83203125" style="1" customWidth="1"/>
    <col min="3" max="3" width="13.83203125" style="1" customWidth="1"/>
    <col min="4" max="5" width="14.83203125" style="1" customWidth="1"/>
    <col min="6" max="6" width="12.83203125" style="1" customWidth="1"/>
    <col min="7" max="7" width="16.83203125" style="1" customWidth="1"/>
    <col min="8" max="8" width="11.83203125" style="1" customWidth="1"/>
    <col min="9" max="10" width="14.83203125" style="1"/>
    <col min="11" max="11" width="19.5" style="1" customWidth="1"/>
    <col min="12" max="16384" width="14.83203125" style="1"/>
  </cols>
  <sheetData>
    <row r="1" spans="1:13" ht="6.95" customHeight="1">
      <c r="A1" s="6"/>
      <c r="J1" s="499">
        <v>100.00000000000003</v>
      </c>
    </row>
    <row r="2" spans="1:13" ht="15.95" customHeight="1">
      <c r="A2" s="203" t="str">
        <f>"  SUMMARY"&amp;REPLACE(REVYEAR,1,8,"")</f>
        <v xml:space="preserve">  SUMMARY OF OPERATING FUND REVENUE: 2014/2015 ACTUAL</v>
      </c>
      <c r="B2" s="40"/>
      <c r="C2" s="40"/>
      <c r="D2" s="40"/>
      <c r="E2" s="40"/>
      <c r="F2" s="40"/>
      <c r="G2" s="40"/>
      <c r="H2" s="40"/>
    </row>
    <row r="3" spans="1:13" ht="15.95" customHeight="1">
      <c r="A3" s="542"/>
    </row>
    <row r="4" spans="1:13" ht="15.95" customHeight="1">
      <c r="B4" s="7"/>
      <c r="C4" s="68"/>
      <c r="D4" s="68"/>
      <c r="E4" s="7"/>
      <c r="F4" s="7"/>
      <c r="G4" s="7"/>
      <c r="H4" s="7"/>
    </row>
    <row r="5" spans="1:13" ht="15.95" customHeight="1">
      <c r="B5" s="7"/>
      <c r="C5" s="7"/>
      <c r="D5" s="7"/>
      <c r="E5" s="7"/>
      <c r="F5" s="7"/>
      <c r="G5" s="7"/>
      <c r="H5" s="7"/>
    </row>
    <row r="6" spans="1:13" ht="15.95" customHeight="1">
      <c r="B6" s="205" t="s">
        <v>55</v>
      </c>
      <c r="C6" s="172"/>
      <c r="D6" s="172"/>
      <c r="E6" s="172"/>
      <c r="F6" s="172"/>
      <c r="G6" s="172"/>
      <c r="H6" s="173"/>
    </row>
    <row r="7" spans="1:13" ht="15.95" customHeight="1">
      <c r="B7" s="679" t="s">
        <v>59</v>
      </c>
      <c r="C7" s="680"/>
      <c r="D7" s="681"/>
      <c r="E7" s="624" t="s">
        <v>545</v>
      </c>
      <c r="F7" s="306" t="s">
        <v>8</v>
      </c>
      <c r="G7" s="622" t="s">
        <v>544</v>
      </c>
      <c r="H7" s="306" t="s">
        <v>8</v>
      </c>
    </row>
    <row r="8" spans="1:13" ht="15.95" customHeight="1">
      <c r="A8" s="32"/>
      <c r="B8" s="341"/>
      <c r="C8" s="375"/>
      <c r="D8" s="375"/>
      <c r="E8" s="701"/>
      <c r="F8" s="701" t="s">
        <v>62</v>
      </c>
      <c r="G8" s="701"/>
      <c r="H8" s="353" t="s">
        <v>8</v>
      </c>
      <c r="K8" s="514"/>
      <c r="L8" s="514"/>
      <c r="M8" s="514"/>
    </row>
    <row r="9" spans="1:13" ht="15.95" customHeight="1">
      <c r="A9" s="81" t="s">
        <v>43</v>
      </c>
      <c r="B9" s="310" t="s">
        <v>249</v>
      </c>
      <c r="C9" s="310" t="s">
        <v>57</v>
      </c>
      <c r="D9" s="310" t="s">
        <v>58</v>
      </c>
      <c r="E9" s="623"/>
      <c r="F9" s="623"/>
      <c r="G9" s="623"/>
      <c r="H9" s="310" t="s">
        <v>25</v>
      </c>
      <c r="J9" s="500" t="s">
        <v>86</v>
      </c>
      <c r="K9" s="514"/>
      <c r="L9" s="514"/>
      <c r="M9" s="514"/>
    </row>
    <row r="10" spans="1:13" ht="5.0999999999999996" customHeight="1">
      <c r="A10" s="5"/>
      <c r="B10" s="206"/>
      <c r="C10" s="206"/>
      <c r="D10" s="206"/>
      <c r="E10" s="206"/>
      <c r="F10" s="206"/>
      <c r="G10" s="206"/>
      <c r="H10" s="206"/>
      <c r="K10" s="514"/>
      <c r="L10" s="514"/>
      <c r="M10" s="514"/>
    </row>
    <row r="11" spans="1:13" ht="14.1" customHeight="1">
      <c r="A11" s="287" t="s">
        <v>111</v>
      </c>
      <c r="B11" s="294">
        <f>'- 41 -'!I11</f>
        <v>64.980739861383384</v>
      </c>
      <c r="C11" s="294">
        <f>'- 42 -'!C11</f>
        <v>0</v>
      </c>
      <c r="D11" s="294">
        <f>'- 42 -'!E11</f>
        <v>34.127339082699685</v>
      </c>
      <c r="E11" s="294">
        <f>'- 42 -'!G11</f>
        <v>0.17451249487089879</v>
      </c>
      <c r="F11" s="294">
        <f>'- 42 -'!I11</f>
        <v>0</v>
      </c>
      <c r="G11" s="294">
        <f>'- 43 -'!C11</f>
        <v>0.16551838936601398</v>
      </c>
      <c r="H11" s="294">
        <f>'- 43 -'!E11</f>
        <v>0.55189017168002286</v>
      </c>
      <c r="J11" s="130">
        <f>SUM(B11:H11)</f>
        <v>100.00000000000001</v>
      </c>
      <c r="K11" s="499" t="s">
        <v>61</v>
      </c>
      <c r="L11" s="553">
        <f>B48</f>
        <v>63.203791978745663</v>
      </c>
      <c r="M11" s="514"/>
    </row>
    <row r="12" spans="1:13" ht="14.1" customHeight="1">
      <c r="A12" s="18" t="s">
        <v>112</v>
      </c>
      <c r="B12" s="69">
        <f>'- 41 -'!I12</f>
        <v>65.34621574424709</v>
      </c>
      <c r="C12" s="69">
        <f>'- 42 -'!C12</f>
        <v>4.6915363638962565E-2</v>
      </c>
      <c r="D12" s="69">
        <f>'- 42 -'!E12</f>
        <v>26.942526682568779</v>
      </c>
      <c r="E12" s="69">
        <f>'- 42 -'!G12</f>
        <v>1.8953921022911682</v>
      </c>
      <c r="F12" s="69">
        <f>'- 42 -'!I12</f>
        <v>3.7615322966768678</v>
      </c>
      <c r="G12" s="69">
        <f>'- 43 -'!C12</f>
        <v>0.40573095956347899</v>
      </c>
      <c r="H12" s="69">
        <f>'- 43 -'!E12</f>
        <v>1.6016868510136457</v>
      </c>
      <c r="J12" s="130">
        <f t="shared" ref="J12:J46" si="0">SUM(B12:H12)</f>
        <v>99.999999999999986</v>
      </c>
      <c r="K12" s="499" t="s">
        <v>57</v>
      </c>
      <c r="L12" s="553">
        <f>C48</f>
        <v>0.24518970879341814</v>
      </c>
      <c r="M12" s="514"/>
    </row>
    <row r="13" spans="1:13" ht="14.1" customHeight="1">
      <c r="A13" s="287" t="s">
        <v>113</v>
      </c>
      <c r="B13" s="294">
        <f>'- 41 -'!I13</f>
        <v>61.78664461615174</v>
      </c>
      <c r="C13" s="294">
        <f>'- 42 -'!C13</f>
        <v>2.2540400705064984E-2</v>
      </c>
      <c r="D13" s="294">
        <f>'- 42 -'!E13</f>
        <v>36.721424386358628</v>
      </c>
      <c r="E13" s="294">
        <f>'- 42 -'!G13</f>
        <v>0.33574438015946073</v>
      </c>
      <c r="F13" s="294">
        <f>'- 42 -'!I13</f>
        <v>0.14609518975505081</v>
      </c>
      <c r="G13" s="294">
        <f>'- 43 -'!C13</f>
        <v>0.86838355784242838</v>
      </c>
      <c r="H13" s="294">
        <f>'- 43 -'!E13</f>
        <v>0.11916746902762446</v>
      </c>
      <c r="J13" s="130">
        <f t="shared" si="0"/>
        <v>100</v>
      </c>
      <c r="K13" s="499" t="s">
        <v>58</v>
      </c>
      <c r="L13" s="553">
        <f>D48</f>
        <v>30.473607675457711</v>
      </c>
      <c r="M13" s="514"/>
    </row>
    <row r="14" spans="1:13" ht="14.1" customHeight="1">
      <c r="A14" s="18" t="s">
        <v>365</v>
      </c>
      <c r="B14" s="69">
        <f>'- 41 -'!I14</f>
        <v>73.78552012668105</v>
      </c>
      <c r="C14" s="69">
        <f>'- 42 -'!C14</f>
        <v>7.1500063379644957E-2</v>
      </c>
      <c r="D14" s="69">
        <f>'- 42 -'!E14</f>
        <v>24.072588590641757</v>
      </c>
      <c r="E14" s="69">
        <f>'- 42 -'!G14</f>
        <v>1.7827832869800668</v>
      </c>
      <c r="F14" s="69">
        <f>'- 42 -'!I14</f>
        <v>0</v>
      </c>
      <c r="G14" s="69">
        <f>'- 43 -'!C14</f>
        <v>0.21371527945375771</v>
      </c>
      <c r="H14" s="69">
        <f>'- 43 -'!E14</f>
        <v>7.3892652863722028E-2</v>
      </c>
      <c r="J14" s="130">
        <f t="shared" si="0"/>
        <v>99.999999999999986</v>
      </c>
      <c r="K14" s="499" t="s">
        <v>71</v>
      </c>
      <c r="L14" s="553">
        <f>E48</f>
        <v>0.57166206607397207</v>
      </c>
      <c r="M14" s="514"/>
    </row>
    <row r="15" spans="1:13" ht="14.1" customHeight="1">
      <c r="A15" s="287" t="s">
        <v>114</v>
      </c>
      <c r="B15" s="294">
        <f>'- 41 -'!I15</f>
        <v>63.430597374292951</v>
      </c>
      <c r="C15" s="294">
        <f>'- 42 -'!C15</f>
        <v>0</v>
      </c>
      <c r="D15" s="294">
        <f>'- 42 -'!E15</f>
        <v>34.765392853189589</v>
      </c>
      <c r="E15" s="294">
        <f>'- 42 -'!G15</f>
        <v>0.2509563883773594</v>
      </c>
      <c r="F15" s="294">
        <f>'- 42 -'!I15</f>
        <v>0.69365451686816348</v>
      </c>
      <c r="G15" s="294">
        <f>'- 43 -'!C15</f>
        <v>0.48689173704084837</v>
      </c>
      <c r="H15" s="294">
        <f>'- 43 -'!E15</f>
        <v>0.37250713023109538</v>
      </c>
      <c r="J15" s="130">
        <f t="shared" si="0"/>
        <v>100.00000000000001</v>
      </c>
      <c r="K15" s="499" t="s">
        <v>62</v>
      </c>
      <c r="L15" s="553">
        <f>F48</f>
        <v>4.0809853820598567</v>
      </c>
      <c r="M15" s="514"/>
    </row>
    <row r="16" spans="1:13" ht="14.1" customHeight="1">
      <c r="A16" s="18" t="s">
        <v>115</v>
      </c>
      <c r="B16" s="69">
        <f>'- 41 -'!I16</f>
        <v>73.918811289261242</v>
      </c>
      <c r="C16" s="69">
        <f>'- 42 -'!C16</f>
        <v>0</v>
      </c>
      <c r="D16" s="69">
        <f>'- 42 -'!E16</f>
        <v>22.333781001446752</v>
      </c>
      <c r="E16" s="69">
        <f>'- 42 -'!G16</f>
        <v>2.0456670197570097</v>
      </c>
      <c r="F16" s="69">
        <f>'- 42 -'!I16</f>
        <v>0</v>
      </c>
      <c r="G16" s="69">
        <f>'- 43 -'!C16</f>
        <v>1.4796620535642635</v>
      </c>
      <c r="H16" s="69">
        <f>'- 43 -'!E16</f>
        <v>0.22207863597073479</v>
      </c>
      <c r="J16" s="130">
        <f t="shared" si="0"/>
        <v>100</v>
      </c>
      <c r="K16" s="499" t="s">
        <v>54</v>
      </c>
      <c r="L16" s="553">
        <f>G48</f>
        <v>1.0413805248352064</v>
      </c>
      <c r="M16" s="514"/>
    </row>
    <row r="17" spans="1:13" ht="14.1" customHeight="1">
      <c r="A17" s="287" t="s">
        <v>116</v>
      </c>
      <c r="B17" s="294">
        <f>'- 41 -'!I17</f>
        <v>55.066743466574721</v>
      </c>
      <c r="C17" s="294">
        <f>'- 42 -'!C17</f>
        <v>0</v>
      </c>
      <c r="D17" s="294">
        <f>'- 42 -'!E17</f>
        <v>36.692387452824185</v>
      </c>
      <c r="E17" s="294">
        <f>'- 42 -'!G17</f>
        <v>0.14182842344953772</v>
      </c>
      <c r="F17" s="294">
        <f>'- 42 -'!I17</f>
        <v>5.0407910639737441</v>
      </c>
      <c r="G17" s="294">
        <f>'- 43 -'!C17</f>
        <v>0</v>
      </c>
      <c r="H17" s="294">
        <f>'- 43 -'!E17</f>
        <v>3.0582495931778109</v>
      </c>
      <c r="J17" s="130">
        <f t="shared" si="0"/>
        <v>99.999999999999986</v>
      </c>
      <c r="K17" s="501" t="s">
        <v>25</v>
      </c>
      <c r="L17" s="553">
        <f>H48</f>
        <v>0.38338266403418203</v>
      </c>
      <c r="M17" s="514"/>
    </row>
    <row r="18" spans="1:13" ht="14.1" customHeight="1">
      <c r="A18" s="18" t="s">
        <v>117</v>
      </c>
      <c r="B18" s="69">
        <f>'- 41 -'!I18</f>
        <v>39.369521511849364</v>
      </c>
      <c r="C18" s="69">
        <f>'- 42 -'!C18</f>
        <v>0</v>
      </c>
      <c r="D18" s="69">
        <f>'- 42 -'!E18</f>
        <v>2.3738993133154294</v>
      </c>
      <c r="E18" s="69">
        <f>'- 42 -'!G18</f>
        <v>1.0452892272025118E-2</v>
      </c>
      <c r="F18" s="69">
        <f>'- 42 -'!I18</f>
        <v>53.916189107968329</v>
      </c>
      <c r="G18" s="69">
        <f>'- 43 -'!C18</f>
        <v>3.7077343140050525</v>
      </c>
      <c r="H18" s="69">
        <f>'- 43 -'!E18</f>
        <v>0.62220286058980634</v>
      </c>
      <c r="J18" s="130">
        <f t="shared" si="0"/>
        <v>100.00000000000001</v>
      </c>
      <c r="K18" s="499"/>
      <c r="L18" s="553"/>
      <c r="M18" s="514"/>
    </row>
    <row r="19" spans="1:13" ht="14.1" customHeight="1">
      <c r="A19" s="287" t="s">
        <v>118</v>
      </c>
      <c r="B19" s="294">
        <f>'- 41 -'!I19</f>
        <v>69.387849666918342</v>
      </c>
      <c r="C19" s="294">
        <f>'- 42 -'!C19</f>
        <v>0</v>
      </c>
      <c r="D19" s="294">
        <f>'- 42 -'!E19</f>
        <v>28.519296513599144</v>
      </c>
      <c r="E19" s="294">
        <f>'- 42 -'!G19</f>
        <v>0.92620988475189781</v>
      </c>
      <c r="F19" s="294">
        <f>'- 42 -'!I19</f>
        <v>0</v>
      </c>
      <c r="G19" s="294">
        <f>'- 43 -'!C19</f>
        <v>0.11358032407877332</v>
      </c>
      <c r="H19" s="294">
        <f>'- 43 -'!E19</f>
        <v>1.0530636106518432</v>
      </c>
      <c r="J19" s="130">
        <f t="shared" si="0"/>
        <v>100</v>
      </c>
      <c r="K19" s="499"/>
      <c r="L19" s="553">
        <f>SUM(L11:L17)</f>
        <v>100</v>
      </c>
      <c r="M19" s="514"/>
    </row>
    <row r="20" spans="1:13" ht="14.1" customHeight="1">
      <c r="A20" s="18" t="s">
        <v>119</v>
      </c>
      <c r="B20" s="69">
        <f>'- 41 -'!I20</f>
        <v>70.877960105336484</v>
      </c>
      <c r="C20" s="69">
        <f>'- 42 -'!C20</f>
        <v>0</v>
      </c>
      <c r="D20" s="69">
        <f>'- 42 -'!E20</f>
        <v>28.281489178723607</v>
      </c>
      <c r="E20" s="69">
        <f>'- 42 -'!G20</f>
        <v>0.15602384984572959</v>
      </c>
      <c r="F20" s="69">
        <f>'- 42 -'!I20</f>
        <v>0</v>
      </c>
      <c r="G20" s="69">
        <f>'- 43 -'!C20</f>
        <v>0.5695667016021434</v>
      </c>
      <c r="H20" s="69">
        <f>'- 43 -'!E20</f>
        <v>0.11496016449202837</v>
      </c>
      <c r="J20" s="130">
        <f t="shared" si="0"/>
        <v>99.999999999999986</v>
      </c>
      <c r="K20" s="499"/>
      <c r="L20" s="499"/>
      <c r="M20" s="514"/>
    </row>
    <row r="21" spans="1:13" ht="14.1" customHeight="1">
      <c r="A21" s="287" t="s">
        <v>120</v>
      </c>
      <c r="B21" s="294">
        <f>'- 41 -'!I21</f>
        <v>65.135940317949064</v>
      </c>
      <c r="C21" s="294">
        <f>'- 42 -'!C21</f>
        <v>9.5696408450568343E-2</v>
      </c>
      <c r="D21" s="294">
        <f>'- 42 -'!E21</f>
        <v>33.566270074991891</v>
      </c>
      <c r="E21" s="294">
        <f>'- 42 -'!G21</f>
        <v>0.20368261481951561</v>
      </c>
      <c r="F21" s="294">
        <f>'- 42 -'!I21</f>
        <v>0</v>
      </c>
      <c r="G21" s="294">
        <f>'- 43 -'!C21</f>
        <v>0.52561232478028475</v>
      </c>
      <c r="H21" s="294">
        <f>'- 43 -'!E21</f>
        <v>0.47279825900866873</v>
      </c>
      <c r="J21" s="130">
        <f t="shared" si="0"/>
        <v>99.999999999999986</v>
      </c>
      <c r="K21" s="514"/>
      <c r="L21" s="514"/>
      <c r="M21" s="514"/>
    </row>
    <row r="22" spans="1:13" ht="14.1" customHeight="1">
      <c r="A22" s="18" t="s">
        <v>121</v>
      </c>
      <c r="B22" s="69">
        <f>'- 41 -'!I22</f>
        <v>82.523649444611863</v>
      </c>
      <c r="C22" s="69">
        <f>'- 42 -'!C22</f>
        <v>0.10061624070206621</v>
      </c>
      <c r="D22" s="69">
        <f>'- 42 -'!E22</f>
        <v>16.435755479620006</v>
      </c>
      <c r="E22" s="69">
        <f>'- 42 -'!G22</f>
        <v>5.4280735722362812E-2</v>
      </c>
      <c r="F22" s="69">
        <f>'- 42 -'!I22</f>
        <v>0.35423320943343051</v>
      </c>
      <c r="G22" s="69">
        <f>'- 43 -'!C22</f>
        <v>2.001317567420511E-3</v>
      </c>
      <c r="H22" s="69">
        <f>'- 43 -'!E22</f>
        <v>0.52946357234285191</v>
      </c>
      <c r="J22" s="130">
        <f t="shared" si="0"/>
        <v>100</v>
      </c>
      <c r="K22" s="514"/>
      <c r="L22" s="514"/>
      <c r="M22" s="514"/>
    </row>
    <row r="23" spans="1:13" ht="14.1" customHeight="1">
      <c r="A23" s="287" t="s">
        <v>122</v>
      </c>
      <c r="B23" s="294">
        <f>'- 41 -'!I23</f>
        <v>71.265317806545752</v>
      </c>
      <c r="C23" s="294">
        <f>'- 42 -'!C23</f>
        <v>0</v>
      </c>
      <c r="D23" s="294">
        <f>'- 42 -'!E23</f>
        <v>19.601937224204335</v>
      </c>
      <c r="E23" s="294">
        <f>'- 42 -'!G23</f>
        <v>0.52583611394149066</v>
      </c>
      <c r="F23" s="294">
        <f>'- 42 -'!I23</f>
        <v>5.9775345490906009</v>
      </c>
      <c r="G23" s="294">
        <f>'- 43 -'!C23</f>
        <v>1.2661502864599783</v>
      </c>
      <c r="H23" s="294">
        <f>'- 43 -'!E23</f>
        <v>1.3632240197578365</v>
      </c>
      <c r="J23" s="130">
        <f t="shared" si="0"/>
        <v>100</v>
      </c>
      <c r="K23" s="514"/>
      <c r="L23" s="514"/>
      <c r="M23" s="514"/>
    </row>
    <row r="24" spans="1:13" ht="14.1" customHeight="1">
      <c r="A24" s="18" t="s">
        <v>123</v>
      </c>
      <c r="B24" s="69">
        <f>'- 41 -'!I24</f>
        <v>61.268946074333776</v>
      </c>
      <c r="C24" s="69">
        <f>'- 42 -'!C24</f>
        <v>3.5786089771348777E-2</v>
      </c>
      <c r="D24" s="69">
        <f>'- 42 -'!E24</f>
        <v>36.004242289991915</v>
      </c>
      <c r="E24" s="69">
        <f>'- 42 -'!G24</f>
        <v>0.3425242577504703</v>
      </c>
      <c r="F24" s="69">
        <f>'- 42 -'!I24</f>
        <v>0.88374658688177909</v>
      </c>
      <c r="G24" s="69">
        <f>'- 43 -'!C24</f>
        <v>1.0600660488416684</v>
      </c>
      <c r="H24" s="69">
        <f>'- 43 -'!E24</f>
        <v>0.40468865242903918</v>
      </c>
      <c r="J24" s="130">
        <f t="shared" si="0"/>
        <v>100</v>
      </c>
      <c r="K24" s="514"/>
      <c r="L24" s="514"/>
      <c r="M24" s="514"/>
    </row>
    <row r="25" spans="1:13" ht="14.1" customHeight="1">
      <c r="A25" s="287" t="s">
        <v>124</v>
      </c>
      <c r="B25" s="294">
        <f>'- 41 -'!I25</f>
        <v>63.717698907306087</v>
      </c>
      <c r="C25" s="294">
        <f>'- 42 -'!C25</f>
        <v>0.14932498685392095</v>
      </c>
      <c r="D25" s="294">
        <f>'- 42 -'!E25</f>
        <v>33.389426153331172</v>
      </c>
      <c r="E25" s="294">
        <f>'- 42 -'!G25</f>
        <v>0.30932226515466754</v>
      </c>
      <c r="F25" s="294">
        <f>'- 42 -'!I25</f>
        <v>2.7407014501349802E-2</v>
      </c>
      <c r="G25" s="294">
        <f>'- 43 -'!C25</f>
        <v>2.2275952422226766</v>
      </c>
      <c r="H25" s="294">
        <f>'- 43 -'!E25</f>
        <v>0.17922543063012691</v>
      </c>
      <c r="J25" s="130">
        <f t="shared" si="0"/>
        <v>99.999999999999986</v>
      </c>
      <c r="K25" s="514"/>
      <c r="L25" s="514"/>
      <c r="M25" s="514"/>
    </row>
    <row r="26" spans="1:13" ht="14.1" customHeight="1">
      <c r="A26" s="18" t="s">
        <v>125</v>
      </c>
      <c r="B26" s="69">
        <f>'- 41 -'!I26</f>
        <v>68.157893202218162</v>
      </c>
      <c r="C26" s="69">
        <f>'- 42 -'!C26</f>
        <v>5.088799744054362E-2</v>
      </c>
      <c r="D26" s="69">
        <f>'- 42 -'!E26</f>
        <v>26.21958006254259</v>
      </c>
      <c r="E26" s="69">
        <f>'- 42 -'!G26</f>
        <v>1.0904534971428319</v>
      </c>
      <c r="F26" s="69">
        <f>'- 42 -'!I26</f>
        <v>2.1808441540813654</v>
      </c>
      <c r="G26" s="69">
        <f>'- 43 -'!C26</f>
        <v>1.7043796706610246</v>
      </c>
      <c r="H26" s="69">
        <f>'- 43 -'!E26</f>
        <v>0.5959614159134724</v>
      </c>
      <c r="J26" s="130">
        <f t="shared" si="0"/>
        <v>100</v>
      </c>
      <c r="K26" s="514"/>
      <c r="L26" s="514"/>
      <c r="M26" s="514"/>
    </row>
    <row r="27" spans="1:13" ht="14.1" customHeight="1">
      <c r="A27" s="287" t="s">
        <v>126</v>
      </c>
      <c r="B27" s="294">
        <f>'- 41 -'!I27</f>
        <v>77.988332310599887</v>
      </c>
      <c r="C27" s="294">
        <f>'- 42 -'!C27</f>
        <v>2.0536131257114426E-2</v>
      </c>
      <c r="D27" s="294">
        <f>'- 42 -'!E27</f>
        <v>19.420571541891277</v>
      </c>
      <c r="E27" s="294">
        <f>'- 42 -'!G27</f>
        <v>0.47040647258533391</v>
      </c>
      <c r="F27" s="294">
        <f>'- 42 -'!I27</f>
        <v>0.97646542047200513</v>
      </c>
      <c r="G27" s="294">
        <f>'- 43 -'!C27</f>
        <v>0.54621221407217591</v>
      </c>
      <c r="H27" s="294">
        <f>'- 43 -'!E27</f>
        <v>0.57747590912220959</v>
      </c>
      <c r="J27" s="130">
        <f t="shared" si="0"/>
        <v>100.00000000000001</v>
      </c>
      <c r="K27" s="514"/>
      <c r="L27" s="514"/>
      <c r="M27" s="514"/>
    </row>
    <row r="28" spans="1:13" ht="14.1" customHeight="1">
      <c r="A28" s="18" t="s">
        <v>127</v>
      </c>
      <c r="B28" s="69">
        <f>'- 41 -'!I28</f>
        <v>49.548246069007575</v>
      </c>
      <c r="C28" s="69">
        <f>'- 42 -'!C28</f>
        <v>0</v>
      </c>
      <c r="D28" s="69">
        <f>'- 42 -'!E28</f>
        <v>24.208836909949955</v>
      </c>
      <c r="E28" s="69">
        <f>'- 42 -'!G28</f>
        <v>0.17006456708076101</v>
      </c>
      <c r="F28" s="69">
        <f>'- 42 -'!I28</f>
        <v>25.794021498671523</v>
      </c>
      <c r="G28" s="69">
        <f>'- 43 -'!C28</f>
        <v>0.16118845609828225</v>
      </c>
      <c r="H28" s="69">
        <f>'- 43 -'!E28</f>
        <v>0.11764249919190854</v>
      </c>
      <c r="J28" s="130">
        <f t="shared" si="0"/>
        <v>100</v>
      </c>
      <c r="K28" s="514"/>
      <c r="L28" s="514"/>
      <c r="M28" s="514"/>
    </row>
    <row r="29" spans="1:13" ht="14.1" customHeight="1">
      <c r="A29" s="287" t="s">
        <v>128</v>
      </c>
      <c r="B29" s="294">
        <f>'- 41 -'!I29</f>
        <v>55.330362750249549</v>
      </c>
      <c r="C29" s="294">
        <f>'- 42 -'!C29</f>
        <v>4.9680081403185888E-2</v>
      </c>
      <c r="D29" s="294">
        <f>'- 42 -'!E29</f>
        <v>41.50770534812191</v>
      </c>
      <c r="E29" s="294">
        <f>'- 42 -'!G29</f>
        <v>0.47315168856527551</v>
      </c>
      <c r="F29" s="294">
        <f>'- 42 -'!I29</f>
        <v>9.3248396477262074E-3</v>
      </c>
      <c r="G29" s="294">
        <f>'- 43 -'!C29</f>
        <v>2.1400313834138944</v>
      </c>
      <c r="H29" s="294">
        <f>'- 43 -'!E29</f>
        <v>0.48974390859845457</v>
      </c>
      <c r="J29" s="130">
        <f t="shared" si="0"/>
        <v>100.00000000000001</v>
      </c>
      <c r="K29" s="514"/>
      <c r="L29" s="514"/>
      <c r="M29" s="514"/>
    </row>
    <row r="30" spans="1:13" ht="14.1" customHeight="1">
      <c r="A30" s="18" t="s">
        <v>129</v>
      </c>
      <c r="B30" s="69">
        <f>'- 41 -'!I30</f>
        <v>68.033453962557672</v>
      </c>
      <c r="C30" s="69">
        <f>'- 42 -'!C30</f>
        <v>0</v>
      </c>
      <c r="D30" s="69">
        <f>'- 42 -'!E30</f>
        <v>31.541489106986102</v>
      </c>
      <c r="E30" s="69">
        <f>'- 42 -'!G30</f>
        <v>0.25223060395018426</v>
      </c>
      <c r="F30" s="69">
        <f>'- 42 -'!I30</f>
        <v>0</v>
      </c>
      <c r="G30" s="69">
        <f>'- 43 -'!C30</f>
        <v>0</v>
      </c>
      <c r="H30" s="69">
        <f>'- 43 -'!E30</f>
        <v>0.17282632650604363</v>
      </c>
      <c r="J30" s="130">
        <f t="shared" si="0"/>
        <v>100</v>
      </c>
      <c r="K30" s="514"/>
      <c r="L30" s="514"/>
      <c r="M30" s="514"/>
    </row>
    <row r="31" spans="1:13" ht="14.1" customHeight="1">
      <c r="A31" s="287" t="s">
        <v>130</v>
      </c>
      <c r="B31" s="294">
        <f>'- 41 -'!I31</f>
        <v>62.881301717955516</v>
      </c>
      <c r="C31" s="294">
        <f>'- 42 -'!C31</f>
        <v>1.6439818182186833E-2</v>
      </c>
      <c r="D31" s="294">
        <f>'- 42 -'!E31</f>
        <v>32.710070599703194</v>
      </c>
      <c r="E31" s="294">
        <f>'- 42 -'!G31</f>
        <v>0.48458830064723013</v>
      </c>
      <c r="F31" s="294">
        <f>'- 42 -'!I31</f>
        <v>3.4043246695308853</v>
      </c>
      <c r="G31" s="294">
        <f>'- 43 -'!C31</f>
        <v>6.0279333334685055E-2</v>
      </c>
      <c r="H31" s="294">
        <f>'- 43 -'!E31</f>
        <v>0.44299556064629747</v>
      </c>
      <c r="J31" s="130">
        <f t="shared" si="0"/>
        <v>100</v>
      </c>
      <c r="K31" s="514"/>
      <c r="L31" s="514"/>
      <c r="M31" s="514"/>
    </row>
    <row r="32" spans="1:13" ht="14.1" customHeight="1">
      <c r="A32" s="18" t="s">
        <v>131</v>
      </c>
      <c r="B32" s="69">
        <f>'- 41 -'!I32</f>
        <v>62.372973435396709</v>
      </c>
      <c r="C32" s="69">
        <f>'- 42 -'!C32</f>
        <v>0</v>
      </c>
      <c r="D32" s="69">
        <f>'- 42 -'!E32</f>
        <v>36.82502868064639</v>
      </c>
      <c r="E32" s="69">
        <f>'- 42 -'!G32</f>
        <v>0.26350001133333384</v>
      </c>
      <c r="F32" s="69">
        <f>'- 42 -'!I32</f>
        <v>0</v>
      </c>
      <c r="G32" s="69">
        <f>'- 43 -'!C32</f>
        <v>5.8926024039828988E-2</v>
      </c>
      <c r="H32" s="69">
        <f>'- 43 -'!E32</f>
        <v>0.47957184858373536</v>
      </c>
      <c r="J32" s="130">
        <f t="shared" si="0"/>
        <v>100</v>
      </c>
      <c r="K32" s="514"/>
      <c r="L32" s="514"/>
      <c r="M32" s="514"/>
    </row>
    <row r="33" spans="1:13" ht="14.1" customHeight="1">
      <c r="A33" s="287" t="s">
        <v>132</v>
      </c>
      <c r="B33" s="294">
        <f>'- 41 -'!I33</f>
        <v>62.725970267715724</v>
      </c>
      <c r="C33" s="294">
        <f>'- 42 -'!C33</f>
        <v>7.1297457258863467E-2</v>
      </c>
      <c r="D33" s="294">
        <f>'- 42 -'!E33</f>
        <v>35.603941024734702</v>
      </c>
      <c r="E33" s="294">
        <f>'- 42 -'!G33</f>
        <v>7.8587222215505362E-2</v>
      </c>
      <c r="F33" s="294">
        <f>'- 42 -'!I33</f>
        <v>0.95361149179883664</v>
      </c>
      <c r="G33" s="294">
        <f>'- 43 -'!C33</f>
        <v>0.20279414912796634</v>
      </c>
      <c r="H33" s="294">
        <f>'- 43 -'!E33</f>
        <v>0.3637983871483933</v>
      </c>
      <c r="J33" s="130">
        <f t="shared" si="0"/>
        <v>100</v>
      </c>
      <c r="K33" s="514"/>
      <c r="L33" s="514"/>
      <c r="M33" s="514"/>
    </row>
    <row r="34" spans="1:13" ht="14.1" customHeight="1">
      <c r="A34" s="18" t="s">
        <v>133</v>
      </c>
      <c r="B34" s="69">
        <f>'- 41 -'!I34</f>
        <v>58.770073695893188</v>
      </c>
      <c r="C34" s="69">
        <f>'- 42 -'!C34</f>
        <v>7.7413433785383151E-2</v>
      </c>
      <c r="D34" s="69">
        <f>'- 42 -'!E34</f>
        <v>36.961585218953346</v>
      </c>
      <c r="E34" s="69">
        <f>'- 42 -'!G34</f>
        <v>3.1648031209213769</v>
      </c>
      <c r="F34" s="69">
        <f>'- 42 -'!I34</f>
        <v>0</v>
      </c>
      <c r="G34" s="69">
        <f>'- 43 -'!C34</f>
        <v>0.66038607455781295</v>
      </c>
      <c r="H34" s="69">
        <f>'- 43 -'!E34</f>
        <v>0.36573845588888837</v>
      </c>
      <c r="J34" s="130">
        <f t="shared" si="0"/>
        <v>99.999999999999986</v>
      </c>
      <c r="K34" s="514"/>
      <c r="L34" s="514"/>
      <c r="M34" s="514"/>
    </row>
    <row r="35" spans="1:13" ht="14.1" customHeight="1">
      <c r="A35" s="287" t="s">
        <v>134</v>
      </c>
      <c r="B35" s="294">
        <f>'- 41 -'!I35</f>
        <v>68.639743952601336</v>
      </c>
      <c r="C35" s="294">
        <f>'- 42 -'!C35</f>
        <v>0.26395173709927122</v>
      </c>
      <c r="D35" s="294">
        <f>'- 42 -'!E35</f>
        <v>29.241177287721992</v>
      </c>
      <c r="E35" s="294">
        <f>'- 42 -'!G35</f>
        <v>0.48044350719823636</v>
      </c>
      <c r="F35" s="294">
        <f>'- 42 -'!I35</f>
        <v>6.3347828673987416E-2</v>
      </c>
      <c r="G35" s="294">
        <f>'- 43 -'!C35</f>
        <v>1.1343565591359899</v>
      </c>
      <c r="H35" s="294">
        <f>'- 43 -'!E35</f>
        <v>0.17697912756917866</v>
      </c>
      <c r="J35" s="130">
        <f t="shared" si="0"/>
        <v>100</v>
      </c>
      <c r="K35" s="514"/>
      <c r="L35" s="514"/>
      <c r="M35" s="514"/>
    </row>
    <row r="36" spans="1:13" ht="14.1" customHeight="1">
      <c r="A36" s="18" t="s">
        <v>135</v>
      </c>
      <c r="B36" s="69">
        <f>'- 41 -'!I36</f>
        <v>60.338611254116735</v>
      </c>
      <c r="C36" s="69">
        <f>'- 42 -'!C36</f>
        <v>0.34005311428598262</v>
      </c>
      <c r="D36" s="69">
        <f>'- 42 -'!E36</f>
        <v>32.770738131580302</v>
      </c>
      <c r="E36" s="69">
        <f>'- 42 -'!G36</f>
        <v>0.40260440104016454</v>
      </c>
      <c r="F36" s="69">
        <f>'- 42 -'!I36</f>
        <v>5.5333893835558792</v>
      </c>
      <c r="G36" s="69">
        <f>'- 43 -'!C36</f>
        <v>0.13850425701425811</v>
      </c>
      <c r="H36" s="69">
        <f>'- 43 -'!E36</f>
        <v>0.47609945840668305</v>
      </c>
      <c r="J36" s="130">
        <f t="shared" si="0"/>
        <v>100.00000000000001</v>
      </c>
      <c r="K36" s="514"/>
      <c r="L36" s="514"/>
      <c r="M36" s="514"/>
    </row>
    <row r="37" spans="1:13" ht="14.1" customHeight="1">
      <c r="A37" s="287" t="s">
        <v>136</v>
      </c>
      <c r="B37" s="294">
        <f>'- 41 -'!I37</f>
        <v>72.253734654423326</v>
      </c>
      <c r="C37" s="294">
        <f>'- 42 -'!C37</f>
        <v>4.4302960375107954E-2</v>
      </c>
      <c r="D37" s="294">
        <f>'- 42 -'!E37</f>
        <v>26.760325005884138</v>
      </c>
      <c r="E37" s="294">
        <f>'- 42 -'!G37</f>
        <v>0.56471033370026791</v>
      </c>
      <c r="F37" s="294">
        <f>'- 42 -'!I37</f>
        <v>8.9765314527595494E-2</v>
      </c>
      <c r="G37" s="294">
        <f>'- 43 -'!C37</f>
        <v>9.6469263048458237E-2</v>
      </c>
      <c r="H37" s="294">
        <f>'- 43 -'!E37</f>
        <v>0.19069246804110732</v>
      </c>
      <c r="J37" s="130">
        <f t="shared" si="0"/>
        <v>100</v>
      </c>
      <c r="K37" s="514"/>
      <c r="L37" s="514"/>
      <c r="M37" s="514"/>
    </row>
    <row r="38" spans="1:13" ht="14.1" customHeight="1">
      <c r="A38" s="18" t="s">
        <v>137</v>
      </c>
      <c r="B38" s="69">
        <f>'- 41 -'!I38</f>
        <v>70.319571648907697</v>
      </c>
      <c r="C38" s="69">
        <f>'- 42 -'!C38</f>
        <v>0.6650618626882201</v>
      </c>
      <c r="D38" s="69">
        <f>'- 42 -'!E38</f>
        <v>26.613540834305123</v>
      </c>
      <c r="E38" s="69">
        <f>'- 42 -'!G38</f>
        <v>0.85798215293771596</v>
      </c>
      <c r="F38" s="69">
        <f>'- 42 -'!I38</f>
        <v>0.51516343635450723</v>
      </c>
      <c r="G38" s="69">
        <f>'- 43 -'!C38</f>
        <v>0.89074441950279504</v>
      </c>
      <c r="H38" s="69">
        <f>'- 43 -'!E38</f>
        <v>0.13793564530393948</v>
      </c>
      <c r="J38" s="130">
        <f t="shared" si="0"/>
        <v>100.00000000000001</v>
      </c>
      <c r="K38" s="514"/>
      <c r="L38" s="514"/>
      <c r="M38" s="514"/>
    </row>
    <row r="39" spans="1:13" ht="14.1" customHeight="1">
      <c r="A39" s="287" t="s">
        <v>138</v>
      </c>
      <c r="B39" s="294">
        <f>'- 41 -'!I39</f>
        <v>56.832989626962828</v>
      </c>
      <c r="C39" s="294">
        <f>'- 42 -'!C39</f>
        <v>0</v>
      </c>
      <c r="D39" s="294">
        <f>'- 42 -'!E39</f>
        <v>42.275218259206689</v>
      </c>
      <c r="E39" s="294">
        <f>'- 42 -'!G39</f>
        <v>0.493690881664821</v>
      </c>
      <c r="F39" s="294">
        <f>'- 42 -'!I39</f>
        <v>0</v>
      </c>
      <c r="G39" s="294">
        <f>'- 43 -'!C39</f>
        <v>0</v>
      </c>
      <c r="H39" s="294">
        <f>'- 43 -'!E39</f>
        <v>0.39810123216566873</v>
      </c>
      <c r="J39" s="130">
        <f t="shared" si="0"/>
        <v>100</v>
      </c>
      <c r="K39" s="514"/>
      <c r="L39" s="514"/>
      <c r="M39" s="514"/>
    </row>
    <row r="40" spans="1:13" ht="14.1" customHeight="1">
      <c r="A40" s="18" t="s">
        <v>139</v>
      </c>
      <c r="B40" s="69">
        <f>'- 41 -'!I40</f>
        <v>57.612762048806218</v>
      </c>
      <c r="C40" s="69">
        <f>'- 42 -'!C40</f>
        <v>0</v>
      </c>
      <c r="D40" s="69">
        <f>'- 42 -'!E40</f>
        <v>37.980765520155238</v>
      </c>
      <c r="E40" s="69">
        <f>'- 42 -'!G40</f>
        <v>0.71686055607257415</v>
      </c>
      <c r="F40" s="69">
        <f>'- 42 -'!I40</f>
        <v>0.19849445910515343</v>
      </c>
      <c r="G40" s="69">
        <f>'- 43 -'!C40</f>
        <v>2.5533641044535584</v>
      </c>
      <c r="H40" s="69">
        <f>'- 43 -'!E40</f>
        <v>0.93775331140724849</v>
      </c>
      <c r="J40" s="130">
        <f t="shared" si="0"/>
        <v>100</v>
      </c>
      <c r="K40" s="514"/>
      <c r="L40" s="514"/>
      <c r="M40" s="514"/>
    </row>
    <row r="41" spans="1:13" ht="14.1" customHeight="1">
      <c r="A41" s="287" t="s">
        <v>140</v>
      </c>
      <c r="B41" s="294">
        <f>'- 41 -'!I41</f>
        <v>61.590025137698959</v>
      </c>
      <c r="C41" s="294">
        <f>'- 42 -'!C41</f>
        <v>0</v>
      </c>
      <c r="D41" s="294">
        <f>'- 42 -'!E41</f>
        <v>37.256072692676341</v>
      </c>
      <c r="E41" s="294">
        <f>'- 42 -'!G41</f>
        <v>0.31826134540185885</v>
      </c>
      <c r="F41" s="294">
        <f>'- 42 -'!I41</f>
        <v>0.48613144898988558</v>
      </c>
      <c r="G41" s="294">
        <f>'- 43 -'!C41</f>
        <v>6.0978898337944114E-2</v>
      </c>
      <c r="H41" s="294">
        <f>'- 43 -'!E41</f>
        <v>0.28853047689502254</v>
      </c>
      <c r="J41" s="130">
        <f t="shared" si="0"/>
        <v>100.00000000000001</v>
      </c>
      <c r="K41" s="514"/>
      <c r="L41" s="514"/>
      <c r="M41" s="514"/>
    </row>
    <row r="42" spans="1:13" ht="14.1" customHeight="1">
      <c r="A42" s="18" t="s">
        <v>141</v>
      </c>
      <c r="B42" s="69">
        <f>'- 41 -'!I42</f>
        <v>72.06549290008823</v>
      </c>
      <c r="C42" s="69">
        <f>'- 42 -'!C42</f>
        <v>0</v>
      </c>
      <c r="D42" s="69">
        <f>'- 42 -'!E42</f>
        <v>24.825791985171708</v>
      </c>
      <c r="E42" s="69">
        <f>'- 42 -'!G42</f>
        <v>0.17508592550775207</v>
      </c>
      <c r="F42" s="69">
        <f>'- 42 -'!I42</f>
        <v>1.2783381456198077</v>
      </c>
      <c r="G42" s="69">
        <f>'- 43 -'!C42</f>
        <v>1.1669770844319145</v>
      </c>
      <c r="H42" s="69">
        <f>'- 43 -'!E42</f>
        <v>0.48831395918058873</v>
      </c>
      <c r="J42" s="130">
        <f t="shared" si="0"/>
        <v>100.00000000000001</v>
      </c>
      <c r="K42" s="514"/>
      <c r="L42" s="514"/>
      <c r="M42" s="514"/>
    </row>
    <row r="43" spans="1:13" ht="14.1" customHeight="1">
      <c r="A43" s="287" t="s">
        <v>142</v>
      </c>
      <c r="B43" s="294">
        <f>'- 41 -'!I43</f>
        <v>61.260154732683112</v>
      </c>
      <c r="C43" s="294">
        <f>'- 42 -'!C43</f>
        <v>1.2186382280250233E-3</v>
      </c>
      <c r="D43" s="294">
        <f>'- 42 -'!E43</f>
        <v>38.27773140182299</v>
      </c>
      <c r="E43" s="294">
        <f>'- 42 -'!G43</f>
        <v>0.19295105277062871</v>
      </c>
      <c r="F43" s="294">
        <f>'- 42 -'!I43</f>
        <v>0</v>
      </c>
      <c r="G43" s="294">
        <f>'- 43 -'!C43</f>
        <v>9.3069588773654663E-2</v>
      </c>
      <c r="H43" s="294">
        <f>'- 43 -'!E43</f>
        <v>0.17487458572159084</v>
      </c>
      <c r="J43" s="130">
        <f t="shared" si="0"/>
        <v>100.00000000000001</v>
      </c>
      <c r="K43" s="514"/>
      <c r="L43" s="514"/>
      <c r="M43" s="514"/>
    </row>
    <row r="44" spans="1:13" ht="14.1" customHeight="1">
      <c r="A44" s="18" t="s">
        <v>143</v>
      </c>
      <c r="B44" s="69">
        <f>'- 41 -'!I44</f>
        <v>78.482371732397922</v>
      </c>
      <c r="C44" s="69">
        <f>'- 42 -'!C44</f>
        <v>0</v>
      </c>
      <c r="D44" s="69">
        <f>'- 42 -'!E44</f>
        <v>21.128788312938152</v>
      </c>
      <c r="E44" s="69">
        <f>'- 42 -'!G44</f>
        <v>0.21602718726853429</v>
      </c>
      <c r="F44" s="69">
        <f>'- 42 -'!I44</f>
        <v>0</v>
      </c>
      <c r="G44" s="69">
        <f>'- 43 -'!C44</f>
        <v>0.11110354591785865</v>
      </c>
      <c r="H44" s="69">
        <f>'- 43 -'!E44</f>
        <v>6.1709221477539732E-2</v>
      </c>
      <c r="J44" s="130">
        <f t="shared" si="0"/>
        <v>100.00000000000001</v>
      </c>
      <c r="K44" s="514"/>
      <c r="L44" s="514"/>
      <c r="M44" s="514"/>
    </row>
    <row r="45" spans="1:13" ht="14.1" customHeight="1">
      <c r="A45" s="287" t="s">
        <v>144</v>
      </c>
      <c r="B45" s="294">
        <f>'- 41 -'!I45</f>
        <v>67.352552831386703</v>
      </c>
      <c r="C45" s="294">
        <f>'- 42 -'!C45</f>
        <v>9.8424635383458942E-2</v>
      </c>
      <c r="D45" s="294">
        <f>'- 42 -'!E45</f>
        <v>30.711113602565447</v>
      </c>
      <c r="E45" s="294">
        <f>'- 42 -'!G45</f>
        <v>0.36722744866933665</v>
      </c>
      <c r="F45" s="294">
        <f>'- 42 -'!I45</f>
        <v>0</v>
      </c>
      <c r="G45" s="294">
        <f>'- 43 -'!C45</f>
        <v>1.3437014157262646</v>
      </c>
      <c r="H45" s="294">
        <f>'- 43 -'!E45</f>
        <v>0.1269800662687848</v>
      </c>
      <c r="J45" s="130">
        <f t="shared" si="0"/>
        <v>99.999999999999986</v>
      </c>
      <c r="K45" s="514"/>
      <c r="L45" s="514"/>
      <c r="M45" s="514"/>
    </row>
    <row r="46" spans="1:13" ht="14.1" customHeight="1">
      <c r="A46" s="18" t="s">
        <v>145</v>
      </c>
      <c r="B46" s="69">
        <f>'- 41 -'!I46</f>
        <v>62.953223229411179</v>
      </c>
      <c r="C46" s="69">
        <f>'- 42 -'!C46</f>
        <v>0.91460258310367626</v>
      </c>
      <c r="D46" s="69">
        <f>'- 42 -'!E46</f>
        <v>34.370543885380833</v>
      </c>
      <c r="E46" s="69">
        <f>'- 42 -'!G46</f>
        <v>0.64490920087340486</v>
      </c>
      <c r="F46" s="69">
        <f>'- 42 -'!I46</f>
        <v>0.70096384116229304</v>
      </c>
      <c r="G46" s="69">
        <f>'- 43 -'!C46</f>
        <v>0.20900171277473184</v>
      </c>
      <c r="H46" s="69">
        <f>'- 43 -'!E46</f>
        <v>0.20675554729387946</v>
      </c>
      <c r="J46" s="130">
        <f t="shared" si="0"/>
        <v>100</v>
      </c>
      <c r="K46" s="514"/>
      <c r="L46" s="514"/>
      <c r="M46" s="514"/>
    </row>
    <row r="47" spans="1:13" ht="5.0999999999999996" customHeight="1">
      <c r="A47" s="20"/>
      <c r="B47"/>
      <c r="C47"/>
      <c r="D47"/>
      <c r="E47"/>
      <c r="F47"/>
      <c r="G47"/>
      <c r="H47"/>
      <c r="J47" s="130"/>
      <c r="K47" s="514"/>
      <c r="L47" s="514"/>
      <c r="M47" s="514"/>
    </row>
    <row r="48" spans="1:13" ht="14.1" customHeight="1">
      <c r="A48" s="289" t="s">
        <v>146</v>
      </c>
      <c r="B48" s="297">
        <f>'- 41 -'!I48</f>
        <v>63.203791978745663</v>
      </c>
      <c r="C48" s="297">
        <f>'- 42 -'!C48</f>
        <v>0.24518970879341814</v>
      </c>
      <c r="D48" s="297">
        <f>'- 42 -'!E48</f>
        <v>30.473607675457711</v>
      </c>
      <c r="E48" s="297">
        <f>'- 42 -'!G48</f>
        <v>0.57166206607397207</v>
      </c>
      <c r="F48" s="297">
        <f>'- 42 -'!I48</f>
        <v>4.0809853820598567</v>
      </c>
      <c r="G48" s="297">
        <f>'- 43 -'!C48</f>
        <v>1.0413805248352064</v>
      </c>
      <c r="H48" s="297">
        <f>'- 43 -'!E48</f>
        <v>0.38338266403418203</v>
      </c>
      <c r="J48" s="130">
        <f>SUM(B48:H48)</f>
        <v>100</v>
      </c>
      <c r="K48" s="514"/>
      <c r="L48" s="514"/>
      <c r="M48" s="514"/>
    </row>
    <row r="49" spans="1:13" ht="5.0999999999999996" customHeight="1">
      <c r="A49" s="20" t="s">
        <v>8</v>
      </c>
      <c r="B49"/>
      <c r="C49"/>
      <c r="D49"/>
      <c r="E49"/>
      <c r="F49"/>
      <c r="G49"/>
      <c r="H49"/>
      <c r="J49" s="130"/>
      <c r="K49" s="514"/>
      <c r="L49" s="514"/>
      <c r="M49" s="514"/>
    </row>
    <row r="50" spans="1:13" ht="14.1" customHeight="1">
      <c r="A50" s="18" t="s">
        <v>147</v>
      </c>
      <c r="B50" s="69">
        <f>'- 41 -'!I50</f>
        <v>43.578991943770383</v>
      </c>
      <c r="C50" s="69">
        <f>'- 42 -'!C50</f>
        <v>0</v>
      </c>
      <c r="D50" s="69">
        <f>'- 42 -'!E50</f>
        <v>54.664603506403729</v>
      </c>
      <c r="E50" s="69">
        <f>'- 42 -'!G50</f>
        <v>1.0215964602053336</v>
      </c>
      <c r="F50" s="69">
        <f>'- 42 -'!I50</f>
        <v>0</v>
      </c>
      <c r="G50" s="69">
        <f>'- 43 -'!C50</f>
        <v>0</v>
      </c>
      <c r="H50" s="69">
        <f>'- 43 -'!E50</f>
        <v>0.73480808962055033</v>
      </c>
      <c r="J50" s="130">
        <f>SUM(B50:H50)</f>
        <v>100</v>
      </c>
      <c r="K50" s="514"/>
      <c r="L50" s="514"/>
      <c r="M50" s="514"/>
    </row>
    <row r="51" spans="1:13" ht="14.1" customHeight="1">
      <c r="A51" s="287" t="s">
        <v>643</v>
      </c>
      <c r="B51" s="294">
        <f>'- 41 -'!I51</f>
        <v>35.490130637762931</v>
      </c>
      <c r="C51" s="294">
        <f>'- 42 -'!C51</f>
        <v>19.864078529416428</v>
      </c>
      <c r="D51" s="294">
        <f>'- 42 -'!E51</f>
        <v>0</v>
      </c>
      <c r="E51" s="294">
        <f>'- 42 -'!G51</f>
        <v>5.754059291372406</v>
      </c>
      <c r="F51" s="294">
        <f>'- 42 -'!I51</f>
        <v>0</v>
      </c>
      <c r="G51" s="294">
        <f>'- 43 -'!C51</f>
        <v>38.144559820316751</v>
      </c>
      <c r="H51" s="294">
        <f>'- 43 -'!E51</f>
        <v>0.74717172113147223</v>
      </c>
      <c r="J51" s="130"/>
      <c r="K51" s="514"/>
      <c r="L51" s="514"/>
      <c r="M51" s="514"/>
    </row>
    <row r="52" spans="1:13" ht="50.1" customHeight="1">
      <c r="A52" s="22"/>
      <c r="B52" s="22"/>
      <c r="C52" s="22"/>
      <c r="D52" s="22"/>
      <c r="E52" s="22"/>
      <c r="F52" s="22"/>
      <c r="G52" s="22"/>
      <c r="H52" s="22"/>
    </row>
    <row r="53" spans="1:13" ht="15" customHeight="1">
      <c r="A53" s="607" t="e">
        <f>"(1)  The portion shown here is comprised of operating support only. The total provincial contribution to K-12 public school education, which also
       includes teachers' retirement allowances, capital support and the education property tax credit, is "&amp;ROUND(#REF!*100,1)&amp;"% in "&amp;Data!B5&amp;". See page i for more
       information."</f>
        <v>#REF!</v>
      </c>
      <c r="B53" s="607"/>
      <c r="C53" s="607"/>
      <c r="D53" s="607"/>
      <c r="E53" s="607"/>
      <c r="F53" s="607"/>
      <c r="G53" s="607"/>
      <c r="H53" s="607"/>
    </row>
    <row r="54" spans="1:13">
      <c r="A54" s="608"/>
      <c r="B54" s="608"/>
      <c r="C54" s="608"/>
      <c r="D54" s="608"/>
      <c r="E54" s="608"/>
      <c r="F54" s="608"/>
      <c r="G54" s="608"/>
      <c r="H54" s="608"/>
    </row>
    <row r="55" spans="1:13">
      <c r="A55" s="608"/>
      <c r="B55" s="608"/>
      <c r="C55" s="608"/>
      <c r="D55" s="608"/>
      <c r="E55" s="608"/>
      <c r="F55" s="608"/>
      <c r="G55" s="608"/>
      <c r="H55" s="608"/>
    </row>
  </sheetData>
  <mergeCells count="5">
    <mergeCell ref="B7:D7"/>
    <mergeCell ref="F8:F9"/>
    <mergeCell ref="G7:G9"/>
    <mergeCell ref="E7:E9"/>
    <mergeCell ref="A53:H55"/>
  </mergeCells>
  <phoneticPr fontId="6" type="noConversion"/>
  <conditionalFormatting sqref="J11:J50">
    <cfRule type="cellIs" dxfId="0" priority="1" stopIfTrue="1" operator="equal">
      <formula>$J$1</formula>
    </cfRule>
  </conditionalFormatting>
  <pageMargins left="0.5" right="0.5" top="0.6" bottom="0.2" header="0.3" footer="0.5"/>
  <pageSetup scale="89" orientation="portrait" r:id="rId1"/>
  <headerFooter alignWithMargins="0">
    <oddHeader>&amp;C&amp;"Arial,Regular"&amp;11&amp;A</oddHeader>
  </headerFooter>
</worksheet>
</file>

<file path=xl/worksheets/sheet36.xml><?xml version="1.0" encoding="utf-8"?>
<worksheet xmlns="http://schemas.openxmlformats.org/spreadsheetml/2006/main" xmlns:r="http://schemas.openxmlformats.org/officeDocument/2006/relationships">
  <sheetPr codeName="Sheet36">
    <pageSetUpPr fitToPage="1"/>
  </sheetPr>
  <dimension ref="A1:I62"/>
  <sheetViews>
    <sheetView showGridLines="0" showZeros="0" workbookViewId="0"/>
  </sheetViews>
  <sheetFormatPr defaultColWidth="15.83203125" defaultRowHeight="12"/>
  <cols>
    <col min="1" max="1" width="26.83203125" style="1" customWidth="1"/>
    <col min="2" max="2" width="15.5" style="1" customWidth="1"/>
    <col min="3" max="3" width="15.83203125" style="1"/>
    <col min="4" max="4" width="12.5" style="1" customWidth="1"/>
    <col min="5" max="5" width="13" style="1" customWidth="1"/>
    <col min="6" max="6" width="15.5" style="1" customWidth="1"/>
    <col min="7" max="7" width="14.83203125" style="1" customWidth="1"/>
    <col min="8" max="8" width="15" style="1" bestFit="1" customWidth="1"/>
    <col min="9" max="9" width="15.1640625" style="1" customWidth="1"/>
    <col min="10" max="16384" width="15.83203125" style="1"/>
  </cols>
  <sheetData>
    <row r="1" spans="1:9" ht="15.95" customHeight="1">
      <c r="A1" s="212"/>
      <c r="B1" s="218" t="str">
        <f>"ANALYSIS OF OPERATING FUND REVENUE: "&amp;FALLYR&amp;"/"&amp;SPRINGYR&amp;" ACTUAL"</f>
        <v>ANALYSIS OF OPERATING FUND REVENUE: 2014/2015 ACTUAL</v>
      </c>
      <c r="C1" s="40"/>
      <c r="D1" s="40"/>
      <c r="E1" s="40"/>
      <c r="F1" s="40"/>
      <c r="G1" s="40"/>
      <c r="H1" s="214"/>
      <c r="I1" s="214" t="s">
        <v>7</v>
      </c>
    </row>
    <row r="2" spans="1:9" ht="15.95" customHeight="1">
      <c r="A2" s="204"/>
    </row>
    <row r="3" spans="1:9" ht="15.95" customHeight="1">
      <c r="A3" s="543"/>
      <c r="B3" s="709" t="s">
        <v>51</v>
      </c>
      <c r="C3" s="710"/>
      <c r="D3" s="710"/>
      <c r="E3" s="710"/>
      <c r="F3" s="710"/>
      <c r="G3" s="710"/>
      <c r="H3" s="710"/>
      <c r="I3" s="711"/>
    </row>
    <row r="4" spans="1:9" ht="8.1" customHeight="1"/>
    <row r="5" spans="1:9" ht="15.95" customHeight="1">
      <c r="B5" s="706" t="s">
        <v>40</v>
      </c>
      <c r="C5" s="707"/>
      <c r="D5" s="707"/>
      <c r="E5" s="707"/>
      <c r="F5" s="708"/>
    </row>
    <row r="6" spans="1:9" ht="15.95" customHeight="1">
      <c r="B6" s="385"/>
      <c r="C6" s="385"/>
      <c r="D6" s="452"/>
      <c r="E6" s="386"/>
      <c r="F6" s="386"/>
      <c r="G6" s="385"/>
      <c r="H6" s="567"/>
      <c r="I6" s="714" t="s">
        <v>547</v>
      </c>
    </row>
    <row r="7" spans="1:9" ht="15.95" customHeight="1">
      <c r="B7" s="702" t="s">
        <v>552</v>
      </c>
      <c r="C7" s="702" t="s">
        <v>551</v>
      </c>
      <c r="D7" s="702" t="s">
        <v>550</v>
      </c>
      <c r="E7" s="387"/>
      <c r="F7" s="387"/>
      <c r="G7" s="702" t="s">
        <v>548</v>
      </c>
      <c r="H7" s="712" t="s">
        <v>546</v>
      </c>
      <c r="I7" s="715"/>
    </row>
    <row r="8" spans="1:9" ht="15.95" customHeight="1">
      <c r="A8" s="66"/>
      <c r="B8" s="703"/>
      <c r="C8" s="702"/>
      <c r="D8" s="703"/>
      <c r="E8" s="702" t="s">
        <v>549</v>
      </c>
      <c r="F8" s="387"/>
      <c r="G8" s="703"/>
      <c r="H8" s="712"/>
      <c r="I8" s="715"/>
    </row>
    <row r="9" spans="1:9" ht="15.95" customHeight="1">
      <c r="A9" s="34" t="s">
        <v>43</v>
      </c>
      <c r="B9" s="704"/>
      <c r="C9" s="717"/>
      <c r="D9" s="704"/>
      <c r="E9" s="717"/>
      <c r="F9" s="388" t="s">
        <v>32</v>
      </c>
      <c r="G9" s="704"/>
      <c r="H9" s="713"/>
      <c r="I9" s="716"/>
    </row>
    <row r="10" spans="1:9" ht="5.0999999999999996" customHeight="1">
      <c r="A10" s="5"/>
      <c r="B10" s="206"/>
      <c r="C10" s="206"/>
      <c r="D10" s="206"/>
      <c r="E10" s="206"/>
      <c r="F10" s="206"/>
      <c r="G10" s="206"/>
      <c r="H10" s="206"/>
    </row>
    <row r="11" spans="1:9" ht="14.1" customHeight="1">
      <c r="A11" s="287" t="s">
        <v>111</v>
      </c>
      <c r="B11" s="288">
        <f>'- 61 -'!$F11</f>
        <v>9046987</v>
      </c>
      <c r="C11" s="420">
        <v>1639478</v>
      </c>
      <c r="D11" s="420">
        <v>504331</v>
      </c>
      <c r="E11" s="420">
        <v>425528</v>
      </c>
      <c r="F11" s="288">
        <f>SUM(B11:E11)</f>
        <v>11616324</v>
      </c>
      <c r="G11" s="420">
        <v>1177</v>
      </c>
      <c r="H11" s="288">
        <f>SUM(F11:G11)</f>
        <v>11617501</v>
      </c>
      <c r="I11" s="294">
        <f>H11/'- 43 -'!$I11*100</f>
        <v>64.980739861383384</v>
      </c>
    </row>
    <row r="12" spans="1:9" ht="14.1" customHeight="1">
      <c r="A12" s="18" t="s">
        <v>112</v>
      </c>
      <c r="B12" s="19">
        <f>'- 61 -'!$F12</f>
        <v>15257778</v>
      </c>
      <c r="C12" s="421">
        <v>2330119</v>
      </c>
      <c r="D12" s="421">
        <v>2711492</v>
      </c>
      <c r="E12" s="421">
        <v>993014</v>
      </c>
      <c r="F12" s="19">
        <f t="shared" ref="F12:F46" si="0">SUM(B12:E12)</f>
        <v>21292403</v>
      </c>
      <c r="G12" s="421">
        <v>468143</v>
      </c>
      <c r="H12" s="19">
        <f t="shared" ref="H12:H46" si="1">SUM(F12:G12)</f>
        <v>21760546</v>
      </c>
      <c r="I12" s="69">
        <f>H12/'- 43 -'!$I12*100</f>
        <v>65.34621574424709</v>
      </c>
    </row>
    <row r="13" spans="1:9" ht="14.1" customHeight="1">
      <c r="A13" s="287" t="s">
        <v>113</v>
      </c>
      <c r="B13" s="288">
        <f>'- 61 -'!$F13</f>
        <v>43819156</v>
      </c>
      <c r="C13" s="420">
        <v>7556024</v>
      </c>
      <c r="D13" s="420">
        <v>1828750</v>
      </c>
      <c r="E13" s="420">
        <v>2156358</v>
      </c>
      <c r="F13" s="288">
        <f t="shared" si="0"/>
        <v>55360288</v>
      </c>
      <c r="G13" s="420">
        <v>0</v>
      </c>
      <c r="H13" s="288">
        <f t="shared" si="1"/>
        <v>55360288</v>
      </c>
      <c r="I13" s="294">
        <f>H13/'- 43 -'!$I13*100</f>
        <v>61.78664461615174</v>
      </c>
    </row>
    <row r="14" spans="1:9" ht="14.1" customHeight="1">
      <c r="A14" s="18" t="s">
        <v>365</v>
      </c>
      <c r="B14" s="19">
        <f>'- 61 -'!$F14</f>
        <v>33142105</v>
      </c>
      <c r="C14" s="421">
        <v>6197346</v>
      </c>
      <c r="D14" s="421">
        <v>1970941</v>
      </c>
      <c r="E14" s="421">
        <v>16215822</v>
      </c>
      <c r="F14" s="19">
        <f t="shared" si="0"/>
        <v>57526214</v>
      </c>
      <c r="G14" s="421">
        <v>944889</v>
      </c>
      <c r="H14" s="19">
        <f t="shared" si="1"/>
        <v>58471103</v>
      </c>
      <c r="I14" s="69">
        <f>H14/'- 43 -'!$I14*100</f>
        <v>73.78552012668105</v>
      </c>
    </row>
    <row r="15" spans="1:9" ht="14.1" customHeight="1">
      <c r="A15" s="287" t="s">
        <v>114</v>
      </c>
      <c r="B15" s="288">
        <f>'- 61 -'!$F15</f>
        <v>8287813</v>
      </c>
      <c r="C15" s="420">
        <v>2585210</v>
      </c>
      <c r="D15" s="420">
        <v>1595317</v>
      </c>
      <c r="E15" s="420">
        <v>514428</v>
      </c>
      <c r="F15" s="288">
        <f t="shared" si="0"/>
        <v>12982768</v>
      </c>
      <c r="G15" s="420">
        <v>2291</v>
      </c>
      <c r="H15" s="288">
        <f t="shared" si="1"/>
        <v>12985059</v>
      </c>
      <c r="I15" s="294">
        <f>H15/'- 43 -'!$I15*100</f>
        <v>63.430597374292951</v>
      </c>
    </row>
    <row r="16" spans="1:9" ht="14.1" customHeight="1">
      <c r="A16" s="18" t="s">
        <v>115</v>
      </c>
      <c r="B16" s="19">
        <f>'- 61 -'!$F16</f>
        <v>8140910</v>
      </c>
      <c r="C16" s="421">
        <v>881659</v>
      </c>
      <c r="D16" s="421">
        <v>752713</v>
      </c>
      <c r="E16" s="421">
        <v>449095</v>
      </c>
      <c r="F16" s="19">
        <f t="shared" si="0"/>
        <v>10224377</v>
      </c>
      <c r="G16" s="421">
        <v>92300</v>
      </c>
      <c r="H16" s="19">
        <f t="shared" si="1"/>
        <v>10316677</v>
      </c>
      <c r="I16" s="69">
        <f>H16/'- 43 -'!$I16*100</f>
        <v>73.918811289261242</v>
      </c>
    </row>
    <row r="17" spans="1:9" ht="14.1" customHeight="1">
      <c r="A17" s="287" t="s">
        <v>116</v>
      </c>
      <c r="B17" s="288">
        <f>'- 61 -'!$F17</f>
        <v>7447552</v>
      </c>
      <c r="C17" s="420">
        <v>1382665</v>
      </c>
      <c r="D17" s="420">
        <v>487785</v>
      </c>
      <c r="E17" s="420">
        <v>460461</v>
      </c>
      <c r="F17" s="288">
        <f t="shared" si="0"/>
        <v>9778463</v>
      </c>
      <c r="G17" s="420">
        <v>238725</v>
      </c>
      <c r="H17" s="288">
        <f t="shared" si="1"/>
        <v>10017188</v>
      </c>
      <c r="I17" s="294">
        <f>H17/'- 43 -'!$I17*100</f>
        <v>55.066743466574721</v>
      </c>
    </row>
    <row r="18" spans="1:9" ht="14.1" customHeight="1">
      <c r="A18" s="18" t="s">
        <v>117</v>
      </c>
      <c r="B18" s="19">
        <f>'- 61 -'!$F18</f>
        <v>36982968</v>
      </c>
      <c r="C18" s="421">
        <v>520359</v>
      </c>
      <c r="D18" s="421">
        <v>318474</v>
      </c>
      <c r="E18" s="421">
        <v>11701630</v>
      </c>
      <c r="F18" s="19">
        <f t="shared" si="0"/>
        <v>49523431</v>
      </c>
      <c r="G18" s="421">
        <v>1887600</v>
      </c>
      <c r="H18" s="19">
        <f t="shared" si="1"/>
        <v>51411031</v>
      </c>
      <c r="I18" s="69">
        <f>H18/'- 43 -'!$I18*100</f>
        <v>39.369521511849364</v>
      </c>
    </row>
    <row r="19" spans="1:9" ht="14.1" customHeight="1">
      <c r="A19" s="287" t="s">
        <v>118</v>
      </c>
      <c r="B19" s="288">
        <f>'- 61 -'!$F19</f>
        <v>27255554</v>
      </c>
      <c r="C19" s="420">
        <v>3159801</v>
      </c>
      <c r="D19" s="420">
        <v>646173</v>
      </c>
      <c r="E19" s="420">
        <v>999257</v>
      </c>
      <c r="F19" s="288">
        <f t="shared" si="0"/>
        <v>32060785</v>
      </c>
      <c r="G19" s="420">
        <v>0</v>
      </c>
      <c r="H19" s="288">
        <f t="shared" si="1"/>
        <v>32060785</v>
      </c>
      <c r="I19" s="294">
        <f>H19/'- 43 -'!$I19*100</f>
        <v>69.387849666918342</v>
      </c>
    </row>
    <row r="20" spans="1:9" ht="14.1" customHeight="1">
      <c r="A20" s="18" t="s">
        <v>119</v>
      </c>
      <c r="B20" s="19">
        <f>'- 61 -'!$F20</f>
        <v>45389050</v>
      </c>
      <c r="C20" s="421">
        <v>6016370</v>
      </c>
      <c r="D20" s="421">
        <v>1495069</v>
      </c>
      <c r="E20" s="421">
        <v>2469409</v>
      </c>
      <c r="F20" s="19">
        <f t="shared" si="0"/>
        <v>55369898</v>
      </c>
      <c r="G20" s="421">
        <v>69091</v>
      </c>
      <c r="H20" s="19">
        <f t="shared" si="1"/>
        <v>55438989</v>
      </c>
      <c r="I20" s="69">
        <f>H20/'- 43 -'!$I20*100</f>
        <v>70.877960105336484</v>
      </c>
    </row>
    <row r="21" spans="1:9" ht="14.1" customHeight="1">
      <c r="A21" s="287" t="s">
        <v>120</v>
      </c>
      <c r="B21" s="288">
        <f>'- 61 -'!$F21</f>
        <v>17218106</v>
      </c>
      <c r="C21" s="420">
        <v>3588988</v>
      </c>
      <c r="D21" s="420">
        <v>1289551</v>
      </c>
      <c r="E21" s="420">
        <v>845159</v>
      </c>
      <c r="F21" s="288">
        <f t="shared" si="0"/>
        <v>22941804</v>
      </c>
      <c r="G21" s="420">
        <v>12500</v>
      </c>
      <c r="H21" s="288">
        <f t="shared" si="1"/>
        <v>22954304</v>
      </c>
      <c r="I21" s="294">
        <f>H21/'- 43 -'!$I21*100</f>
        <v>65.135940317949064</v>
      </c>
    </row>
    <row r="22" spans="1:9" ht="14.1" customHeight="1">
      <c r="A22" s="18" t="s">
        <v>121</v>
      </c>
      <c r="B22" s="19">
        <f>'- 61 -'!$F22</f>
        <v>13478769</v>
      </c>
      <c r="C22" s="421">
        <v>1130510</v>
      </c>
      <c r="D22" s="421">
        <v>309407</v>
      </c>
      <c r="E22" s="421">
        <v>974161</v>
      </c>
      <c r="F22" s="19">
        <f t="shared" si="0"/>
        <v>15892847</v>
      </c>
      <c r="G22" s="421">
        <v>601017</v>
      </c>
      <c r="H22" s="19">
        <f t="shared" si="1"/>
        <v>16493864</v>
      </c>
      <c r="I22" s="69">
        <f>H22/'- 43 -'!$I22*100</f>
        <v>82.523649444611863</v>
      </c>
    </row>
    <row r="23" spans="1:9" ht="14.1" customHeight="1">
      <c r="A23" s="287" t="s">
        <v>122</v>
      </c>
      <c r="B23" s="288">
        <f>'- 61 -'!$F23</f>
        <v>9727790</v>
      </c>
      <c r="C23" s="420">
        <v>1069758</v>
      </c>
      <c r="D23" s="420">
        <v>440073</v>
      </c>
      <c r="E23" s="420">
        <v>610954</v>
      </c>
      <c r="F23" s="288">
        <f t="shared" si="0"/>
        <v>11848575</v>
      </c>
      <c r="G23" s="420">
        <v>290363</v>
      </c>
      <c r="H23" s="288">
        <f t="shared" si="1"/>
        <v>12138938</v>
      </c>
      <c r="I23" s="294">
        <f>H23/'- 43 -'!$I23*100</f>
        <v>71.265317806545752</v>
      </c>
    </row>
    <row r="24" spans="1:9" ht="14.1" customHeight="1">
      <c r="A24" s="18" t="s">
        <v>123</v>
      </c>
      <c r="B24" s="19">
        <f>'- 61 -'!$F24</f>
        <v>24067495</v>
      </c>
      <c r="C24" s="421">
        <v>5776427</v>
      </c>
      <c r="D24" s="421">
        <v>2692903</v>
      </c>
      <c r="E24" s="421">
        <v>1220965</v>
      </c>
      <c r="F24" s="19">
        <f t="shared" si="0"/>
        <v>33757790</v>
      </c>
      <c r="G24" s="421">
        <v>478840</v>
      </c>
      <c r="H24" s="19">
        <f t="shared" si="1"/>
        <v>34236630</v>
      </c>
      <c r="I24" s="69">
        <f>H24/'- 43 -'!$I24*100</f>
        <v>61.268946074333776</v>
      </c>
    </row>
    <row r="25" spans="1:9" ht="14.1" customHeight="1">
      <c r="A25" s="287" t="s">
        <v>124</v>
      </c>
      <c r="B25" s="288">
        <f>'- 61 -'!$F25</f>
        <v>71713931</v>
      </c>
      <c r="C25" s="420">
        <v>21563108</v>
      </c>
      <c r="D25" s="420">
        <v>5801049</v>
      </c>
      <c r="E25" s="420">
        <v>5167605</v>
      </c>
      <c r="F25" s="288">
        <f t="shared" si="0"/>
        <v>104245693</v>
      </c>
      <c r="G25" s="420">
        <v>373380</v>
      </c>
      <c r="H25" s="288">
        <f t="shared" si="1"/>
        <v>104619073</v>
      </c>
      <c r="I25" s="294">
        <f>H25/'- 43 -'!$I25*100</f>
        <v>63.717698907306087</v>
      </c>
    </row>
    <row r="26" spans="1:9" ht="14.1" customHeight="1">
      <c r="A26" s="18" t="s">
        <v>125</v>
      </c>
      <c r="B26" s="19">
        <f>'- 61 -'!$F26</f>
        <v>21971893</v>
      </c>
      <c r="C26" s="421">
        <v>3548324</v>
      </c>
      <c r="D26" s="421">
        <v>690312</v>
      </c>
      <c r="E26" s="421">
        <v>905031</v>
      </c>
      <c r="F26" s="19">
        <f t="shared" si="0"/>
        <v>27115560</v>
      </c>
      <c r="G26" s="421">
        <v>0</v>
      </c>
      <c r="H26" s="19">
        <f t="shared" si="1"/>
        <v>27115560</v>
      </c>
      <c r="I26" s="69">
        <f>H26/'- 43 -'!$I26*100</f>
        <v>68.157893202218162</v>
      </c>
    </row>
    <row r="27" spans="1:9" ht="14.1" customHeight="1">
      <c r="A27" s="287" t="s">
        <v>126</v>
      </c>
      <c r="B27" s="288">
        <f>'- 61 -'!$F27</f>
        <v>26727425</v>
      </c>
      <c r="C27" s="420">
        <v>1711361</v>
      </c>
      <c r="D27" s="420">
        <v>1058943</v>
      </c>
      <c r="E27" s="420">
        <v>1089686</v>
      </c>
      <c r="F27" s="288">
        <f t="shared" si="0"/>
        <v>30587415</v>
      </c>
      <c r="G27" s="420">
        <v>47950</v>
      </c>
      <c r="H27" s="288">
        <f t="shared" si="1"/>
        <v>30635365</v>
      </c>
      <c r="I27" s="294">
        <f>H27/'- 43 -'!$I27*100</f>
        <v>77.988332310599887</v>
      </c>
    </row>
    <row r="28" spans="1:9" ht="14.1" customHeight="1">
      <c r="A28" s="18" t="s">
        <v>127</v>
      </c>
      <c r="B28" s="19">
        <f>'- 61 -'!$F28</f>
        <v>10771100</v>
      </c>
      <c r="C28" s="421">
        <v>1619789</v>
      </c>
      <c r="D28" s="421">
        <v>788739</v>
      </c>
      <c r="E28" s="421">
        <v>653069</v>
      </c>
      <c r="F28" s="19">
        <f t="shared" si="0"/>
        <v>13832697</v>
      </c>
      <c r="G28" s="421">
        <v>0</v>
      </c>
      <c r="H28" s="19">
        <f t="shared" si="1"/>
        <v>13832697</v>
      </c>
      <c r="I28" s="69">
        <f>H28/'- 43 -'!$I28*100</f>
        <v>49.548246069007575</v>
      </c>
    </row>
    <row r="29" spans="1:9" ht="14.1" customHeight="1">
      <c r="A29" s="287" t="s">
        <v>128</v>
      </c>
      <c r="B29" s="288">
        <f>'- 61 -'!$F29</f>
        <v>54091300</v>
      </c>
      <c r="C29" s="420">
        <v>20642263</v>
      </c>
      <c r="D29" s="420">
        <v>4811670</v>
      </c>
      <c r="E29" s="420">
        <v>3326549</v>
      </c>
      <c r="F29" s="288">
        <f t="shared" si="0"/>
        <v>82871782</v>
      </c>
      <c r="G29" s="420">
        <v>199360</v>
      </c>
      <c r="H29" s="288">
        <f t="shared" si="1"/>
        <v>83071142</v>
      </c>
      <c r="I29" s="294">
        <f>H29/'- 43 -'!$I29*100</f>
        <v>55.330362750249549</v>
      </c>
    </row>
    <row r="30" spans="1:9" ht="14.1" customHeight="1">
      <c r="A30" s="18" t="s">
        <v>129</v>
      </c>
      <c r="B30" s="19">
        <f>'- 61 -'!$F30</f>
        <v>7554228</v>
      </c>
      <c r="C30" s="421">
        <v>947969</v>
      </c>
      <c r="D30" s="421">
        <v>331587</v>
      </c>
      <c r="E30" s="421">
        <v>309968</v>
      </c>
      <c r="F30" s="19">
        <f t="shared" si="0"/>
        <v>9143752</v>
      </c>
      <c r="G30" s="421">
        <v>0</v>
      </c>
      <c r="H30" s="19">
        <f t="shared" si="1"/>
        <v>9143752</v>
      </c>
      <c r="I30" s="69">
        <f>H30/'- 43 -'!$I30*100</f>
        <v>68.033453962557672</v>
      </c>
    </row>
    <row r="31" spans="1:9" ht="14.1" customHeight="1">
      <c r="A31" s="287" t="s">
        <v>130</v>
      </c>
      <c r="B31" s="288">
        <f>'- 61 -'!$F31</f>
        <v>18469073</v>
      </c>
      <c r="C31" s="420">
        <v>3159166</v>
      </c>
      <c r="D31" s="420">
        <v>520534</v>
      </c>
      <c r="E31" s="420">
        <v>800861</v>
      </c>
      <c r="F31" s="288">
        <f t="shared" si="0"/>
        <v>22949634</v>
      </c>
      <c r="G31" s="420">
        <v>0</v>
      </c>
      <c r="H31" s="288">
        <f t="shared" si="1"/>
        <v>22949634</v>
      </c>
      <c r="I31" s="294">
        <f>H31/'- 43 -'!$I31*100</f>
        <v>62.881301717955516</v>
      </c>
    </row>
    <row r="32" spans="1:9" ht="14.1" customHeight="1">
      <c r="A32" s="18" t="s">
        <v>131</v>
      </c>
      <c r="B32" s="19">
        <f>'- 61 -'!$F32</f>
        <v>12580583</v>
      </c>
      <c r="C32" s="421">
        <v>2371285</v>
      </c>
      <c r="D32" s="421">
        <v>1120539</v>
      </c>
      <c r="E32" s="421">
        <v>724852</v>
      </c>
      <c r="F32" s="19">
        <f t="shared" si="0"/>
        <v>16797259</v>
      </c>
      <c r="G32" s="421">
        <v>263583</v>
      </c>
      <c r="H32" s="19">
        <f t="shared" si="1"/>
        <v>17060842</v>
      </c>
      <c r="I32" s="69">
        <f>H32/'- 43 -'!$I32*100</f>
        <v>62.372973435396709</v>
      </c>
    </row>
    <row r="33" spans="1:9" ht="14.1" customHeight="1">
      <c r="A33" s="287" t="s">
        <v>132</v>
      </c>
      <c r="B33" s="288">
        <f>'- 61 -'!$F33</f>
        <v>14144887</v>
      </c>
      <c r="C33" s="420">
        <v>1952264</v>
      </c>
      <c r="D33" s="420">
        <v>810855</v>
      </c>
      <c r="E33" s="420">
        <v>720187</v>
      </c>
      <c r="F33" s="288">
        <f t="shared" si="0"/>
        <v>17628193</v>
      </c>
      <c r="G33" s="420">
        <v>11366</v>
      </c>
      <c r="H33" s="288">
        <f t="shared" si="1"/>
        <v>17639559</v>
      </c>
      <c r="I33" s="294">
        <f>H33/'- 43 -'!$I33*100</f>
        <v>62.725970267715724</v>
      </c>
    </row>
    <row r="34" spans="1:9" ht="14.1" customHeight="1">
      <c r="A34" s="18" t="s">
        <v>133</v>
      </c>
      <c r="B34" s="19">
        <f>'- 61 -'!$F34</f>
        <v>12572847</v>
      </c>
      <c r="C34" s="421">
        <v>2093412</v>
      </c>
      <c r="D34" s="421">
        <v>693913</v>
      </c>
      <c r="E34" s="421">
        <v>720599</v>
      </c>
      <c r="F34" s="19">
        <f t="shared" si="0"/>
        <v>16080771</v>
      </c>
      <c r="G34" s="421">
        <v>0</v>
      </c>
      <c r="H34" s="19">
        <f t="shared" si="1"/>
        <v>16080771</v>
      </c>
      <c r="I34" s="69">
        <f>H34/'- 43 -'!$I34*100</f>
        <v>58.770073695893188</v>
      </c>
    </row>
    <row r="35" spans="1:9" ht="14.1" customHeight="1">
      <c r="A35" s="287" t="s">
        <v>134</v>
      </c>
      <c r="B35" s="288">
        <f>'- 61 -'!$F35</f>
        <v>89661943</v>
      </c>
      <c r="C35" s="420">
        <v>23766018</v>
      </c>
      <c r="D35" s="420">
        <v>1469106</v>
      </c>
      <c r="E35" s="420">
        <v>5121199</v>
      </c>
      <c r="F35" s="288">
        <f t="shared" si="0"/>
        <v>120018266</v>
      </c>
      <c r="G35" s="420">
        <v>1337927</v>
      </c>
      <c r="H35" s="288">
        <f t="shared" si="1"/>
        <v>121356193</v>
      </c>
      <c r="I35" s="294">
        <f>H35/'- 43 -'!$I35*100</f>
        <v>68.639743952601336</v>
      </c>
    </row>
    <row r="36" spans="1:9" ht="14.1" customHeight="1">
      <c r="A36" s="18" t="s">
        <v>135</v>
      </c>
      <c r="B36" s="19">
        <f>'- 61 -'!$F36</f>
        <v>10258691</v>
      </c>
      <c r="C36" s="421">
        <v>2100534</v>
      </c>
      <c r="D36" s="421">
        <v>761222</v>
      </c>
      <c r="E36" s="421">
        <v>501779</v>
      </c>
      <c r="F36" s="19">
        <f t="shared" si="0"/>
        <v>13622226</v>
      </c>
      <c r="G36" s="421">
        <v>321446</v>
      </c>
      <c r="H36" s="19">
        <f t="shared" si="1"/>
        <v>13943672</v>
      </c>
      <c r="I36" s="69">
        <f>H36/'- 43 -'!$I36*100</f>
        <v>60.338611254116735</v>
      </c>
    </row>
    <row r="37" spans="1:9" ht="14.1" customHeight="1">
      <c r="A37" s="287" t="s">
        <v>136</v>
      </c>
      <c r="B37" s="288">
        <f>'- 61 -'!$F37</f>
        <v>25668249</v>
      </c>
      <c r="C37" s="420">
        <v>4556721</v>
      </c>
      <c r="D37" s="420">
        <v>2020101</v>
      </c>
      <c r="E37" s="420">
        <v>1183357</v>
      </c>
      <c r="F37" s="288">
        <f t="shared" si="0"/>
        <v>33428428</v>
      </c>
      <c r="G37" s="420">
        <v>349159</v>
      </c>
      <c r="H37" s="288">
        <f t="shared" si="1"/>
        <v>33777587</v>
      </c>
      <c r="I37" s="294">
        <f>H37/'- 43 -'!$I37*100</f>
        <v>72.253734654423326</v>
      </c>
    </row>
    <row r="38" spans="1:9" ht="14.1" customHeight="1">
      <c r="A38" s="18" t="s">
        <v>137</v>
      </c>
      <c r="B38" s="19">
        <f>'- 61 -'!$F38</f>
        <v>65862411</v>
      </c>
      <c r="C38" s="421">
        <v>12411769</v>
      </c>
      <c r="D38" s="421">
        <v>5355729</v>
      </c>
      <c r="E38" s="421">
        <v>3432432</v>
      </c>
      <c r="F38" s="19">
        <f t="shared" si="0"/>
        <v>87062341</v>
      </c>
      <c r="G38" s="421">
        <v>1498560</v>
      </c>
      <c r="H38" s="19">
        <f t="shared" si="1"/>
        <v>88560901</v>
      </c>
      <c r="I38" s="69">
        <f>H38/'- 43 -'!$I38*100</f>
        <v>70.319571648907697</v>
      </c>
    </row>
    <row r="39" spans="1:9" ht="14.1" customHeight="1">
      <c r="A39" s="287" t="s">
        <v>138</v>
      </c>
      <c r="B39" s="288">
        <f>'- 61 -'!$F39</f>
        <v>9170415</v>
      </c>
      <c r="C39" s="420">
        <v>1595165</v>
      </c>
      <c r="D39" s="420">
        <v>758456</v>
      </c>
      <c r="E39" s="420">
        <v>463882</v>
      </c>
      <c r="F39" s="288">
        <f t="shared" si="0"/>
        <v>11987918</v>
      </c>
      <c r="G39" s="420">
        <v>142126</v>
      </c>
      <c r="H39" s="288">
        <f t="shared" si="1"/>
        <v>12130044</v>
      </c>
      <c r="I39" s="294">
        <f>H39/'- 43 -'!$I39*100</f>
        <v>56.832989626962828</v>
      </c>
    </row>
    <row r="40" spans="1:9" ht="14.1" customHeight="1">
      <c r="A40" s="18" t="s">
        <v>139</v>
      </c>
      <c r="B40" s="19">
        <f>'- 61 -'!$F40</f>
        <v>38986617</v>
      </c>
      <c r="C40" s="421">
        <v>12869839</v>
      </c>
      <c r="D40" s="421">
        <v>3447457</v>
      </c>
      <c r="E40" s="421">
        <v>2680225</v>
      </c>
      <c r="F40" s="19">
        <f t="shared" si="0"/>
        <v>57984138</v>
      </c>
      <c r="G40" s="421">
        <v>90857</v>
      </c>
      <c r="H40" s="19">
        <f t="shared" si="1"/>
        <v>58074995</v>
      </c>
      <c r="I40" s="69">
        <f>H40/'- 43 -'!$I40*100</f>
        <v>57.612762048806218</v>
      </c>
    </row>
    <row r="41" spans="1:9" ht="14.1" customHeight="1">
      <c r="A41" s="287" t="s">
        <v>140</v>
      </c>
      <c r="B41" s="288">
        <f>'- 61 -'!$F41</f>
        <v>25695263</v>
      </c>
      <c r="C41" s="420">
        <v>6778429</v>
      </c>
      <c r="D41" s="420">
        <v>2933411</v>
      </c>
      <c r="E41" s="420">
        <v>1552799</v>
      </c>
      <c r="F41" s="288">
        <f t="shared" si="0"/>
        <v>36959902</v>
      </c>
      <c r="G41" s="420">
        <v>1159336</v>
      </c>
      <c r="H41" s="288">
        <f t="shared" si="1"/>
        <v>38119238</v>
      </c>
      <c r="I41" s="294">
        <f>H41/'- 43 -'!$I41*100</f>
        <v>61.590025137698959</v>
      </c>
    </row>
    <row r="42" spans="1:9" ht="14.1" customHeight="1">
      <c r="A42" s="18" t="s">
        <v>141</v>
      </c>
      <c r="B42" s="19">
        <f>'- 61 -'!$F42</f>
        <v>11905863</v>
      </c>
      <c r="C42" s="421">
        <v>1573919</v>
      </c>
      <c r="D42" s="421">
        <v>1056497</v>
      </c>
      <c r="E42" s="421">
        <v>524732</v>
      </c>
      <c r="F42" s="19">
        <f t="shared" si="0"/>
        <v>15061011</v>
      </c>
      <c r="G42" s="421">
        <v>43089</v>
      </c>
      <c r="H42" s="19">
        <f t="shared" si="1"/>
        <v>15104100</v>
      </c>
      <c r="I42" s="69">
        <f>H42/'- 43 -'!$I42*100</f>
        <v>72.06549290008823</v>
      </c>
    </row>
    <row r="43" spans="1:9" ht="14.1" customHeight="1">
      <c r="A43" s="287" t="s">
        <v>142</v>
      </c>
      <c r="B43" s="288">
        <f>'- 61 -'!$F43</f>
        <v>6039751</v>
      </c>
      <c r="C43" s="420">
        <v>1273565</v>
      </c>
      <c r="D43" s="420">
        <v>0</v>
      </c>
      <c r="E43" s="420">
        <v>347953</v>
      </c>
      <c r="F43" s="288">
        <f t="shared" si="0"/>
        <v>7661269</v>
      </c>
      <c r="G43" s="420">
        <v>180750</v>
      </c>
      <c r="H43" s="288">
        <f t="shared" si="1"/>
        <v>7842019</v>
      </c>
      <c r="I43" s="294">
        <f>H43/'- 43 -'!$I43*100</f>
        <v>61.260154732683112</v>
      </c>
    </row>
    <row r="44" spans="1:9" ht="14.1" customHeight="1">
      <c r="A44" s="18" t="s">
        <v>143</v>
      </c>
      <c r="B44" s="19">
        <f>'- 61 -'!$F44</f>
        <v>7172573</v>
      </c>
      <c r="C44" s="421">
        <v>692696</v>
      </c>
      <c r="D44" s="421">
        <v>453862</v>
      </c>
      <c r="E44" s="421">
        <v>418200</v>
      </c>
      <c r="F44" s="19">
        <f t="shared" si="0"/>
        <v>8737331</v>
      </c>
      <c r="G44" s="421">
        <v>0</v>
      </c>
      <c r="H44" s="19">
        <f t="shared" si="1"/>
        <v>8737331</v>
      </c>
      <c r="I44" s="69">
        <f>H44/'- 43 -'!$I44*100</f>
        <v>78.482371732397922</v>
      </c>
    </row>
    <row r="45" spans="1:9" ht="14.1" customHeight="1">
      <c r="A45" s="287" t="s">
        <v>144</v>
      </c>
      <c r="B45" s="288">
        <f>'- 61 -'!$F45</f>
        <v>9537400</v>
      </c>
      <c r="C45" s="420">
        <v>1967514</v>
      </c>
      <c r="D45" s="420">
        <v>0</v>
      </c>
      <c r="E45" s="420">
        <v>385821</v>
      </c>
      <c r="F45" s="288">
        <f t="shared" si="0"/>
        <v>11890735</v>
      </c>
      <c r="G45" s="420">
        <v>388449</v>
      </c>
      <c r="H45" s="288">
        <f t="shared" si="1"/>
        <v>12279184</v>
      </c>
      <c r="I45" s="294">
        <f>H45/'- 43 -'!$I45*100</f>
        <v>67.352552831386703</v>
      </c>
    </row>
    <row r="46" spans="1:9" ht="14.1" customHeight="1">
      <c r="A46" s="18" t="s">
        <v>145</v>
      </c>
      <c r="B46" s="19">
        <f>'- 61 -'!$F46</f>
        <v>178243273</v>
      </c>
      <c r="C46" s="421">
        <v>30488642</v>
      </c>
      <c r="D46" s="421">
        <v>9491676</v>
      </c>
      <c r="E46" s="421">
        <v>16387765</v>
      </c>
      <c r="F46" s="19">
        <f t="shared" si="0"/>
        <v>234611356</v>
      </c>
      <c r="G46" s="421">
        <v>759178</v>
      </c>
      <c r="H46" s="19">
        <f t="shared" si="1"/>
        <v>235370534</v>
      </c>
      <c r="I46" s="69">
        <f>H46/'- 43 -'!$I46*100</f>
        <v>62.953223229411179</v>
      </c>
    </row>
    <row r="47" spans="1:9" ht="5.0999999999999996" customHeight="1">
      <c r="A47" s="20"/>
      <c r="B47" s="21"/>
      <c r="C47" s="21"/>
      <c r="D47" s="21"/>
      <c r="E47" s="21"/>
      <c r="F47" s="21"/>
      <c r="G47" s="21"/>
      <c r="H47" s="21"/>
      <c r="I47"/>
    </row>
    <row r="48" spans="1:9" ht="14.1" customHeight="1">
      <c r="A48" s="289" t="s">
        <v>146</v>
      </c>
      <c r="B48" s="290">
        <f t="shared" ref="B48:H48" si="2">SUM(B11:B46)</f>
        <v>1028061749</v>
      </c>
      <c r="C48" s="424">
        <f>SUM(C11:C46)</f>
        <v>203518466</v>
      </c>
      <c r="D48" s="424">
        <f>SUM(D11:D46)</f>
        <v>61418637</v>
      </c>
      <c r="E48" s="424">
        <f>SUM(E11:E46)</f>
        <v>87454792</v>
      </c>
      <c r="F48" s="290">
        <f t="shared" si="2"/>
        <v>1380453644</v>
      </c>
      <c r="G48" s="424">
        <f>SUM(G11:G46)</f>
        <v>12253452</v>
      </c>
      <c r="H48" s="290">
        <f t="shared" si="2"/>
        <v>1392707096</v>
      </c>
      <c r="I48" s="297">
        <f>H48/'- 43 -'!$I48*100</f>
        <v>63.203791978745663</v>
      </c>
    </row>
    <row r="49" spans="1:9" ht="5.0999999999999996" customHeight="1">
      <c r="A49" s="20" t="s">
        <v>8</v>
      </c>
      <c r="B49" s="21"/>
      <c r="C49" s="21"/>
      <c r="D49" s="21"/>
      <c r="E49" s="21"/>
      <c r="F49" s="21"/>
      <c r="G49" s="21"/>
      <c r="H49" s="21"/>
      <c r="I49"/>
    </row>
    <row r="50" spans="1:9" ht="14.1" customHeight="1">
      <c r="A50" s="18" t="s">
        <v>147</v>
      </c>
      <c r="B50" s="19">
        <f>'- 61 -'!$F50</f>
        <v>945502</v>
      </c>
      <c r="C50" s="421">
        <v>384762</v>
      </c>
      <c r="D50" s="421">
        <v>24000</v>
      </c>
      <c r="E50" s="421">
        <v>115295</v>
      </c>
      <c r="F50" s="19">
        <f>SUM(B50:E50)</f>
        <v>1469559</v>
      </c>
      <c r="G50" s="421">
        <v>0</v>
      </c>
      <c r="H50" s="19">
        <f>SUM(F50:G50)</f>
        <v>1469559</v>
      </c>
      <c r="I50" s="69">
        <f>H50/'- 43 -'!$I50*100</f>
        <v>43.578991943770383</v>
      </c>
    </row>
    <row r="51" spans="1:9" ht="14.1" customHeight="1">
      <c r="A51" s="287" t="s">
        <v>643</v>
      </c>
      <c r="B51" s="288">
        <f>'- 61 -'!$F51</f>
        <v>0</v>
      </c>
      <c r="C51" s="420">
        <v>0</v>
      </c>
      <c r="D51" s="420">
        <v>0</v>
      </c>
      <c r="E51" s="420">
        <v>5823981</v>
      </c>
      <c r="F51" s="288">
        <f>SUM(B51:E51)</f>
        <v>5823981</v>
      </c>
      <c r="G51" s="420">
        <v>3147781</v>
      </c>
      <c r="H51" s="288">
        <f>SUM(F51:G51)</f>
        <v>8971762</v>
      </c>
      <c r="I51" s="294">
        <f>H51/'- 43 -'!$I51*100</f>
        <v>35.490130637762931</v>
      </c>
    </row>
    <row r="52" spans="1:9" ht="50.1" customHeight="1">
      <c r="A52" s="22"/>
      <c r="B52" s="22"/>
      <c r="C52" s="22"/>
      <c r="D52" s="22"/>
      <c r="E52" s="22"/>
      <c r="F52" s="22"/>
      <c r="G52" s="22"/>
      <c r="H52" s="22"/>
      <c r="I52" s="22"/>
    </row>
    <row r="53" spans="1:9" ht="15" customHeight="1">
      <c r="A53" s="37" t="s">
        <v>354</v>
      </c>
      <c r="C53" s="37"/>
      <c r="D53" s="37"/>
      <c r="E53" s="220"/>
      <c r="F53" s="220"/>
      <c r="G53" s="220"/>
      <c r="H53" s="220"/>
    </row>
    <row r="54" spans="1:9" ht="12" customHeight="1">
      <c r="A54" s="608" t="s">
        <v>646</v>
      </c>
      <c r="B54" s="608"/>
      <c r="C54" s="608"/>
      <c r="D54" s="608"/>
      <c r="E54" s="608"/>
      <c r="F54" s="608"/>
      <c r="G54" s="608"/>
      <c r="H54" s="608"/>
      <c r="I54" s="608"/>
    </row>
    <row r="55" spans="1:9" ht="12" customHeight="1">
      <c r="A55" s="608"/>
      <c r="B55" s="608"/>
      <c r="C55" s="608"/>
      <c r="D55" s="608"/>
      <c r="E55" s="608"/>
      <c r="F55" s="608"/>
      <c r="G55" s="608"/>
      <c r="H55" s="608"/>
      <c r="I55" s="608"/>
    </row>
    <row r="56" spans="1:9" ht="12" customHeight="1">
      <c r="A56" s="608"/>
      <c r="B56" s="608"/>
      <c r="C56" s="608"/>
      <c r="D56" s="608"/>
      <c r="E56" s="608"/>
      <c r="F56" s="608"/>
      <c r="G56" s="608"/>
      <c r="H56" s="608"/>
      <c r="I56" s="608"/>
    </row>
    <row r="57" spans="1:9" ht="12" customHeight="1">
      <c r="A57" s="608"/>
      <c r="B57" s="608"/>
      <c r="C57" s="608"/>
      <c r="D57" s="608"/>
      <c r="E57" s="608"/>
      <c r="F57" s="608"/>
      <c r="G57" s="608"/>
      <c r="H57" s="608"/>
      <c r="I57" s="608"/>
    </row>
    <row r="58" spans="1:9" ht="12" customHeight="1">
      <c r="A58" s="705" t="s">
        <v>553</v>
      </c>
      <c r="B58" s="705"/>
      <c r="C58" s="705"/>
      <c r="D58" s="705"/>
      <c r="E58" s="705"/>
      <c r="F58" s="705"/>
      <c r="G58" s="705"/>
      <c r="H58" s="705"/>
      <c r="I58" s="705"/>
    </row>
    <row r="59" spans="1:9" ht="12" customHeight="1">
      <c r="A59" s="705"/>
      <c r="B59" s="705"/>
      <c r="C59" s="705"/>
      <c r="D59" s="705"/>
      <c r="E59" s="705"/>
      <c r="F59" s="705"/>
      <c r="G59" s="705"/>
      <c r="H59" s="705"/>
      <c r="I59" s="705"/>
    </row>
    <row r="60" spans="1:9" ht="12" customHeight="1">
      <c r="A60" s="132" t="s">
        <v>398</v>
      </c>
    </row>
    <row r="61" spans="1:9">
      <c r="A61" s="1" t="s">
        <v>355</v>
      </c>
    </row>
    <row r="62" spans="1:9">
      <c r="A62" s="1" t="e">
        <f>"(6) Total provincial contribution to public education is "&amp;ROUND(#REF!*100,1)&amp;"%. See page i for more details."</f>
        <v>#REF!</v>
      </c>
    </row>
  </sheetData>
  <mergeCells count="11">
    <mergeCell ref="B7:B9"/>
    <mergeCell ref="A58:I59"/>
    <mergeCell ref="A54:I57"/>
    <mergeCell ref="B5:F5"/>
    <mergeCell ref="B3:I3"/>
    <mergeCell ref="H7:H9"/>
    <mergeCell ref="I6:I9"/>
    <mergeCell ref="G7:G9"/>
    <mergeCell ref="E8:E9"/>
    <mergeCell ref="D7:D9"/>
    <mergeCell ref="C7:C9"/>
  </mergeCells>
  <phoneticPr fontId="6" type="noConversion"/>
  <pageMargins left="0.5" right="0.5" top="0.6" bottom="0.2" header="0.3" footer="0.5"/>
  <pageSetup scale="81" orientation="portrait" r:id="rId1"/>
  <headerFooter alignWithMargins="0">
    <oddHeader>&amp;C&amp;"Arial,Regular"&amp;12&amp;A</oddHeader>
  </headerFooter>
</worksheet>
</file>

<file path=xl/worksheets/sheet37.xml><?xml version="1.0" encoding="utf-8"?>
<worksheet xmlns="http://schemas.openxmlformats.org/spreadsheetml/2006/main" xmlns:r="http://schemas.openxmlformats.org/officeDocument/2006/relationships">
  <sheetPr codeName="Sheet37">
    <pageSetUpPr fitToPage="1"/>
  </sheetPr>
  <dimension ref="A1:I54"/>
  <sheetViews>
    <sheetView showGridLines="0" showZeros="0" workbookViewId="0"/>
  </sheetViews>
  <sheetFormatPr defaultColWidth="15.83203125" defaultRowHeight="12"/>
  <cols>
    <col min="1" max="1" width="34.83203125" style="1" customWidth="1"/>
    <col min="2" max="2" width="15.83203125" style="1" customWidth="1"/>
    <col min="3" max="3" width="8.83203125" style="1" customWidth="1"/>
    <col min="4" max="4" width="15.83203125" style="1"/>
    <col min="5" max="5" width="8.83203125" style="1" customWidth="1"/>
    <col min="6" max="6" width="15.83203125" style="1"/>
    <col min="7" max="7" width="8.83203125" style="1" customWidth="1"/>
    <col min="8" max="8" width="14.83203125" style="1" customWidth="1"/>
    <col min="9" max="9" width="8.83203125" style="1" customWidth="1"/>
    <col min="10" max="16384" width="15.83203125" style="1"/>
  </cols>
  <sheetData>
    <row r="1" spans="1:9" ht="6.95" customHeight="1">
      <c r="A1" s="6"/>
    </row>
    <row r="2" spans="1:9" ht="15.95" customHeight="1">
      <c r="A2" s="212"/>
      <c r="B2" s="203" t="str">
        <f>REVYEAR</f>
        <v>ANALYSIS OF OPERATING FUND REVENUE: 2014/2015 ACTUAL</v>
      </c>
      <c r="C2" s="40"/>
      <c r="D2" s="40"/>
      <c r="E2" s="40"/>
      <c r="F2" s="40"/>
      <c r="G2" s="216"/>
      <c r="H2" s="217"/>
      <c r="I2" s="214" t="s">
        <v>9</v>
      </c>
    </row>
    <row r="3" spans="1:9" ht="15.95" customHeight="1">
      <c r="A3" s="542"/>
    </row>
    <row r="4" spans="1:9" ht="15.95" customHeight="1">
      <c r="B4" s="7"/>
      <c r="C4" s="7"/>
      <c r="D4" s="7"/>
      <c r="E4" s="7"/>
      <c r="F4" s="7"/>
      <c r="G4" s="7"/>
      <c r="H4" s="7"/>
      <c r="I4" s="42"/>
    </row>
    <row r="5" spans="1:9" ht="15.95" customHeight="1">
      <c r="B5" s="7"/>
      <c r="C5" s="7"/>
      <c r="D5" s="7"/>
      <c r="E5" s="7"/>
      <c r="F5" s="7"/>
      <c r="G5" s="7"/>
      <c r="H5" s="7"/>
      <c r="I5" s="7"/>
    </row>
    <row r="6" spans="1:9" ht="15.95" customHeight="1">
      <c r="B6" s="7"/>
      <c r="C6" s="7"/>
      <c r="D6" s="7"/>
      <c r="E6" s="7"/>
      <c r="F6" s="7"/>
      <c r="G6" s="7"/>
      <c r="H6" s="7"/>
      <c r="I6" s="7"/>
    </row>
    <row r="7" spans="1:9" ht="15.95" customHeight="1">
      <c r="B7" s="658" t="s">
        <v>554</v>
      </c>
      <c r="C7" s="659"/>
      <c r="D7" s="678" t="s">
        <v>555</v>
      </c>
      <c r="E7" s="632"/>
      <c r="F7" s="635" t="s">
        <v>545</v>
      </c>
      <c r="G7" s="632"/>
      <c r="H7" s="314"/>
      <c r="I7" s="313"/>
    </row>
    <row r="8" spans="1:9" ht="15.95" customHeight="1">
      <c r="A8" s="406"/>
      <c r="B8" s="660"/>
      <c r="C8" s="661"/>
      <c r="D8" s="665"/>
      <c r="E8" s="634"/>
      <c r="F8" s="633"/>
      <c r="G8" s="634"/>
      <c r="H8" s="636" t="s">
        <v>62</v>
      </c>
      <c r="I8" s="637"/>
    </row>
    <row r="9" spans="1:9" ht="15.95" customHeight="1">
      <c r="A9" s="34" t="s">
        <v>43</v>
      </c>
      <c r="B9" s="568" t="s">
        <v>63</v>
      </c>
      <c r="C9" s="114" t="s">
        <v>45</v>
      </c>
      <c r="D9" s="205" t="s">
        <v>63</v>
      </c>
      <c r="E9" s="205" t="s">
        <v>45</v>
      </c>
      <c r="F9" s="205" t="s">
        <v>63</v>
      </c>
      <c r="G9" s="205" t="s">
        <v>45</v>
      </c>
      <c r="H9" s="215" t="s">
        <v>63</v>
      </c>
      <c r="I9" s="215" t="s">
        <v>45</v>
      </c>
    </row>
    <row r="10" spans="1:9" ht="5.0999999999999996" customHeight="1">
      <c r="A10" s="5"/>
      <c r="B10" s="206"/>
      <c r="C10" s="206"/>
      <c r="D10" s="206"/>
      <c r="E10" s="206"/>
      <c r="F10" s="206"/>
      <c r="G10" s="206"/>
      <c r="H10" s="206"/>
      <c r="I10" s="206"/>
    </row>
    <row r="11" spans="1:9" ht="14.1" customHeight="1">
      <c r="A11" s="287" t="s">
        <v>111</v>
      </c>
      <c r="B11" s="420">
        <v>0</v>
      </c>
      <c r="C11" s="294">
        <f>B11/'- 43 -'!$I11*100</f>
        <v>0</v>
      </c>
      <c r="D11" s="420">
        <v>6101414</v>
      </c>
      <c r="E11" s="294">
        <f>D11/'- 43 -'!$I11*100</f>
        <v>34.127339082699685</v>
      </c>
      <c r="F11" s="420">
        <v>31200</v>
      </c>
      <c r="G11" s="294">
        <f>F11/'- 43 -'!$I11*100</f>
        <v>0.17451249487089879</v>
      </c>
      <c r="H11" s="420">
        <v>0</v>
      </c>
      <c r="I11" s="294">
        <f>H11/'- 43 -'!$I11*100</f>
        <v>0</v>
      </c>
    </row>
    <row r="12" spans="1:9" ht="14.1" customHeight="1">
      <c r="A12" s="18" t="s">
        <v>112</v>
      </c>
      <c r="B12" s="421">
        <v>15623</v>
      </c>
      <c r="C12" s="69">
        <f>B12/'- 43 -'!$I12*100</f>
        <v>4.6915363638962565E-2</v>
      </c>
      <c r="D12" s="421">
        <v>8971967</v>
      </c>
      <c r="E12" s="69">
        <f>D12/'- 43 -'!$I12*100</f>
        <v>26.942526682568779</v>
      </c>
      <c r="F12" s="421">
        <v>631173</v>
      </c>
      <c r="G12" s="69">
        <f>F12/'- 43 -'!$I12*100</f>
        <v>1.8953921022911682</v>
      </c>
      <c r="H12" s="421">
        <v>1252605</v>
      </c>
      <c r="I12" s="69">
        <f>H12/'- 43 -'!$I12*100</f>
        <v>3.7615322966768678</v>
      </c>
    </row>
    <row r="13" spans="1:9" ht="14.1" customHeight="1">
      <c r="A13" s="287" t="s">
        <v>113</v>
      </c>
      <c r="B13" s="420">
        <v>20196</v>
      </c>
      <c r="C13" s="294">
        <f>B13/'- 43 -'!$I13*100</f>
        <v>2.2540400705064984E-2</v>
      </c>
      <c r="D13" s="420">
        <v>32902072</v>
      </c>
      <c r="E13" s="294">
        <f>D13/'- 43 -'!$I13*100</f>
        <v>36.721424386358628</v>
      </c>
      <c r="F13" s="420">
        <v>300824</v>
      </c>
      <c r="G13" s="294">
        <f>F13/'- 43 -'!$I13*100</f>
        <v>0.33574438015946073</v>
      </c>
      <c r="H13" s="420">
        <v>130900</v>
      </c>
      <c r="I13" s="294">
        <f>H13/'- 43 -'!$I13*100</f>
        <v>0.14609518975505081</v>
      </c>
    </row>
    <row r="14" spans="1:9" ht="14.1" customHeight="1">
      <c r="A14" s="18" t="s">
        <v>365</v>
      </c>
      <c r="B14" s="421">
        <v>56660</v>
      </c>
      <c r="C14" s="69">
        <f>B14/'- 43 -'!$I14*100</f>
        <v>7.1500063379644957E-2</v>
      </c>
      <c r="D14" s="421">
        <v>19076247</v>
      </c>
      <c r="E14" s="69">
        <f>D14/'- 43 -'!$I14*100</f>
        <v>24.072588590641757</v>
      </c>
      <c r="F14" s="421">
        <v>1412761</v>
      </c>
      <c r="G14" s="69">
        <f>F14/'- 43 -'!$I14*100</f>
        <v>1.7827832869800668</v>
      </c>
      <c r="H14" s="421">
        <v>0</v>
      </c>
      <c r="I14" s="69">
        <f>H14/'- 43 -'!$I14*100</f>
        <v>0</v>
      </c>
    </row>
    <row r="15" spans="1:9" ht="14.1" customHeight="1">
      <c r="A15" s="287" t="s">
        <v>114</v>
      </c>
      <c r="B15" s="420">
        <v>0</v>
      </c>
      <c r="C15" s="294">
        <f>B15/'- 43 -'!$I15*100</f>
        <v>0</v>
      </c>
      <c r="D15" s="420">
        <v>7116923</v>
      </c>
      <c r="E15" s="294">
        <f>D15/'- 43 -'!$I15*100</f>
        <v>34.765392853189589</v>
      </c>
      <c r="F15" s="420">
        <v>51374</v>
      </c>
      <c r="G15" s="294">
        <f>F15/'- 43 -'!$I15*100</f>
        <v>0.2509563883773594</v>
      </c>
      <c r="H15" s="420">
        <v>142000</v>
      </c>
      <c r="I15" s="294">
        <f>H15/'- 43 -'!$I15*100</f>
        <v>0.69365451686816348</v>
      </c>
    </row>
    <row r="16" spans="1:9" ht="14.1" customHeight="1">
      <c r="A16" s="18" t="s">
        <v>115</v>
      </c>
      <c r="B16" s="421">
        <v>0</v>
      </c>
      <c r="C16" s="69">
        <f>B16/'- 43 -'!$I16*100</f>
        <v>0</v>
      </c>
      <c r="D16" s="421">
        <v>3117074</v>
      </c>
      <c r="E16" s="69">
        <f>D16/'- 43 -'!$I16*100</f>
        <v>22.333781001446752</v>
      </c>
      <c r="F16" s="421">
        <v>285509</v>
      </c>
      <c r="G16" s="69">
        <f>F16/'- 43 -'!$I16*100</f>
        <v>2.0456670197570097</v>
      </c>
      <c r="H16" s="421">
        <v>0</v>
      </c>
      <c r="I16" s="69">
        <f>H16/'- 43 -'!$I16*100</f>
        <v>0</v>
      </c>
    </row>
    <row r="17" spans="1:9" ht="14.1" customHeight="1">
      <c r="A17" s="287" t="s">
        <v>116</v>
      </c>
      <c r="B17" s="420">
        <v>0</v>
      </c>
      <c r="C17" s="294">
        <f>B17/'- 43 -'!$I17*100</f>
        <v>0</v>
      </c>
      <c r="D17" s="420">
        <v>6674710</v>
      </c>
      <c r="E17" s="294">
        <f>D17/'- 43 -'!$I17*100</f>
        <v>36.692387452824185</v>
      </c>
      <c r="F17" s="420">
        <v>25800</v>
      </c>
      <c r="G17" s="294">
        <f>F17/'- 43 -'!$I17*100</f>
        <v>0.14182842344953772</v>
      </c>
      <c r="H17" s="420">
        <v>916970</v>
      </c>
      <c r="I17" s="294">
        <f>H17/'- 43 -'!$I17*100</f>
        <v>5.0407910639737441</v>
      </c>
    </row>
    <row r="18" spans="1:9" ht="14.1" customHeight="1">
      <c r="A18" s="18" t="s">
        <v>117</v>
      </c>
      <c r="B18" s="421">
        <v>0</v>
      </c>
      <c r="C18" s="69">
        <f>B18/'- 43 -'!$I18*100</f>
        <v>0</v>
      </c>
      <c r="D18" s="421">
        <v>3099977</v>
      </c>
      <c r="E18" s="69">
        <f>D18/'- 43 -'!$I18*100</f>
        <v>2.3738993133154294</v>
      </c>
      <c r="F18" s="421">
        <v>13650</v>
      </c>
      <c r="G18" s="69">
        <f>F18/'- 43 -'!$I18*100</f>
        <v>1.0452892272025118E-2</v>
      </c>
      <c r="H18" s="421">
        <v>70406923</v>
      </c>
      <c r="I18" s="69">
        <f>H18/'- 43 -'!$I18*100</f>
        <v>53.916189107968329</v>
      </c>
    </row>
    <row r="19" spans="1:9" ht="14.1" customHeight="1">
      <c r="A19" s="287" t="s">
        <v>118</v>
      </c>
      <c r="B19" s="420">
        <v>0</v>
      </c>
      <c r="C19" s="294">
        <f>B19/'- 43 -'!$I19*100</f>
        <v>0</v>
      </c>
      <c r="D19" s="420">
        <v>13177394</v>
      </c>
      <c r="E19" s="294">
        <f>D19/'- 43 -'!$I19*100</f>
        <v>28.519296513599144</v>
      </c>
      <c r="F19" s="420">
        <v>427957</v>
      </c>
      <c r="G19" s="294">
        <f>F19/'- 43 -'!$I19*100</f>
        <v>0.92620988475189781</v>
      </c>
      <c r="H19" s="420">
        <v>0</v>
      </c>
      <c r="I19" s="294">
        <f>H19/'- 43 -'!$I19*100</f>
        <v>0</v>
      </c>
    </row>
    <row r="20" spans="1:9" ht="14.1" customHeight="1">
      <c r="A20" s="18" t="s">
        <v>119</v>
      </c>
      <c r="B20" s="421">
        <v>0</v>
      </c>
      <c r="C20" s="69">
        <f>B20/'- 43 -'!$I20*100</f>
        <v>0</v>
      </c>
      <c r="D20" s="421">
        <v>22121082</v>
      </c>
      <c r="E20" s="69">
        <f>D20/'- 43 -'!$I20*100</f>
        <v>28.281489178723607</v>
      </c>
      <c r="F20" s="421">
        <v>122038</v>
      </c>
      <c r="G20" s="69">
        <f>F20/'- 43 -'!$I20*100</f>
        <v>0.15602384984572959</v>
      </c>
      <c r="H20" s="421">
        <v>0</v>
      </c>
      <c r="I20" s="69">
        <f>H20/'- 43 -'!$I20*100</f>
        <v>0</v>
      </c>
    </row>
    <row r="21" spans="1:9" ht="14.1" customHeight="1">
      <c r="A21" s="287" t="s">
        <v>120</v>
      </c>
      <c r="B21" s="420">
        <v>33724</v>
      </c>
      <c r="C21" s="294">
        <f>B21/'- 43 -'!$I21*100</f>
        <v>9.5696408450568343E-2</v>
      </c>
      <c r="D21" s="420">
        <v>11828959</v>
      </c>
      <c r="E21" s="294">
        <f>D21/'- 43 -'!$I21*100</f>
        <v>33.566270074991891</v>
      </c>
      <c r="F21" s="420">
        <v>71779</v>
      </c>
      <c r="G21" s="294">
        <f>F21/'- 43 -'!$I21*100</f>
        <v>0.20368261481951561</v>
      </c>
      <c r="H21" s="420">
        <v>0</v>
      </c>
      <c r="I21" s="294">
        <f>H21/'- 43 -'!$I21*100</f>
        <v>0</v>
      </c>
    </row>
    <row r="22" spans="1:9" ht="14.1" customHeight="1">
      <c r="A22" s="18" t="s">
        <v>121</v>
      </c>
      <c r="B22" s="421">
        <v>20110</v>
      </c>
      <c r="C22" s="69">
        <f>B22/'- 43 -'!$I22*100</f>
        <v>0.10061624070206621</v>
      </c>
      <c r="D22" s="421">
        <v>3284987</v>
      </c>
      <c r="E22" s="69">
        <f>D22/'- 43 -'!$I22*100</f>
        <v>16.435755479620006</v>
      </c>
      <c r="F22" s="421">
        <v>10849</v>
      </c>
      <c r="G22" s="69">
        <f>F22/'- 43 -'!$I22*100</f>
        <v>5.4280735722362812E-2</v>
      </c>
      <c r="H22" s="421">
        <v>70800</v>
      </c>
      <c r="I22" s="69">
        <f>H22/'- 43 -'!$I22*100</f>
        <v>0.35423320943343051</v>
      </c>
    </row>
    <row r="23" spans="1:9" ht="14.1" customHeight="1">
      <c r="A23" s="287" t="s">
        <v>122</v>
      </c>
      <c r="B23" s="420">
        <v>0</v>
      </c>
      <c r="C23" s="294">
        <f>B23/'- 43 -'!$I23*100</f>
        <v>0</v>
      </c>
      <c r="D23" s="420">
        <v>3338885</v>
      </c>
      <c r="E23" s="294">
        <f>D23/'- 43 -'!$I23*100</f>
        <v>19.601937224204335</v>
      </c>
      <c r="F23" s="420">
        <v>89568</v>
      </c>
      <c r="G23" s="294">
        <f>F23/'- 43 -'!$I23*100</f>
        <v>0.52583611394149066</v>
      </c>
      <c r="H23" s="420">
        <v>1018180</v>
      </c>
      <c r="I23" s="294">
        <f>H23/'- 43 -'!$I23*100</f>
        <v>5.9775345490906009</v>
      </c>
    </row>
    <row r="24" spans="1:9" ht="14.1" customHeight="1">
      <c r="A24" s="18" t="s">
        <v>123</v>
      </c>
      <c r="B24" s="421">
        <v>19997</v>
      </c>
      <c r="C24" s="69">
        <f>B24/'- 43 -'!$I24*100</f>
        <v>3.5786089771348777E-2</v>
      </c>
      <c r="D24" s="421">
        <v>20118902</v>
      </c>
      <c r="E24" s="69">
        <f>D24/'- 43 -'!$I24*100</f>
        <v>36.004242289991915</v>
      </c>
      <c r="F24" s="421">
        <v>191400</v>
      </c>
      <c r="G24" s="69">
        <f>F24/'- 43 -'!$I24*100</f>
        <v>0.3425242577504703</v>
      </c>
      <c r="H24" s="421">
        <v>493831</v>
      </c>
      <c r="I24" s="69">
        <f>H24/'- 43 -'!$I24*100</f>
        <v>0.88374658688177909</v>
      </c>
    </row>
    <row r="25" spans="1:9" ht="14.1" customHeight="1">
      <c r="A25" s="287" t="s">
        <v>124</v>
      </c>
      <c r="B25" s="420">
        <v>245179</v>
      </c>
      <c r="C25" s="294">
        <f>B25/'- 43 -'!$I25*100</f>
        <v>0.14932498685392095</v>
      </c>
      <c r="D25" s="420">
        <v>54822614</v>
      </c>
      <c r="E25" s="294">
        <f>D25/'- 43 -'!$I25*100</f>
        <v>33.389426153331172</v>
      </c>
      <c r="F25" s="420">
        <v>507881</v>
      </c>
      <c r="G25" s="294">
        <f>F25/'- 43 -'!$I25*100</f>
        <v>0.30932226515466754</v>
      </c>
      <c r="H25" s="420">
        <v>45000</v>
      </c>
      <c r="I25" s="294">
        <f>H25/'- 43 -'!$I25*100</f>
        <v>2.7407014501349802E-2</v>
      </c>
    </row>
    <row r="26" spans="1:9" ht="14.1" customHeight="1">
      <c r="A26" s="18" t="s">
        <v>125</v>
      </c>
      <c r="B26" s="421">
        <v>20245</v>
      </c>
      <c r="C26" s="69">
        <f>B26/'- 43 -'!$I26*100</f>
        <v>5.088799744054362E-2</v>
      </c>
      <c r="D26" s="421">
        <v>10431053</v>
      </c>
      <c r="E26" s="69">
        <f>D26/'- 43 -'!$I26*100</f>
        <v>26.21958006254259</v>
      </c>
      <c r="F26" s="421">
        <v>433820</v>
      </c>
      <c r="G26" s="69">
        <f>F26/'- 43 -'!$I26*100</f>
        <v>1.0904534971428319</v>
      </c>
      <c r="H26" s="421">
        <v>867615</v>
      </c>
      <c r="I26" s="69">
        <f>H26/'- 43 -'!$I26*100</f>
        <v>2.1808441540813654</v>
      </c>
    </row>
    <row r="27" spans="1:9" ht="14.1" customHeight="1">
      <c r="A27" s="287" t="s">
        <v>126</v>
      </c>
      <c r="B27" s="420">
        <v>8067</v>
      </c>
      <c r="C27" s="294">
        <f>B27/'- 43 -'!$I27*100</f>
        <v>2.0536131257114426E-2</v>
      </c>
      <c r="D27" s="420">
        <v>7628786</v>
      </c>
      <c r="E27" s="294">
        <f>D27/'- 43 -'!$I27*100</f>
        <v>19.420571541891277</v>
      </c>
      <c r="F27" s="420">
        <v>184785</v>
      </c>
      <c r="G27" s="294">
        <f>F27/'- 43 -'!$I27*100</f>
        <v>0.47040647258533391</v>
      </c>
      <c r="H27" s="420">
        <v>383575</v>
      </c>
      <c r="I27" s="294">
        <f>H27/'- 43 -'!$I27*100</f>
        <v>0.97646542047200513</v>
      </c>
    </row>
    <row r="28" spans="1:9" ht="14.1" customHeight="1">
      <c r="A28" s="18" t="s">
        <v>127</v>
      </c>
      <c r="B28" s="421">
        <v>0</v>
      </c>
      <c r="C28" s="69">
        <f>B28/'- 43 -'!$I28*100</f>
        <v>0</v>
      </c>
      <c r="D28" s="421">
        <v>6758534</v>
      </c>
      <c r="E28" s="69">
        <f>D28/'- 43 -'!$I28*100</f>
        <v>24.208836909949955</v>
      </c>
      <c r="F28" s="421">
        <v>47478</v>
      </c>
      <c r="G28" s="69">
        <f>F28/'- 43 -'!$I28*100</f>
        <v>0.17006456708076101</v>
      </c>
      <c r="H28" s="421">
        <v>7201080</v>
      </c>
      <c r="I28" s="69">
        <f>H28/'- 43 -'!$I28*100</f>
        <v>25.794021498671523</v>
      </c>
    </row>
    <row r="29" spans="1:9" ht="14.1" customHeight="1">
      <c r="A29" s="287" t="s">
        <v>128</v>
      </c>
      <c r="B29" s="420">
        <v>74588</v>
      </c>
      <c r="C29" s="294">
        <f>B29/'- 43 -'!$I29*100</f>
        <v>4.9680081403185888E-2</v>
      </c>
      <c r="D29" s="420">
        <v>62318270</v>
      </c>
      <c r="E29" s="294">
        <f>D29/'- 43 -'!$I29*100</f>
        <v>41.50770534812191</v>
      </c>
      <c r="F29" s="420">
        <v>710374</v>
      </c>
      <c r="G29" s="294">
        <f>F29/'- 43 -'!$I29*100</f>
        <v>0.47315168856527551</v>
      </c>
      <c r="H29" s="420">
        <v>14000</v>
      </c>
      <c r="I29" s="294">
        <f>H29/'- 43 -'!$I29*100</f>
        <v>9.3248396477262074E-3</v>
      </c>
    </row>
    <row r="30" spans="1:9" ht="14.1" customHeight="1">
      <c r="A30" s="18" t="s">
        <v>129</v>
      </c>
      <c r="B30" s="421">
        <v>0</v>
      </c>
      <c r="C30" s="69">
        <f>B30/'- 43 -'!$I30*100</f>
        <v>0</v>
      </c>
      <c r="D30" s="421">
        <v>4239202</v>
      </c>
      <c r="E30" s="69">
        <f>D30/'- 43 -'!$I30*100</f>
        <v>31.541489106986102</v>
      </c>
      <c r="F30" s="421">
        <v>33900</v>
      </c>
      <c r="G30" s="69">
        <f>F30/'- 43 -'!$I30*100</f>
        <v>0.25223060395018426</v>
      </c>
      <c r="H30" s="421">
        <v>0</v>
      </c>
      <c r="I30" s="69">
        <f>H30/'- 43 -'!$I30*100</f>
        <v>0</v>
      </c>
    </row>
    <row r="31" spans="1:9" ht="14.1" customHeight="1">
      <c r="A31" s="287" t="s">
        <v>130</v>
      </c>
      <c r="B31" s="420">
        <v>6000</v>
      </c>
      <c r="C31" s="294">
        <f>B31/'- 43 -'!$I31*100</f>
        <v>1.6439818182186833E-2</v>
      </c>
      <c r="D31" s="420">
        <v>11938114</v>
      </c>
      <c r="E31" s="294">
        <f>D31/'- 43 -'!$I31*100</f>
        <v>32.710070599703194</v>
      </c>
      <c r="F31" s="420">
        <v>176859</v>
      </c>
      <c r="G31" s="294">
        <f>F31/'- 43 -'!$I31*100</f>
        <v>0.48458830064723013</v>
      </c>
      <c r="H31" s="420">
        <v>1242468</v>
      </c>
      <c r="I31" s="294">
        <f>H31/'- 43 -'!$I31*100</f>
        <v>3.4043246695308853</v>
      </c>
    </row>
    <row r="32" spans="1:9" ht="14.1" customHeight="1">
      <c r="A32" s="18" t="s">
        <v>131</v>
      </c>
      <c r="B32" s="421">
        <v>0</v>
      </c>
      <c r="C32" s="69">
        <f>B32/'- 43 -'!$I32*100</f>
        <v>0</v>
      </c>
      <c r="D32" s="421">
        <v>10072728</v>
      </c>
      <c r="E32" s="69">
        <f>D32/'- 43 -'!$I32*100</f>
        <v>36.82502868064639</v>
      </c>
      <c r="F32" s="421">
        <v>72075</v>
      </c>
      <c r="G32" s="69">
        <f>F32/'- 43 -'!$I32*100</f>
        <v>0.26350001133333384</v>
      </c>
      <c r="H32" s="421">
        <v>0</v>
      </c>
      <c r="I32" s="69">
        <f>H32/'- 43 -'!$I32*100</f>
        <v>0</v>
      </c>
    </row>
    <row r="33" spans="1:9" ht="14.1" customHeight="1">
      <c r="A33" s="287" t="s">
        <v>132</v>
      </c>
      <c r="B33" s="420">
        <v>20050</v>
      </c>
      <c r="C33" s="294">
        <f>B33/'- 43 -'!$I33*100</f>
        <v>7.1297457258863467E-2</v>
      </c>
      <c r="D33" s="420">
        <v>10012405</v>
      </c>
      <c r="E33" s="294">
        <f>D33/'- 43 -'!$I33*100</f>
        <v>35.603941024734702</v>
      </c>
      <c r="F33" s="420">
        <v>22100</v>
      </c>
      <c r="G33" s="294">
        <f>F33/'- 43 -'!$I33*100</f>
        <v>7.8587222215505362E-2</v>
      </c>
      <c r="H33" s="420">
        <v>268171</v>
      </c>
      <c r="I33" s="294">
        <f>H33/'- 43 -'!$I33*100</f>
        <v>0.95361149179883664</v>
      </c>
    </row>
    <row r="34" spans="1:9" ht="14.1" customHeight="1">
      <c r="A34" s="18" t="s">
        <v>133</v>
      </c>
      <c r="B34" s="421">
        <v>21182</v>
      </c>
      <c r="C34" s="69">
        <f>B34/'- 43 -'!$I34*100</f>
        <v>7.7413433785383151E-2</v>
      </c>
      <c r="D34" s="421">
        <v>10113494</v>
      </c>
      <c r="E34" s="69">
        <f>D34/'- 43 -'!$I34*100</f>
        <v>36.961585218953346</v>
      </c>
      <c r="F34" s="421">
        <v>865959</v>
      </c>
      <c r="G34" s="69">
        <f>F34/'- 43 -'!$I34*100</f>
        <v>3.1648031209213769</v>
      </c>
      <c r="H34" s="421">
        <v>0</v>
      </c>
      <c r="I34" s="69">
        <f>H34/'- 43 -'!$I34*100</f>
        <v>0</v>
      </c>
    </row>
    <row r="35" spans="1:9" ht="14.1" customHeight="1">
      <c r="A35" s="287" t="s">
        <v>134</v>
      </c>
      <c r="B35" s="420">
        <v>466671</v>
      </c>
      <c r="C35" s="294">
        <f>B35/'- 43 -'!$I35*100</f>
        <v>0.26395173709927122</v>
      </c>
      <c r="D35" s="420">
        <v>51698881</v>
      </c>
      <c r="E35" s="294">
        <f>D35/'- 43 -'!$I35*100</f>
        <v>29.241177287721992</v>
      </c>
      <c r="F35" s="420">
        <v>849432</v>
      </c>
      <c r="G35" s="294">
        <f>F35/'- 43 -'!$I35*100</f>
        <v>0.48044350719823636</v>
      </c>
      <c r="H35" s="420">
        <v>112000</v>
      </c>
      <c r="I35" s="294">
        <f>H35/'- 43 -'!$I35*100</f>
        <v>6.3347828673987416E-2</v>
      </c>
    </row>
    <row r="36" spans="1:9" ht="14.1" customHeight="1">
      <c r="A36" s="18" t="s">
        <v>135</v>
      </c>
      <c r="B36" s="421">
        <v>78583</v>
      </c>
      <c r="C36" s="69">
        <f>B36/'- 43 -'!$I36*100</f>
        <v>0.34005311428598262</v>
      </c>
      <c r="D36" s="421">
        <v>7573002</v>
      </c>
      <c r="E36" s="69">
        <f>D36/'- 43 -'!$I36*100</f>
        <v>32.770738131580302</v>
      </c>
      <c r="F36" s="421">
        <v>93038</v>
      </c>
      <c r="G36" s="69">
        <f>F36/'- 43 -'!$I36*100</f>
        <v>0.40260440104016454</v>
      </c>
      <c r="H36" s="421">
        <v>1278713</v>
      </c>
      <c r="I36" s="69">
        <f>H36/'- 43 -'!$I36*100</f>
        <v>5.5333893835558792</v>
      </c>
    </row>
    <row r="37" spans="1:9" ht="14.1" customHeight="1">
      <c r="A37" s="287" t="s">
        <v>136</v>
      </c>
      <c r="B37" s="420">
        <v>20711</v>
      </c>
      <c r="C37" s="294">
        <f>B37/'- 43 -'!$I37*100</f>
        <v>4.4302960375107954E-2</v>
      </c>
      <c r="D37" s="420">
        <v>12510069</v>
      </c>
      <c r="E37" s="294">
        <f>D37/'- 43 -'!$I37*100</f>
        <v>26.760325005884138</v>
      </c>
      <c r="F37" s="420">
        <v>263994</v>
      </c>
      <c r="G37" s="294">
        <f>F37/'- 43 -'!$I37*100</f>
        <v>0.56471033370026791</v>
      </c>
      <c r="H37" s="420">
        <v>41964</v>
      </c>
      <c r="I37" s="294">
        <f>H37/'- 43 -'!$I37*100</f>
        <v>8.9765314527595494E-2</v>
      </c>
    </row>
    <row r="38" spans="1:9" ht="14.1" customHeight="1">
      <c r="A38" s="18" t="s">
        <v>137</v>
      </c>
      <c r="B38" s="421">
        <v>837583</v>
      </c>
      <c r="C38" s="69">
        <f>B38/'- 43 -'!$I38*100</f>
        <v>0.6650618626882201</v>
      </c>
      <c r="D38" s="421">
        <v>33517257</v>
      </c>
      <c r="E38" s="69">
        <f>D38/'- 43 -'!$I38*100</f>
        <v>26.613540834305123</v>
      </c>
      <c r="F38" s="421">
        <v>1080548</v>
      </c>
      <c r="G38" s="69">
        <f>F38/'- 43 -'!$I38*100</f>
        <v>0.85798215293771596</v>
      </c>
      <c r="H38" s="421">
        <v>648800</v>
      </c>
      <c r="I38" s="69">
        <f>H38/'- 43 -'!$I38*100</f>
        <v>0.51516343635450723</v>
      </c>
    </row>
    <row r="39" spans="1:9" ht="14.1" customHeight="1">
      <c r="A39" s="287" t="s">
        <v>138</v>
      </c>
      <c r="B39" s="420">
        <v>0</v>
      </c>
      <c r="C39" s="294">
        <f>B39/'- 43 -'!$I39*100</f>
        <v>0</v>
      </c>
      <c r="D39" s="420">
        <v>9022933</v>
      </c>
      <c r="E39" s="294">
        <f>D39/'- 43 -'!$I39*100</f>
        <v>42.275218259206689</v>
      </c>
      <c r="F39" s="420">
        <v>105370</v>
      </c>
      <c r="G39" s="294">
        <f>F39/'- 43 -'!$I39*100</f>
        <v>0.493690881664821</v>
      </c>
      <c r="H39" s="420">
        <v>0</v>
      </c>
      <c r="I39" s="294">
        <f>H39/'- 43 -'!$I39*100</f>
        <v>0</v>
      </c>
    </row>
    <row r="40" spans="1:9" ht="14.1" customHeight="1">
      <c r="A40" s="18" t="s">
        <v>139</v>
      </c>
      <c r="B40" s="421">
        <v>0</v>
      </c>
      <c r="C40" s="69">
        <f>B40/'- 43 -'!$I40*100</f>
        <v>0</v>
      </c>
      <c r="D40" s="421">
        <v>38285489</v>
      </c>
      <c r="E40" s="69">
        <f>D40/'- 43 -'!$I40*100</f>
        <v>37.980765520155238</v>
      </c>
      <c r="F40" s="421">
        <v>722612</v>
      </c>
      <c r="G40" s="69">
        <f>F40/'- 43 -'!$I40*100</f>
        <v>0.71686055607257415</v>
      </c>
      <c r="H40" s="421">
        <v>200087</v>
      </c>
      <c r="I40" s="69">
        <f>H40/'- 43 -'!$I40*100</f>
        <v>0.19849445910515343</v>
      </c>
    </row>
    <row r="41" spans="1:9" ht="14.1" customHeight="1">
      <c r="A41" s="287" t="s">
        <v>140</v>
      </c>
      <c r="B41" s="420">
        <v>0</v>
      </c>
      <c r="C41" s="294">
        <f>B41/'- 43 -'!$I41*100</f>
        <v>0</v>
      </c>
      <c r="D41" s="420">
        <v>23058492</v>
      </c>
      <c r="E41" s="294">
        <f>D41/'- 43 -'!$I41*100</f>
        <v>37.256072692676341</v>
      </c>
      <c r="F41" s="420">
        <v>196978</v>
      </c>
      <c r="G41" s="294">
        <f>F41/'- 43 -'!$I41*100</f>
        <v>0.31826134540185885</v>
      </c>
      <c r="H41" s="420">
        <v>300876</v>
      </c>
      <c r="I41" s="294">
        <f>H41/'- 43 -'!$I41*100</f>
        <v>0.48613144898988558</v>
      </c>
    </row>
    <row r="42" spans="1:9" ht="14.1" customHeight="1">
      <c r="A42" s="18" t="s">
        <v>141</v>
      </c>
      <c r="B42" s="421">
        <v>0</v>
      </c>
      <c r="C42" s="69">
        <f>B42/'- 43 -'!$I42*100</f>
        <v>0</v>
      </c>
      <c r="D42" s="421">
        <v>5203201</v>
      </c>
      <c r="E42" s="69">
        <f>D42/'- 43 -'!$I42*100</f>
        <v>24.825791985171708</v>
      </c>
      <c r="F42" s="421">
        <v>36696</v>
      </c>
      <c r="G42" s="69">
        <f>F42/'- 43 -'!$I42*100</f>
        <v>0.17508592550775207</v>
      </c>
      <c r="H42" s="421">
        <v>267925</v>
      </c>
      <c r="I42" s="69">
        <f>H42/'- 43 -'!$I42*100</f>
        <v>1.2783381456198077</v>
      </c>
    </row>
    <row r="43" spans="1:9" ht="14.1" customHeight="1">
      <c r="A43" s="287" t="s">
        <v>142</v>
      </c>
      <c r="B43" s="420">
        <v>156</v>
      </c>
      <c r="C43" s="294">
        <f>B43/'- 43 -'!$I43*100</f>
        <v>1.2186382280250233E-3</v>
      </c>
      <c r="D43" s="420">
        <v>4899999</v>
      </c>
      <c r="E43" s="294">
        <f>D43/'- 43 -'!$I43*100</f>
        <v>38.27773140182299</v>
      </c>
      <c r="F43" s="420">
        <v>24700</v>
      </c>
      <c r="G43" s="294">
        <f>F43/'- 43 -'!$I43*100</f>
        <v>0.19295105277062871</v>
      </c>
      <c r="H43" s="420">
        <v>0</v>
      </c>
      <c r="I43" s="294">
        <f>H43/'- 43 -'!$I43*100</f>
        <v>0</v>
      </c>
    </row>
    <row r="44" spans="1:9" ht="14.1" customHeight="1">
      <c r="A44" s="18" t="s">
        <v>143</v>
      </c>
      <c r="B44" s="421">
        <v>0</v>
      </c>
      <c r="C44" s="69">
        <f>B44/'- 43 -'!$I44*100</f>
        <v>0</v>
      </c>
      <c r="D44" s="421">
        <v>2352238</v>
      </c>
      <c r="E44" s="69">
        <f>D44/'- 43 -'!$I44*100</f>
        <v>21.128788312938152</v>
      </c>
      <c r="F44" s="421">
        <v>24050</v>
      </c>
      <c r="G44" s="69">
        <f>F44/'- 43 -'!$I44*100</f>
        <v>0.21602718726853429</v>
      </c>
      <c r="H44" s="421">
        <v>0</v>
      </c>
      <c r="I44" s="69">
        <f>H44/'- 43 -'!$I44*100</f>
        <v>0</v>
      </c>
    </row>
    <row r="45" spans="1:9" ht="14.1" customHeight="1">
      <c r="A45" s="287" t="s">
        <v>144</v>
      </c>
      <c r="B45" s="420">
        <v>17944</v>
      </c>
      <c r="C45" s="294">
        <f>B45/'- 43 -'!$I45*100</f>
        <v>9.8424635383458942E-2</v>
      </c>
      <c r="D45" s="420">
        <v>5599007</v>
      </c>
      <c r="E45" s="294">
        <f>D45/'- 43 -'!$I45*100</f>
        <v>30.711113602565447</v>
      </c>
      <c r="F45" s="420">
        <v>66950</v>
      </c>
      <c r="G45" s="294">
        <f>F45/'- 43 -'!$I45*100</f>
        <v>0.36722744866933665</v>
      </c>
      <c r="H45" s="420">
        <v>0</v>
      </c>
      <c r="I45" s="294">
        <f>H45/'- 43 -'!$I45*100</f>
        <v>0</v>
      </c>
    </row>
    <row r="46" spans="1:9" ht="14.1" customHeight="1">
      <c r="A46" s="18" t="s">
        <v>145</v>
      </c>
      <c r="B46" s="421">
        <v>3419531</v>
      </c>
      <c r="C46" s="69">
        <f>B46/'- 43 -'!$I46*100</f>
        <v>0.91460258310367626</v>
      </c>
      <c r="D46" s="421">
        <v>128505148</v>
      </c>
      <c r="E46" s="69">
        <f>D46/'- 43 -'!$I46*100</f>
        <v>34.370543885380833</v>
      </c>
      <c r="F46" s="421">
        <v>2411197</v>
      </c>
      <c r="G46" s="69">
        <f>F46/'- 43 -'!$I46*100</f>
        <v>0.64490920087340486</v>
      </c>
      <c r="H46" s="421">
        <v>2620775</v>
      </c>
      <c r="I46" s="69">
        <f>H46/'- 43 -'!$I46*100</f>
        <v>0.70096384116229304</v>
      </c>
    </row>
    <row r="47" spans="1:9" ht="5.0999999999999996" customHeight="1">
      <c r="A47" s="20"/>
      <c r="B47" s="21"/>
      <c r="C47"/>
      <c r="D47" s="21"/>
      <c r="E47"/>
      <c r="F47" s="21"/>
      <c r="G47"/>
      <c r="H47" s="21"/>
      <c r="I47"/>
    </row>
    <row r="48" spans="1:9" ht="14.1" customHeight="1">
      <c r="A48" s="289" t="s">
        <v>146</v>
      </c>
      <c r="B48" s="424">
        <f>SUM(B11:B46)</f>
        <v>5402800</v>
      </c>
      <c r="C48" s="297">
        <f>B48/'- 43 -'!$I48*100</f>
        <v>0.24518970879341814</v>
      </c>
      <c r="D48" s="424">
        <f>SUM(D11:D46)</f>
        <v>671491509</v>
      </c>
      <c r="E48" s="297">
        <f>D48/'- 43 -'!$I48*100</f>
        <v>30.473607675457711</v>
      </c>
      <c r="F48" s="424">
        <f>SUM(F11:F46)</f>
        <v>12596678</v>
      </c>
      <c r="G48" s="297">
        <f>F48/'- 43 -'!$I48*100</f>
        <v>0.57166206607397207</v>
      </c>
      <c r="H48" s="424">
        <f>SUM(H11:H46)</f>
        <v>89925258</v>
      </c>
      <c r="I48" s="297">
        <f>H48/'- 43 -'!$I48*100</f>
        <v>4.0809853820598567</v>
      </c>
    </row>
    <row r="49" spans="1:9" ht="5.0999999999999996" customHeight="1">
      <c r="A49" s="20" t="s">
        <v>8</v>
      </c>
      <c r="B49" s="21"/>
      <c r="C49"/>
      <c r="D49" s="21"/>
      <c r="E49"/>
      <c r="F49" s="21"/>
      <c r="G49"/>
      <c r="H49" s="21"/>
      <c r="I49"/>
    </row>
    <row r="50" spans="1:9" ht="14.1" customHeight="1">
      <c r="A50" s="18" t="s">
        <v>147</v>
      </c>
      <c r="B50" s="421">
        <v>0</v>
      </c>
      <c r="C50" s="69">
        <f>B50/'- 43 -'!$I50*100</f>
        <v>0</v>
      </c>
      <c r="D50" s="421">
        <v>1843385</v>
      </c>
      <c r="E50" s="69">
        <f>D50/'- 43 -'!$I50*100</f>
        <v>54.664603506403729</v>
      </c>
      <c r="F50" s="421">
        <v>34450</v>
      </c>
      <c r="G50" s="69">
        <f>F50/'- 43 -'!$I50*100</f>
        <v>1.0215964602053336</v>
      </c>
      <c r="H50" s="421">
        <v>0</v>
      </c>
      <c r="I50" s="69">
        <f>H50/'- 43 -'!$I50*100</f>
        <v>0</v>
      </c>
    </row>
    <row r="51" spans="1:9" ht="14.1" customHeight="1">
      <c r="A51" s="287" t="s">
        <v>643</v>
      </c>
      <c r="B51" s="420">
        <v>5021559</v>
      </c>
      <c r="C51" s="294">
        <f>B51/'- 43 -'!$I51*100</f>
        <v>19.864078529416428</v>
      </c>
      <c r="D51" s="420">
        <v>0</v>
      </c>
      <c r="E51" s="294">
        <f>D51/'- 43 -'!$I51*100</f>
        <v>0</v>
      </c>
      <c r="F51" s="420">
        <v>1454603</v>
      </c>
      <c r="G51" s="294">
        <f>F51/'- 43 -'!$I51*100</f>
        <v>5.754059291372406</v>
      </c>
      <c r="H51" s="420">
        <v>0</v>
      </c>
      <c r="I51" s="294">
        <f>H51/'- 43 -'!$I51*100</f>
        <v>0</v>
      </c>
    </row>
    <row r="52" spans="1:9" ht="50.1" customHeight="1">
      <c r="A52" s="22"/>
      <c r="B52" s="22"/>
      <c r="C52" s="22"/>
      <c r="D52" s="22"/>
      <c r="E52" s="22"/>
      <c r="F52" s="22"/>
      <c r="G52" s="22"/>
      <c r="H52" s="22"/>
      <c r="I52" s="22"/>
    </row>
    <row r="53" spans="1:9" ht="15" customHeight="1">
      <c r="A53" s="718" t="str">
        <f>"(1)  Municipal Government revenue is net of  "&amp;TEXT('- 41 -'!C48,"$0,000,000")&amp; " in Education Property Tax Credit (EPTC) revenue paid directly to school divisions. See
       page 41 for EPTC revenue."</f>
        <v>(1)  Municipal Government revenue is net of  $203,518,466 in Education Property Tax Credit (EPTC) revenue paid directly to school divisions. See
       page 41 for EPTC revenue.</v>
      </c>
      <c r="B53" s="718"/>
      <c r="C53" s="718"/>
      <c r="D53" s="718"/>
      <c r="E53" s="718"/>
      <c r="F53" s="718"/>
      <c r="G53" s="718"/>
      <c r="H53" s="718"/>
      <c r="I53" s="718"/>
    </row>
    <row r="54" spans="1:9">
      <c r="A54" s="719"/>
      <c r="B54" s="719"/>
      <c r="C54" s="719"/>
      <c r="D54" s="719"/>
      <c r="E54" s="719"/>
      <c r="F54" s="719"/>
      <c r="G54" s="719"/>
      <c r="H54" s="719"/>
      <c r="I54" s="719"/>
    </row>
  </sheetData>
  <mergeCells count="5">
    <mergeCell ref="A53:I54"/>
    <mergeCell ref="B7:C8"/>
    <mergeCell ref="D7:E8"/>
    <mergeCell ref="F7:G8"/>
    <mergeCell ref="H8:I8"/>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38.xml><?xml version="1.0" encoding="utf-8"?>
<worksheet xmlns="http://schemas.openxmlformats.org/spreadsheetml/2006/main" xmlns:r="http://schemas.openxmlformats.org/officeDocument/2006/relationships">
  <sheetPr codeName="Sheet38">
    <pageSetUpPr fitToPage="1"/>
  </sheetPr>
  <dimension ref="A1:I52"/>
  <sheetViews>
    <sheetView showGridLines="0" showZeros="0" workbookViewId="0"/>
  </sheetViews>
  <sheetFormatPr defaultColWidth="15.83203125" defaultRowHeight="12"/>
  <cols>
    <col min="1" max="1" width="35.83203125" style="1" customWidth="1"/>
    <col min="2" max="2" width="15.83203125" style="1"/>
    <col min="3" max="3" width="8.83203125" style="1" customWidth="1"/>
    <col min="4" max="4" width="13.83203125" style="1" customWidth="1"/>
    <col min="5" max="5" width="8.83203125" style="1" customWidth="1"/>
    <col min="6" max="6" width="15.83203125" style="1"/>
    <col min="7" max="7" width="8.83203125" style="1" customWidth="1"/>
    <col min="8" max="8" width="4.83203125" style="1" customWidth="1"/>
    <col min="9" max="9" width="19.83203125" style="1" customWidth="1"/>
    <col min="10" max="16384" width="15.83203125" style="1"/>
  </cols>
  <sheetData>
    <row r="1" spans="1:9" ht="6.95" customHeight="1">
      <c r="A1" s="6"/>
    </row>
    <row r="2" spans="1:9" ht="15.95" customHeight="1">
      <c r="A2" s="212"/>
      <c r="B2" s="203" t="str">
        <f>REVYEAR</f>
        <v>ANALYSIS OF OPERATING FUND REVENUE: 2014/2015 ACTUAL</v>
      </c>
      <c r="C2" s="40"/>
      <c r="D2" s="40"/>
      <c r="E2" s="40"/>
      <c r="F2" s="40"/>
      <c r="G2" s="213"/>
      <c r="H2" s="41"/>
      <c r="I2" s="214" t="s">
        <v>10</v>
      </c>
    </row>
    <row r="3" spans="1:9" ht="15.95" customHeight="1">
      <c r="A3" s="542"/>
    </row>
    <row r="4" spans="1:9" ht="15.95" customHeight="1">
      <c r="B4" s="42"/>
      <c r="C4" s="7"/>
      <c r="D4" s="7"/>
      <c r="E4" s="7"/>
      <c r="F4" s="7"/>
      <c r="G4" s="7"/>
      <c r="H4" s="7"/>
      <c r="I4" s="7"/>
    </row>
    <row r="5" spans="1:9" ht="15.95" customHeight="1">
      <c r="B5" s="7"/>
      <c r="C5" s="7"/>
      <c r="D5" s="7"/>
      <c r="E5" s="7"/>
      <c r="F5" s="7"/>
      <c r="G5" s="7"/>
      <c r="H5" s="7"/>
      <c r="I5" s="7"/>
    </row>
    <row r="6" spans="1:9" ht="15.95" customHeight="1">
      <c r="B6" s="658" t="s">
        <v>556</v>
      </c>
      <c r="C6" s="659"/>
      <c r="D6" s="314"/>
      <c r="E6" s="314"/>
      <c r="F6" s="631" t="s">
        <v>557</v>
      </c>
      <c r="G6" s="632"/>
      <c r="H6" s="7"/>
      <c r="I6" s="622" t="s">
        <v>558</v>
      </c>
    </row>
    <row r="7" spans="1:9" ht="15.95" customHeight="1">
      <c r="B7" s="672"/>
      <c r="C7" s="673"/>
      <c r="D7" s="376"/>
      <c r="E7" s="376"/>
      <c r="F7" s="676"/>
      <c r="G7" s="675"/>
      <c r="H7" s="7"/>
      <c r="I7" s="720"/>
    </row>
    <row r="8" spans="1:9" ht="15.95" customHeight="1">
      <c r="A8" s="406"/>
      <c r="B8" s="660"/>
      <c r="C8" s="661"/>
      <c r="D8" s="677" t="s">
        <v>25</v>
      </c>
      <c r="E8" s="637"/>
      <c r="F8" s="633"/>
      <c r="G8" s="634"/>
      <c r="H8" s="7"/>
      <c r="I8" s="721"/>
    </row>
    <row r="9" spans="1:9" ht="15.95" customHeight="1">
      <c r="A9" s="34" t="s">
        <v>43</v>
      </c>
      <c r="B9" s="568" t="s">
        <v>63</v>
      </c>
      <c r="C9" s="114" t="s">
        <v>45</v>
      </c>
      <c r="D9" s="215" t="s">
        <v>63</v>
      </c>
      <c r="E9" s="215" t="s">
        <v>45</v>
      </c>
      <c r="F9" s="205" t="s">
        <v>63</v>
      </c>
      <c r="G9" s="215" t="s">
        <v>45</v>
      </c>
      <c r="H9" s="7"/>
      <c r="I9" s="215" t="s">
        <v>63</v>
      </c>
    </row>
    <row r="10" spans="1:9" ht="5.0999999999999996" customHeight="1">
      <c r="A10" s="5"/>
      <c r="B10" s="206"/>
      <c r="C10" s="206"/>
      <c r="D10" s="206"/>
      <c r="E10" s="206"/>
      <c r="F10" s="206"/>
      <c r="G10" s="6"/>
      <c r="H10" s="6"/>
      <c r="I10" s="206"/>
    </row>
    <row r="11" spans="1:9" ht="14.1" customHeight="1">
      <c r="A11" s="287" t="s">
        <v>111</v>
      </c>
      <c r="B11" s="420">
        <v>29592</v>
      </c>
      <c r="C11" s="294">
        <f>B11/I11*100</f>
        <v>0.16551838936601398</v>
      </c>
      <c r="D11" s="420">
        <v>98669</v>
      </c>
      <c r="E11" s="294">
        <f>D11/I11*100</f>
        <v>0.55189017168002286</v>
      </c>
      <c r="F11" s="288">
        <f>SUM('- 42 -'!$B11,'- 42 -'!$D11,'- 42 -'!$F11,'- 42 -'!$H11,B11,D11)</f>
        <v>6260875</v>
      </c>
      <c r="G11" s="294">
        <f>F11/I11*100</f>
        <v>35.019260138616616</v>
      </c>
      <c r="I11" s="288">
        <f>SUM('- 41 -'!$H11,F11)</f>
        <v>17878376</v>
      </c>
    </row>
    <row r="12" spans="1:9" ht="14.1" customHeight="1">
      <c r="A12" s="18" t="s">
        <v>112</v>
      </c>
      <c r="B12" s="421">
        <v>135110</v>
      </c>
      <c r="C12" s="69">
        <f t="shared" ref="C12:C46" si="0">B12/I12*100</f>
        <v>0.40573095956347899</v>
      </c>
      <c r="D12" s="421">
        <v>533368</v>
      </c>
      <c r="E12" s="69">
        <f t="shared" ref="E12:E46" si="1">D12/I12*100</f>
        <v>1.6016868510136457</v>
      </c>
      <c r="F12" s="19">
        <f>SUM('- 42 -'!$B12,'- 42 -'!$D12,'- 42 -'!$F12,'- 42 -'!$H12,B12,D12)</f>
        <v>11539846</v>
      </c>
      <c r="G12" s="69">
        <f t="shared" ref="G12:G46" si="2">F12/I12*100</f>
        <v>34.653784255752903</v>
      </c>
      <c r="I12" s="19">
        <f>SUM('- 41 -'!$H12,F12)</f>
        <v>33300392</v>
      </c>
    </row>
    <row r="13" spans="1:9" ht="14.1" customHeight="1">
      <c r="A13" s="287" t="s">
        <v>113</v>
      </c>
      <c r="B13" s="420">
        <v>778064</v>
      </c>
      <c r="C13" s="294">
        <f t="shared" si="0"/>
        <v>0.86838355784242838</v>
      </c>
      <c r="D13" s="420">
        <v>106773</v>
      </c>
      <c r="E13" s="294">
        <f t="shared" si="1"/>
        <v>0.11916746902762446</v>
      </c>
      <c r="F13" s="288">
        <f>SUM('- 42 -'!$B13,'- 42 -'!$D13,'- 42 -'!$F13,'- 42 -'!$H13,B13,D13)</f>
        <v>34238829</v>
      </c>
      <c r="G13" s="294">
        <f t="shared" si="2"/>
        <v>38.21335538384826</v>
      </c>
      <c r="I13" s="288">
        <f>SUM('- 41 -'!$H13,F13)</f>
        <v>89599117</v>
      </c>
    </row>
    <row r="14" spans="1:9" ht="14.1" customHeight="1">
      <c r="A14" s="18" t="s">
        <v>365</v>
      </c>
      <c r="B14" s="421">
        <v>169358</v>
      </c>
      <c r="C14" s="69">
        <f t="shared" si="0"/>
        <v>0.21371527945375771</v>
      </c>
      <c r="D14" s="421">
        <v>58556</v>
      </c>
      <c r="E14" s="69">
        <f t="shared" si="1"/>
        <v>7.3892652863722028E-2</v>
      </c>
      <c r="F14" s="19">
        <f>SUM('- 42 -'!$B14,'- 42 -'!$D14,'- 42 -'!$F14,'- 42 -'!$H14,B14,D14)</f>
        <v>20773582</v>
      </c>
      <c r="G14" s="69">
        <f t="shared" si="2"/>
        <v>26.214479873318947</v>
      </c>
      <c r="I14" s="19">
        <f>SUM('- 41 -'!$H14,F14)</f>
        <v>79244685</v>
      </c>
    </row>
    <row r="15" spans="1:9" ht="14.1" customHeight="1">
      <c r="A15" s="287" t="s">
        <v>114</v>
      </c>
      <c r="B15" s="420">
        <v>99673</v>
      </c>
      <c r="C15" s="294">
        <f t="shared" si="0"/>
        <v>0.48689173704084837</v>
      </c>
      <c r="D15" s="420">
        <v>76257</v>
      </c>
      <c r="E15" s="294">
        <f t="shared" si="1"/>
        <v>0.37250713023109538</v>
      </c>
      <c r="F15" s="288">
        <f>SUM('- 42 -'!$B15,'- 42 -'!$D15,'- 42 -'!$F15,'- 42 -'!$H15,B15,D15)</f>
        <v>7486227</v>
      </c>
      <c r="G15" s="294">
        <f t="shared" si="2"/>
        <v>36.569402625707056</v>
      </c>
      <c r="I15" s="288">
        <f>SUM('- 41 -'!$H15,F15)</f>
        <v>20471286</v>
      </c>
    </row>
    <row r="16" spans="1:9" ht="14.1" customHeight="1">
      <c r="A16" s="18" t="s">
        <v>115</v>
      </c>
      <c r="B16" s="421">
        <v>206513</v>
      </c>
      <c r="C16" s="69">
        <f t="shared" si="0"/>
        <v>1.4796620535642635</v>
      </c>
      <c r="D16" s="421">
        <v>30995</v>
      </c>
      <c r="E16" s="69">
        <f t="shared" si="1"/>
        <v>0.22207863597073479</v>
      </c>
      <c r="F16" s="19">
        <f>SUM('- 42 -'!$B16,'- 42 -'!$D16,'- 42 -'!$F16,'- 42 -'!$H16,B16,D16)</f>
        <v>3640091</v>
      </c>
      <c r="G16" s="69">
        <f t="shared" si="2"/>
        <v>26.081188710738761</v>
      </c>
      <c r="I16" s="19">
        <f>SUM('- 41 -'!$H16,F16)</f>
        <v>13956768</v>
      </c>
    </row>
    <row r="17" spans="1:9" ht="14.1" customHeight="1">
      <c r="A17" s="287" t="s">
        <v>116</v>
      </c>
      <c r="B17" s="420">
        <v>0</v>
      </c>
      <c r="C17" s="294">
        <f t="shared" si="0"/>
        <v>0</v>
      </c>
      <c r="D17" s="420">
        <v>556326</v>
      </c>
      <c r="E17" s="294">
        <f t="shared" si="1"/>
        <v>3.0582495931778109</v>
      </c>
      <c r="F17" s="288">
        <f>SUM('- 42 -'!$B17,'- 42 -'!$D17,'- 42 -'!$F17,'- 42 -'!$H17,B17,D17)</f>
        <v>8173806</v>
      </c>
      <c r="G17" s="294">
        <f t="shared" si="2"/>
        <v>44.933256533425272</v>
      </c>
      <c r="I17" s="288">
        <f>SUM('- 41 -'!$H17,F17)</f>
        <v>18190994</v>
      </c>
    </row>
    <row r="18" spans="1:9" ht="14.1" customHeight="1">
      <c r="A18" s="18" t="s">
        <v>117</v>
      </c>
      <c r="B18" s="421">
        <v>4841777</v>
      </c>
      <c r="C18" s="69">
        <f t="shared" si="0"/>
        <v>3.7077343140050525</v>
      </c>
      <c r="D18" s="421">
        <v>812509</v>
      </c>
      <c r="E18" s="69">
        <f t="shared" si="1"/>
        <v>0.62220286058980634</v>
      </c>
      <c r="F18" s="19">
        <f>SUM('- 42 -'!$B18,'- 42 -'!$D18,'- 42 -'!$F18,'- 42 -'!$H18,B18,D18)</f>
        <v>79174836</v>
      </c>
      <c r="G18" s="69">
        <f t="shared" si="2"/>
        <v>60.630478488150644</v>
      </c>
      <c r="I18" s="19">
        <f>SUM('- 41 -'!$H18,F18)</f>
        <v>130585867</v>
      </c>
    </row>
    <row r="19" spans="1:9" ht="14.1" customHeight="1">
      <c r="A19" s="287" t="s">
        <v>118</v>
      </c>
      <c r="B19" s="420">
        <v>52480</v>
      </c>
      <c r="C19" s="294">
        <f t="shared" si="0"/>
        <v>0.11358032407877332</v>
      </c>
      <c r="D19" s="420">
        <v>486570</v>
      </c>
      <c r="E19" s="294">
        <f t="shared" si="1"/>
        <v>1.0530636106518432</v>
      </c>
      <c r="F19" s="288">
        <f>SUM('- 42 -'!$B19,'- 42 -'!$D19,'- 42 -'!$F19,'- 42 -'!$H19,B19,D19)</f>
        <v>14144401</v>
      </c>
      <c r="G19" s="294">
        <f t="shared" si="2"/>
        <v>30.612150333081662</v>
      </c>
      <c r="I19" s="288">
        <f>SUM('- 41 -'!$H19,F19)</f>
        <v>46205186</v>
      </c>
    </row>
    <row r="20" spans="1:9" ht="14.1" customHeight="1">
      <c r="A20" s="18" t="s">
        <v>119</v>
      </c>
      <c r="B20" s="421">
        <v>445501</v>
      </c>
      <c r="C20" s="69">
        <f t="shared" si="0"/>
        <v>0.5695667016021434</v>
      </c>
      <c r="D20" s="421">
        <v>89919</v>
      </c>
      <c r="E20" s="69">
        <f t="shared" si="1"/>
        <v>0.11496016449202837</v>
      </c>
      <c r="F20" s="19">
        <f>SUM('- 42 -'!$B20,'- 42 -'!$D20,'- 42 -'!$F20,'- 42 -'!$H20,B20,D20)</f>
        <v>22778540</v>
      </c>
      <c r="G20" s="69">
        <f t="shared" si="2"/>
        <v>29.122039894663509</v>
      </c>
      <c r="I20" s="19">
        <f>SUM('- 41 -'!$H20,F20)</f>
        <v>78217529</v>
      </c>
    </row>
    <row r="21" spans="1:9" ht="14.1" customHeight="1">
      <c r="A21" s="287" t="s">
        <v>120</v>
      </c>
      <c r="B21" s="420">
        <v>185229</v>
      </c>
      <c r="C21" s="294">
        <f t="shared" si="0"/>
        <v>0.52561232478028475</v>
      </c>
      <c r="D21" s="420">
        <v>166617</v>
      </c>
      <c r="E21" s="294">
        <f t="shared" si="1"/>
        <v>0.47279825900866873</v>
      </c>
      <c r="F21" s="288">
        <f>SUM('- 42 -'!$B21,'- 42 -'!$D21,'- 42 -'!$F21,'- 42 -'!$H21,B21,D21)</f>
        <v>12286308</v>
      </c>
      <c r="G21" s="294">
        <f t="shared" si="2"/>
        <v>34.864059682050922</v>
      </c>
      <c r="I21" s="288">
        <f>SUM('- 41 -'!$H21,F21)</f>
        <v>35240612</v>
      </c>
    </row>
    <row r="22" spans="1:9" ht="14.1" customHeight="1">
      <c r="A22" s="18" t="s">
        <v>121</v>
      </c>
      <c r="B22" s="421">
        <v>400</v>
      </c>
      <c r="C22" s="69">
        <f t="shared" si="0"/>
        <v>2.001317567420511E-3</v>
      </c>
      <c r="D22" s="421">
        <v>105823</v>
      </c>
      <c r="E22" s="69">
        <f t="shared" si="1"/>
        <v>0.52946357234285191</v>
      </c>
      <c r="F22" s="19">
        <f>SUM('- 42 -'!$B22,'- 42 -'!$D22,'- 42 -'!$F22,'- 42 -'!$H22,B22,D22)</f>
        <v>3492969</v>
      </c>
      <c r="G22" s="69">
        <f t="shared" si="2"/>
        <v>17.476350555388141</v>
      </c>
      <c r="I22" s="19">
        <f>SUM('- 41 -'!$H22,F22)</f>
        <v>19986833</v>
      </c>
    </row>
    <row r="23" spans="1:9" ht="14.1" customHeight="1">
      <c r="A23" s="287" t="s">
        <v>122</v>
      </c>
      <c r="B23" s="420">
        <v>215669</v>
      </c>
      <c r="C23" s="294">
        <f t="shared" si="0"/>
        <v>1.2661502864599783</v>
      </c>
      <c r="D23" s="420">
        <v>232204</v>
      </c>
      <c r="E23" s="294">
        <f t="shared" si="1"/>
        <v>1.3632240197578365</v>
      </c>
      <c r="F23" s="288">
        <f>SUM('- 42 -'!$B23,'- 42 -'!$D23,'- 42 -'!$F23,'- 42 -'!$H23,B23,D23)</f>
        <v>4894506</v>
      </c>
      <c r="G23" s="294">
        <f t="shared" si="2"/>
        <v>28.73468219345424</v>
      </c>
      <c r="I23" s="288">
        <f>SUM('- 41 -'!$H23,F23)</f>
        <v>17033444</v>
      </c>
    </row>
    <row r="24" spans="1:9" ht="14.1" customHeight="1">
      <c r="A24" s="18" t="s">
        <v>123</v>
      </c>
      <c r="B24" s="421">
        <v>592357</v>
      </c>
      <c r="C24" s="69">
        <f t="shared" si="0"/>
        <v>1.0600660488416684</v>
      </c>
      <c r="D24" s="421">
        <v>226137</v>
      </c>
      <c r="E24" s="69">
        <f t="shared" si="1"/>
        <v>0.40468865242903918</v>
      </c>
      <c r="F24" s="19">
        <f>SUM('- 42 -'!$B24,'- 42 -'!$D24,'- 42 -'!$F24,'- 42 -'!$H24,B24,D24)</f>
        <v>21642624</v>
      </c>
      <c r="G24" s="69">
        <f t="shared" si="2"/>
        <v>38.731053925666224</v>
      </c>
      <c r="I24" s="19">
        <f>SUM('- 41 -'!$H24,F24)</f>
        <v>55879254</v>
      </c>
    </row>
    <row r="25" spans="1:9" ht="14.1" customHeight="1">
      <c r="A25" s="287" t="s">
        <v>124</v>
      </c>
      <c r="B25" s="420">
        <v>3657523</v>
      </c>
      <c r="C25" s="294">
        <f t="shared" si="0"/>
        <v>2.2275952422226766</v>
      </c>
      <c r="D25" s="420">
        <v>294273</v>
      </c>
      <c r="E25" s="294">
        <f t="shared" si="1"/>
        <v>0.17922543063012691</v>
      </c>
      <c r="F25" s="288">
        <f>SUM('- 42 -'!$B25,'- 42 -'!$D25,'- 42 -'!$F25,'- 42 -'!$H25,B25,D25)</f>
        <v>59572470</v>
      </c>
      <c r="G25" s="294">
        <f t="shared" si="2"/>
        <v>36.282301092693913</v>
      </c>
      <c r="I25" s="288">
        <f>SUM('- 41 -'!$H25,F25)</f>
        <v>164191543</v>
      </c>
    </row>
    <row r="26" spans="1:9" ht="14.1" customHeight="1">
      <c r="A26" s="18" t="s">
        <v>125</v>
      </c>
      <c r="B26" s="421">
        <v>678061</v>
      </c>
      <c r="C26" s="69">
        <f t="shared" si="0"/>
        <v>1.7043796706610246</v>
      </c>
      <c r="D26" s="421">
        <v>237094</v>
      </c>
      <c r="E26" s="69">
        <f t="shared" si="1"/>
        <v>0.5959614159134724</v>
      </c>
      <c r="F26" s="19">
        <f>SUM('- 42 -'!$B26,'- 42 -'!$D26,'- 42 -'!$F26,'- 42 -'!$H26,B26,D26)</f>
        <v>12667888</v>
      </c>
      <c r="G26" s="69">
        <f t="shared" si="2"/>
        <v>31.842106797781831</v>
      </c>
      <c r="I26" s="19">
        <f>SUM('- 41 -'!$H26,F26)</f>
        <v>39783448</v>
      </c>
    </row>
    <row r="27" spans="1:9" ht="14.1" customHeight="1">
      <c r="A27" s="287" t="s">
        <v>126</v>
      </c>
      <c r="B27" s="420">
        <v>214563</v>
      </c>
      <c r="C27" s="294">
        <f t="shared" si="0"/>
        <v>0.54621221407217591</v>
      </c>
      <c r="D27" s="420">
        <v>226844</v>
      </c>
      <c r="E27" s="294">
        <f t="shared" si="1"/>
        <v>0.57747590912220959</v>
      </c>
      <c r="F27" s="288">
        <f>SUM('- 42 -'!$B27,'- 42 -'!$D27,'- 42 -'!$F27,'- 42 -'!$H27,B27,D27)</f>
        <v>8646620</v>
      </c>
      <c r="G27" s="294">
        <f t="shared" si="2"/>
        <v>22.011667689400117</v>
      </c>
      <c r="I27" s="288">
        <f>SUM('- 41 -'!$H27,F27)</f>
        <v>39281985</v>
      </c>
    </row>
    <row r="28" spans="1:9" ht="14.1" customHeight="1">
      <c r="A28" s="18" t="s">
        <v>127</v>
      </c>
      <c r="B28" s="421">
        <v>45000</v>
      </c>
      <c r="C28" s="69">
        <f t="shared" si="0"/>
        <v>0.16118845609828225</v>
      </c>
      <c r="D28" s="421">
        <v>32843</v>
      </c>
      <c r="E28" s="69">
        <f t="shared" si="1"/>
        <v>0.11764249919190854</v>
      </c>
      <c r="F28" s="19">
        <f>SUM('- 42 -'!$B28,'- 42 -'!$D28,'- 42 -'!$F28,'- 42 -'!$H28,B28,D28)</f>
        <v>14084935</v>
      </c>
      <c r="G28" s="69">
        <f t="shared" si="2"/>
        <v>50.451753930992425</v>
      </c>
      <c r="I28" s="19">
        <f>SUM('- 41 -'!$H28,F28)</f>
        <v>27917632</v>
      </c>
    </row>
    <row r="29" spans="1:9" ht="14.1" customHeight="1">
      <c r="A29" s="287" t="s">
        <v>128</v>
      </c>
      <c r="B29" s="420">
        <v>3212971</v>
      </c>
      <c r="C29" s="294">
        <f t="shared" si="0"/>
        <v>2.1400313834138944</v>
      </c>
      <c r="D29" s="420">
        <v>735285</v>
      </c>
      <c r="E29" s="294">
        <f t="shared" si="1"/>
        <v>0.48974390859845457</v>
      </c>
      <c r="F29" s="288">
        <f>SUM('- 42 -'!$B29,'- 42 -'!$D29,'- 42 -'!$F29,'- 42 -'!$H29,B29,D29)</f>
        <v>67065488</v>
      </c>
      <c r="G29" s="294">
        <f t="shared" si="2"/>
        <v>44.669637249750444</v>
      </c>
      <c r="I29" s="288">
        <f>SUM('- 41 -'!$H29,F29)</f>
        <v>150136630</v>
      </c>
    </row>
    <row r="30" spans="1:9" ht="14.1" customHeight="1">
      <c r="A30" s="18" t="s">
        <v>129</v>
      </c>
      <c r="B30" s="421">
        <v>0</v>
      </c>
      <c r="C30" s="69">
        <f t="shared" si="0"/>
        <v>0</v>
      </c>
      <c r="D30" s="421">
        <v>23228</v>
      </c>
      <c r="E30" s="69">
        <f t="shared" si="1"/>
        <v>0.17282632650604363</v>
      </c>
      <c r="F30" s="19">
        <f>SUM('- 42 -'!$B30,'- 42 -'!$D30,'- 42 -'!$F30,'- 42 -'!$H30,B30,D30)</f>
        <v>4296330</v>
      </c>
      <c r="G30" s="69">
        <f t="shared" si="2"/>
        <v>31.966546037442335</v>
      </c>
      <c r="I30" s="19">
        <f>SUM('- 41 -'!$H30,F30)</f>
        <v>13440082</v>
      </c>
    </row>
    <row r="31" spans="1:9" ht="14.1" customHeight="1">
      <c r="A31" s="287" t="s">
        <v>130</v>
      </c>
      <c r="B31" s="420">
        <v>22000</v>
      </c>
      <c r="C31" s="294">
        <f t="shared" si="0"/>
        <v>6.0279333334685055E-2</v>
      </c>
      <c r="D31" s="420">
        <v>161679</v>
      </c>
      <c r="E31" s="294">
        <f t="shared" si="1"/>
        <v>0.44299556064629747</v>
      </c>
      <c r="F31" s="288">
        <f>SUM('- 42 -'!$B31,'- 42 -'!$D31,'- 42 -'!$F31,'- 42 -'!$H31,B31,D31)</f>
        <v>13547120</v>
      </c>
      <c r="G31" s="294">
        <f t="shared" si="2"/>
        <v>37.118698282044484</v>
      </c>
      <c r="I31" s="288">
        <f>SUM('- 41 -'!$H31,F31)</f>
        <v>36496754</v>
      </c>
    </row>
    <row r="32" spans="1:9" ht="14.1" customHeight="1">
      <c r="A32" s="18" t="s">
        <v>131</v>
      </c>
      <c r="B32" s="421">
        <v>16118</v>
      </c>
      <c r="C32" s="69">
        <f t="shared" si="0"/>
        <v>5.8926024039828988E-2</v>
      </c>
      <c r="D32" s="421">
        <v>131177</v>
      </c>
      <c r="E32" s="69">
        <f t="shared" si="1"/>
        <v>0.47957184858373536</v>
      </c>
      <c r="F32" s="19">
        <f>SUM('- 42 -'!$B32,'- 42 -'!$D32,'- 42 -'!$F32,'- 42 -'!$H32,B32,D32)</f>
        <v>10292098</v>
      </c>
      <c r="G32" s="69">
        <f t="shared" si="2"/>
        <v>37.627026564603291</v>
      </c>
      <c r="I32" s="19">
        <f>SUM('- 41 -'!$H32,F32)</f>
        <v>27352940</v>
      </c>
    </row>
    <row r="33" spans="1:9" ht="14.1" customHeight="1">
      <c r="A33" s="287" t="s">
        <v>132</v>
      </c>
      <c r="B33" s="420">
        <v>57029</v>
      </c>
      <c r="C33" s="294">
        <f t="shared" si="0"/>
        <v>0.20279414912796634</v>
      </c>
      <c r="D33" s="420">
        <v>102306</v>
      </c>
      <c r="E33" s="294">
        <f t="shared" si="1"/>
        <v>0.3637983871483933</v>
      </c>
      <c r="F33" s="288">
        <f>SUM('- 42 -'!$B33,'- 42 -'!$D33,'- 42 -'!$F33,'- 42 -'!$H33,B33,D33)</f>
        <v>10482061</v>
      </c>
      <c r="G33" s="294">
        <f t="shared" si="2"/>
        <v>37.274029732284269</v>
      </c>
      <c r="I33" s="288">
        <f>SUM('- 41 -'!$H33,F33)</f>
        <v>28121620</v>
      </c>
    </row>
    <row r="34" spans="1:9" ht="14.1" customHeight="1">
      <c r="A34" s="18" t="s">
        <v>133</v>
      </c>
      <c r="B34" s="421">
        <v>180696</v>
      </c>
      <c r="C34" s="69">
        <f t="shared" si="0"/>
        <v>0.66038607455781295</v>
      </c>
      <c r="D34" s="421">
        <v>100074</v>
      </c>
      <c r="E34" s="69">
        <f t="shared" si="1"/>
        <v>0.36573845588888837</v>
      </c>
      <c r="F34" s="19">
        <f>SUM('- 42 -'!$B34,'- 42 -'!$D34,'- 42 -'!$F34,'- 42 -'!$H34,B34,D34)</f>
        <v>11281405</v>
      </c>
      <c r="G34" s="69">
        <f t="shared" si="2"/>
        <v>41.229926304106804</v>
      </c>
      <c r="I34" s="19">
        <f>SUM('- 41 -'!$H34,F34)</f>
        <v>27362176</v>
      </c>
    </row>
    <row r="35" spans="1:9" ht="14.1" customHeight="1">
      <c r="A35" s="287" t="s">
        <v>134</v>
      </c>
      <c r="B35" s="420">
        <v>2005561</v>
      </c>
      <c r="C35" s="294">
        <f t="shared" si="0"/>
        <v>1.1343565591359899</v>
      </c>
      <c r="D35" s="420">
        <v>312902</v>
      </c>
      <c r="E35" s="294">
        <f t="shared" si="1"/>
        <v>0.17697912756917866</v>
      </c>
      <c r="F35" s="288">
        <f>SUM('- 42 -'!$B35,'- 42 -'!$D35,'- 42 -'!$F35,'- 42 -'!$H35,B35,D35)</f>
        <v>55445447</v>
      </c>
      <c r="G35" s="294">
        <f t="shared" si="2"/>
        <v>31.360256047398654</v>
      </c>
      <c r="I35" s="288">
        <f>SUM('- 41 -'!$H35,F35)</f>
        <v>176801640</v>
      </c>
    </row>
    <row r="36" spans="1:9" ht="14.1" customHeight="1">
      <c r="A36" s="18" t="s">
        <v>135</v>
      </c>
      <c r="B36" s="421">
        <v>32007</v>
      </c>
      <c r="C36" s="69">
        <f t="shared" si="0"/>
        <v>0.13850425701425811</v>
      </c>
      <c r="D36" s="421">
        <v>110022</v>
      </c>
      <c r="E36" s="69">
        <f t="shared" si="1"/>
        <v>0.47609945840668305</v>
      </c>
      <c r="F36" s="19">
        <f>SUM('- 42 -'!$B36,'- 42 -'!$D36,'- 42 -'!$F36,'- 42 -'!$H36,B36,D36)</f>
        <v>9165365</v>
      </c>
      <c r="G36" s="69">
        <f t="shared" si="2"/>
        <v>39.661388745883265</v>
      </c>
      <c r="I36" s="19">
        <f>SUM('- 41 -'!$H36,F36)</f>
        <v>23109037</v>
      </c>
    </row>
    <row r="37" spans="1:9" ht="14.1" customHeight="1">
      <c r="A37" s="287" t="s">
        <v>136</v>
      </c>
      <c r="B37" s="420">
        <v>45098</v>
      </c>
      <c r="C37" s="294">
        <f t="shared" si="0"/>
        <v>9.6469263048458237E-2</v>
      </c>
      <c r="D37" s="420">
        <v>89146</v>
      </c>
      <c r="E37" s="294">
        <f t="shared" si="1"/>
        <v>0.19069246804110732</v>
      </c>
      <c r="F37" s="288">
        <f>SUM('- 42 -'!$B37,'- 42 -'!$D37,'- 42 -'!$F37,'- 42 -'!$H37,B37,D37)</f>
        <v>12970982</v>
      </c>
      <c r="G37" s="294">
        <f t="shared" si="2"/>
        <v>27.746265345576678</v>
      </c>
      <c r="I37" s="288">
        <f>SUM('- 41 -'!$H37,F37)</f>
        <v>46748569</v>
      </c>
    </row>
    <row r="38" spans="1:9" ht="14.1" customHeight="1">
      <c r="A38" s="18" t="s">
        <v>137</v>
      </c>
      <c r="B38" s="421">
        <v>1121809</v>
      </c>
      <c r="C38" s="69">
        <f t="shared" si="0"/>
        <v>0.89074441950279504</v>
      </c>
      <c r="D38" s="421">
        <v>173717</v>
      </c>
      <c r="E38" s="69">
        <f t="shared" si="1"/>
        <v>0.13793564530393948</v>
      </c>
      <c r="F38" s="19">
        <f>SUM('- 42 -'!$B38,'- 42 -'!$D38,'- 42 -'!$F38,'- 42 -'!$H38,B38,D38)</f>
        <v>37379714</v>
      </c>
      <c r="G38" s="69">
        <f t="shared" si="2"/>
        <v>29.680428351092296</v>
      </c>
      <c r="I38" s="19">
        <f>SUM('- 41 -'!$H38,F38)</f>
        <v>125940615</v>
      </c>
    </row>
    <row r="39" spans="1:9" ht="14.1" customHeight="1">
      <c r="A39" s="287" t="s">
        <v>138</v>
      </c>
      <c r="B39" s="420">
        <v>0</v>
      </c>
      <c r="C39" s="294">
        <f t="shared" si="0"/>
        <v>0</v>
      </c>
      <c r="D39" s="420">
        <v>84968</v>
      </c>
      <c r="E39" s="294">
        <f t="shared" si="1"/>
        <v>0.39810123216566873</v>
      </c>
      <c r="F39" s="288">
        <f>SUM('- 42 -'!$B39,'- 42 -'!$D39,'- 42 -'!$F39,'- 42 -'!$H39,B39,D39)</f>
        <v>9213271</v>
      </c>
      <c r="G39" s="294">
        <f t="shared" si="2"/>
        <v>43.167010373037179</v>
      </c>
      <c r="I39" s="288">
        <f>SUM('- 41 -'!$H39,F39)</f>
        <v>21343315</v>
      </c>
    </row>
    <row r="40" spans="1:9" ht="14.1" customHeight="1">
      <c r="A40" s="18" t="s">
        <v>139</v>
      </c>
      <c r="B40" s="421">
        <v>2573850</v>
      </c>
      <c r="C40" s="69">
        <f t="shared" si="0"/>
        <v>2.5533641044535584</v>
      </c>
      <c r="D40" s="421">
        <v>945277</v>
      </c>
      <c r="E40" s="69">
        <f t="shared" si="1"/>
        <v>0.93775331140724849</v>
      </c>
      <c r="F40" s="19">
        <f>SUM('- 42 -'!$B40,'- 42 -'!$D40,'- 42 -'!$F40,'- 42 -'!$H40,B40,D40)</f>
        <v>42727315</v>
      </c>
      <c r="G40" s="69">
        <f t="shared" si="2"/>
        <v>42.387237951193782</v>
      </c>
      <c r="I40" s="19">
        <f>SUM('- 41 -'!$H40,F40)</f>
        <v>100802310</v>
      </c>
    </row>
    <row r="41" spans="1:9" ht="14.1" customHeight="1">
      <c r="A41" s="287" t="s">
        <v>140</v>
      </c>
      <c r="B41" s="420">
        <v>37741</v>
      </c>
      <c r="C41" s="294">
        <f t="shared" si="0"/>
        <v>6.0978898337944114E-2</v>
      </c>
      <c r="D41" s="420">
        <v>178577</v>
      </c>
      <c r="E41" s="294">
        <f t="shared" si="1"/>
        <v>0.28853047689502254</v>
      </c>
      <c r="F41" s="288">
        <f>SUM('- 42 -'!$B41,'- 42 -'!$D41,'- 42 -'!$F41,'- 42 -'!$H41,B41,D41)</f>
        <v>23772664</v>
      </c>
      <c r="G41" s="294">
        <f t="shared" si="2"/>
        <v>38.409974862301048</v>
      </c>
      <c r="I41" s="288">
        <f>SUM('- 41 -'!$H41,F41)</f>
        <v>61891902</v>
      </c>
    </row>
    <row r="42" spans="1:9" ht="14.1" customHeight="1">
      <c r="A42" s="18" t="s">
        <v>141</v>
      </c>
      <c r="B42" s="421">
        <v>244585</v>
      </c>
      <c r="C42" s="69">
        <f t="shared" si="0"/>
        <v>1.1669770844319145</v>
      </c>
      <c r="D42" s="421">
        <v>102345</v>
      </c>
      <c r="E42" s="69">
        <f t="shared" si="1"/>
        <v>0.48831395918058873</v>
      </c>
      <c r="F42" s="19">
        <f>SUM('- 42 -'!$B42,'- 42 -'!$D42,'- 42 -'!$F42,'- 42 -'!$H42,B42,D42)</f>
        <v>5854752</v>
      </c>
      <c r="G42" s="69">
        <f t="shared" si="2"/>
        <v>27.93450709991177</v>
      </c>
      <c r="I42" s="19">
        <f>SUM('- 41 -'!$H42,F42)</f>
        <v>20958852</v>
      </c>
    </row>
    <row r="43" spans="1:9" ht="14.1" customHeight="1">
      <c r="A43" s="287" t="s">
        <v>142</v>
      </c>
      <c r="B43" s="420">
        <v>11914</v>
      </c>
      <c r="C43" s="294">
        <f t="shared" si="0"/>
        <v>9.3069588773654663E-2</v>
      </c>
      <c r="D43" s="420">
        <v>22386</v>
      </c>
      <c r="E43" s="294">
        <f t="shared" si="1"/>
        <v>0.17487458572159084</v>
      </c>
      <c r="F43" s="288">
        <f>SUM('- 42 -'!$B43,'- 42 -'!$D43,'- 42 -'!$F43,'- 42 -'!$H43,B43,D43)</f>
        <v>4959155</v>
      </c>
      <c r="G43" s="294">
        <f t="shared" si="2"/>
        <v>38.739845267316888</v>
      </c>
      <c r="I43" s="288">
        <f>SUM('- 41 -'!$H43,F43)</f>
        <v>12801174</v>
      </c>
    </row>
    <row r="44" spans="1:9" ht="14.1" customHeight="1">
      <c r="A44" s="18" t="s">
        <v>143</v>
      </c>
      <c r="B44" s="421">
        <v>12369</v>
      </c>
      <c r="C44" s="69">
        <f t="shared" si="0"/>
        <v>0.11110354591785865</v>
      </c>
      <c r="D44" s="421">
        <v>6870</v>
      </c>
      <c r="E44" s="69">
        <f t="shared" si="1"/>
        <v>6.1709221477539732E-2</v>
      </c>
      <c r="F44" s="19">
        <f>SUM('- 42 -'!$B44,'- 42 -'!$D44,'- 42 -'!$F44,'- 42 -'!$H44,B44,D44)</f>
        <v>2395527</v>
      </c>
      <c r="G44" s="69">
        <f t="shared" si="2"/>
        <v>21.517628267602085</v>
      </c>
      <c r="I44" s="19">
        <f>SUM('- 41 -'!$H44,F44)</f>
        <v>11132858</v>
      </c>
    </row>
    <row r="45" spans="1:9" ht="14.1" customHeight="1">
      <c r="A45" s="287" t="s">
        <v>144</v>
      </c>
      <c r="B45" s="420">
        <v>244973</v>
      </c>
      <c r="C45" s="294">
        <f t="shared" si="0"/>
        <v>1.3437014157262646</v>
      </c>
      <c r="D45" s="420">
        <v>23150</v>
      </c>
      <c r="E45" s="294">
        <f t="shared" si="1"/>
        <v>0.1269800662687848</v>
      </c>
      <c r="F45" s="288">
        <f>SUM('- 42 -'!$B45,'- 42 -'!$D45,'- 42 -'!$F45,'- 42 -'!$H45,B45,D45)</f>
        <v>5952024</v>
      </c>
      <c r="G45" s="294">
        <f t="shared" si="2"/>
        <v>32.64744716861329</v>
      </c>
      <c r="I45" s="288">
        <f>SUM('- 41 -'!$H45,F45)</f>
        <v>18231208</v>
      </c>
    </row>
    <row r="46" spans="1:9" ht="14.1" customHeight="1">
      <c r="A46" s="18" t="s">
        <v>145</v>
      </c>
      <c r="B46" s="421">
        <v>781419</v>
      </c>
      <c r="C46" s="69">
        <f t="shared" si="0"/>
        <v>0.20900171277473184</v>
      </c>
      <c r="D46" s="421">
        <v>773021</v>
      </c>
      <c r="E46" s="69">
        <f t="shared" si="1"/>
        <v>0.20675554729387946</v>
      </c>
      <c r="F46" s="19">
        <f>SUM('- 42 -'!$B46,'- 42 -'!$D46,'- 42 -'!$F46,'- 42 -'!$H46,B46,D46)</f>
        <v>138511091</v>
      </c>
      <c r="G46" s="69">
        <f t="shared" si="2"/>
        <v>37.046776770588821</v>
      </c>
      <c r="I46" s="19">
        <f>SUM('- 41 -'!$H46,F46)</f>
        <v>373881625</v>
      </c>
    </row>
    <row r="47" spans="1:9" ht="5.0999999999999996" customHeight="1">
      <c r="A47" s="20"/>
      <c r="B47" s="21"/>
      <c r="C47"/>
      <c r="D47" s="21"/>
      <c r="E47"/>
      <c r="F47" s="21"/>
      <c r="G47"/>
      <c r="I47" s="21"/>
    </row>
    <row r="48" spans="1:9" ht="14.1" customHeight="1">
      <c r="A48" s="289" t="s">
        <v>146</v>
      </c>
      <c r="B48" s="424">
        <f>SUM(B11:B46)</f>
        <v>22947010</v>
      </c>
      <c r="C48" s="297">
        <f>B48/I48*100</f>
        <v>1.0413805248352064</v>
      </c>
      <c r="D48" s="424">
        <f>SUM(D11:D46)</f>
        <v>8447907</v>
      </c>
      <c r="E48" s="297">
        <f>D48/I48*100</f>
        <v>0.38338266403418203</v>
      </c>
      <c r="F48" s="290">
        <f>SUM(F11:F46)</f>
        <v>810811162</v>
      </c>
      <c r="G48" s="297">
        <f>F48/I48*100</f>
        <v>36.796208021254344</v>
      </c>
      <c r="I48" s="290">
        <f>SUM(I11:I46)</f>
        <v>2203518258</v>
      </c>
    </row>
    <row r="49" spans="1:9" ht="5.0999999999999996" customHeight="1">
      <c r="A49" s="20" t="s">
        <v>8</v>
      </c>
      <c r="B49" s="21"/>
      <c r="C49"/>
      <c r="D49" s="21"/>
      <c r="E49"/>
      <c r="F49" s="21"/>
      <c r="G49"/>
      <c r="I49" s="21"/>
    </row>
    <row r="50" spans="1:9" ht="14.1" customHeight="1">
      <c r="A50" s="18" t="s">
        <v>147</v>
      </c>
      <c r="B50" s="421">
        <v>0</v>
      </c>
      <c r="C50" s="69">
        <f>B50/I50*100</f>
        <v>0</v>
      </c>
      <c r="D50" s="421">
        <v>24779</v>
      </c>
      <c r="E50" s="69">
        <f>D50/I50*100</f>
        <v>0.73480808962055033</v>
      </c>
      <c r="F50" s="19">
        <f>SUM('- 42 -'!$B50,'- 42 -'!$D50,'- 42 -'!$F50,'- 42 -'!$H50,B50,D50)</f>
        <v>1902614</v>
      </c>
      <c r="G50" s="69">
        <f>F50/I50*100</f>
        <v>56.421008056229617</v>
      </c>
      <c r="I50" s="19">
        <f>SUM('- 41 -'!$H50,F50)</f>
        <v>3372173</v>
      </c>
    </row>
    <row r="51" spans="1:9" ht="14.1" customHeight="1">
      <c r="A51" s="287" t="s">
        <v>643</v>
      </c>
      <c r="B51" s="420">
        <v>9642791</v>
      </c>
      <c r="C51" s="294">
        <f>B51/I51*100</f>
        <v>38.144559820316751</v>
      </c>
      <c r="D51" s="420">
        <v>188882</v>
      </c>
      <c r="E51" s="294">
        <f>D51/I51*100</f>
        <v>0.74717172113147223</v>
      </c>
      <c r="F51" s="288">
        <f>SUM('- 42 -'!$B51,'- 42 -'!$D51,'- 42 -'!$F51,'- 42 -'!$H51,B51,D51)</f>
        <v>16307835</v>
      </c>
      <c r="G51" s="294">
        <f>F51/I51*100</f>
        <v>64.509869362237055</v>
      </c>
      <c r="I51" s="288">
        <f>SUM('- 41 -'!$H51,F51)</f>
        <v>25279597</v>
      </c>
    </row>
    <row r="52" spans="1:9" ht="50.1" customHeight="1"/>
  </sheetData>
  <mergeCells count="4">
    <mergeCell ref="B6:C8"/>
    <mergeCell ref="D8:E8"/>
    <mergeCell ref="F6:G8"/>
    <mergeCell ref="I6:I8"/>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39.xml><?xml version="1.0" encoding="utf-8"?>
<worksheet xmlns="http://schemas.openxmlformats.org/spreadsheetml/2006/main" xmlns:r="http://schemas.openxmlformats.org/officeDocument/2006/relationships">
  <sheetPr codeName="Sheet23"/>
  <dimension ref="A1:E58"/>
  <sheetViews>
    <sheetView showGridLines="0" showZeros="0" workbookViewId="0"/>
  </sheetViews>
  <sheetFormatPr defaultColWidth="15.83203125" defaultRowHeight="12"/>
  <cols>
    <col min="1" max="1" width="37.33203125" style="1" customWidth="1"/>
    <col min="2" max="2" width="23.6640625" style="1" customWidth="1"/>
    <col min="3" max="3" width="25.1640625" style="1" customWidth="1"/>
    <col min="4" max="4" width="22.6640625" style="1" customWidth="1"/>
    <col min="5" max="5" width="17.1640625" style="1" customWidth="1"/>
    <col min="6" max="16384" width="15.83203125" style="1"/>
  </cols>
  <sheetData>
    <row r="1" spans="1:5" ht="6.95" customHeight="1">
      <c r="A1" s="6"/>
    </row>
    <row r="2" spans="1:5" ht="14.1" customHeight="1">
      <c r="A2" s="62"/>
      <c r="B2" s="450" t="s">
        <v>224</v>
      </c>
      <c r="C2" s="207"/>
      <c r="D2" s="207"/>
      <c r="E2" s="208"/>
    </row>
    <row r="3" spans="1:5" ht="14.1" customHeight="1">
      <c r="A3" s="547"/>
      <c r="B3" s="22"/>
      <c r="C3" s="451" t="str">
        <f>"FOR THE YEAR ENDED JUNE 30, "&amp;SPRINGYR</f>
        <v>FOR THE YEAR ENDED JUNE 30, 2015</v>
      </c>
      <c r="D3" s="210"/>
      <c r="E3" s="211"/>
    </row>
    <row r="7" spans="1:5" ht="13.5">
      <c r="B7" s="679" t="s">
        <v>390</v>
      </c>
      <c r="C7" s="680"/>
      <c r="D7" s="722"/>
      <c r="E7" s="627" t="str">
        <f>"% OF "&amp;FALLYR&amp;"/"&amp;SPRINGYR&amp;" OPERATING"</f>
        <v>% OF 2014/2015 OPERATING</v>
      </c>
    </row>
    <row r="8" spans="1:5">
      <c r="A8" s="66"/>
      <c r="B8" s="341"/>
      <c r="C8" s="378"/>
      <c r="D8" s="378"/>
      <c r="E8" s="723"/>
    </row>
    <row r="9" spans="1:5" ht="14.25">
      <c r="A9" s="34" t="s">
        <v>43</v>
      </c>
      <c r="B9" s="448" t="s">
        <v>386</v>
      </c>
      <c r="C9" s="448" t="s">
        <v>279</v>
      </c>
      <c r="D9" s="509" t="s">
        <v>32</v>
      </c>
      <c r="E9" s="428" t="s">
        <v>387</v>
      </c>
    </row>
    <row r="10" spans="1:5" ht="5.0999999999999996" customHeight="1">
      <c r="A10" s="5"/>
      <c r="B10" s="6"/>
      <c r="C10" s="6"/>
      <c r="D10" s="6"/>
      <c r="E10" s="6"/>
    </row>
    <row r="11" spans="1:5" ht="14.1" customHeight="1">
      <c r="A11" s="287" t="s">
        <v>111</v>
      </c>
      <c r="B11" s="420">
        <v>203027</v>
      </c>
      <c r="C11" s="420">
        <v>384144</v>
      </c>
      <c r="D11" s="288">
        <f>+B11+C11</f>
        <v>587171</v>
      </c>
      <c r="E11" s="294">
        <f>D11/'- 3 -'!$B11*100</f>
        <v>3.3476888545817456</v>
      </c>
    </row>
    <row r="12" spans="1:5" ht="14.1" customHeight="1">
      <c r="A12" s="18" t="s">
        <v>112</v>
      </c>
      <c r="B12" s="421">
        <v>1127715</v>
      </c>
      <c r="C12" s="421">
        <v>54889</v>
      </c>
      <c r="D12" s="19">
        <f t="shared" ref="D12:D46" si="0">+B12+C12</f>
        <v>1182604</v>
      </c>
      <c r="E12" s="69">
        <f>D12/'- 3 -'!$B12*100</f>
        <v>3.6891144539364804</v>
      </c>
    </row>
    <row r="13" spans="1:5" ht="14.1" customHeight="1">
      <c r="A13" s="287" t="s">
        <v>113</v>
      </c>
      <c r="B13" s="420">
        <v>457800</v>
      </c>
      <c r="C13" s="420">
        <v>2979953</v>
      </c>
      <c r="D13" s="288">
        <f t="shared" si="0"/>
        <v>3437753</v>
      </c>
      <c r="E13" s="294">
        <f>D13/'- 3 -'!$B13*100</f>
        <v>3.9689676013956761</v>
      </c>
    </row>
    <row r="14" spans="1:5" ht="14.1" customHeight="1">
      <c r="A14" s="18" t="s">
        <v>365</v>
      </c>
      <c r="B14" s="421">
        <v>1797369</v>
      </c>
      <c r="C14" s="421">
        <v>2113837</v>
      </c>
      <c r="D14" s="19">
        <f t="shared" si="0"/>
        <v>3911206</v>
      </c>
      <c r="E14" s="69">
        <f>D14/'- 3 -'!$B14*100</f>
        <v>5.0308958685387459</v>
      </c>
    </row>
    <row r="15" spans="1:5" ht="14.1" customHeight="1">
      <c r="A15" s="287" t="s">
        <v>114</v>
      </c>
      <c r="B15" s="420">
        <v>743997</v>
      </c>
      <c r="C15" s="420">
        <v>63417</v>
      </c>
      <c r="D15" s="288">
        <f t="shared" si="0"/>
        <v>807414</v>
      </c>
      <c r="E15" s="294">
        <f>D15/'- 3 -'!$B15*100</f>
        <v>4.0958462123159771</v>
      </c>
    </row>
    <row r="16" spans="1:5" ht="14.1" customHeight="1">
      <c r="A16" s="18" t="s">
        <v>115</v>
      </c>
      <c r="B16" s="421">
        <v>71468</v>
      </c>
      <c r="C16" s="421">
        <v>432945</v>
      </c>
      <c r="D16" s="19">
        <f t="shared" si="0"/>
        <v>504413</v>
      </c>
      <c r="E16" s="69">
        <f>D16/'- 3 -'!$B16*100</f>
        <v>3.7044549770133628</v>
      </c>
    </row>
    <row r="17" spans="1:5" ht="14.1" customHeight="1">
      <c r="A17" s="287" t="s">
        <v>116</v>
      </c>
      <c r="B17" s="420">
        <v>9081</v>
      </c>
      <c r="C17" s="420">
        <v>681735</v>
      </c>
      <c r="D17" s="288">
        <f t="shared" si="0"/>
        <v>690816</v>
      </c>
      <c r="E17" s="294">
        <f>D17/'- 3 -'!$B17*100</f>
        <v>3.949790565319264</v>
      </c>
    </row>
    <row r="18" spans="1:5" ht="14.1" customHeight="1">
      <c r="A18" s="18" t="s">
        <v>117</v>
      </c>
      <c r="B18" s="421">
        <v>0</v>
      </c>
      <c r="C18" s="421">
        <v>4812623</v>
      </c>
      <c r="D18" s="19">
        <f t="shared" si="0"/>
        <v>4812623</v>
      </c>
      <c r="E18" s="69">
        <f>D18/'- 3 -'!$B18*100</f>
        <v>3.7832193445395887</v>
      </c>
    </row>
    <row r="19" spans="1:5" ht="14.1" customHeight="1">
      <c r="A19" s="287" t="s">
        <v>118</v>
      </c>
      <c r="B19" s="420">
        <v>297556</v>
      </c>
      <c r="C19" s="420">
        <v>1426811</v>
      </c>
      <c r="D19" s="288">
        <f t="shared" si="0"/>
        <v>1724367</v>
      </c>
      <c r="E19" s="294">
        <f>D19/'- 3 -'!$B19*100</f>
        <v>3.9624646946922728</v>
      </c>
    </row>
    <row r="20" spans="1:5" ht="14.1" customHeight="1">
      <c r="A20" s="18" t="s">
        <v>119</v>
      </c>
      <c r="B20" s="421">
        <v>0</v>
      </c>
      <c r="C20" s="421">
        <v>3025031</v>
      </c>
      <c r="D20" s="19">
        <f t="shared" si="0"/>
        <v>3025031</v>
      </c>
      <c r="E20" s="69">
        <f>D20/'- 3 -'!$B20*100</f>
        <v>3.9865011207224703</v>
      </c>
    </row>
    <row r="21" spans="1:5" ht="14.1" customHeight="1">
      <c r="A21" s="287" t="s">
        <v>120</v>
      </c>
      <c r="B21" s="420">
        <v>0</v>
      </c>
      <c r="C21" s="420">
        <v>670701</v>
      </c>
      <c r="D21" s="288">
        <f t="shared" si="0"/>
        <v>670701</v>
      </c>
      <c r="E21" s="294">
        <f>D21/'- 3 -'!$B21*100</f>
        <v>1.9080660605794566</v>
      </c>
    </row>
    <row r="22" spans="1:5" ht="14.1" customHeight="1">
      <c r="A22" s="18" t="s">
        <v>121</v>
      </c>
      <c r="B22" s="421">
        <v>0</v>
      </c>
      <c r="C22" s="421">
        <v>1176798</v>
      </c>
      <c r="D22" s="19">
        <f t="shared" si="0"/>
        <v>1176798</v>
      </c>
      <c r="E22" s="69">
        <f>D22/'- 3 -'!$B22*100</f>
        <v>6.0493355820642236</v>
      </c>
    </row>
    <row r="23" spans="1:5" ht="14.1" customHeight="1">
      <c r="A23" s="287" t="s">
        <v>122</v>
      </c>
      <c r="B23" s="420">
        <v>25000</v>
      </c>
      <c r="C23" s="420">
        <v>632835</v>
      </c>
      <c r="D23" s="288">
        <f t="shared" si="0"/>
        <v>657835</v>
      </c>
      <c r="E23" s="294">
        <f>D23/'- 3 -'!$B23*100</f>
        <v>4.0364287642282219</v>
      </c>
    </row>
    <row r="24" spans="1:5" ht="14.1" customHeight="1">
      <c r="A24" s="18" t="s">
        <v>123</v>
      </c>
      <c r="B24" s="421">
        <v>185000</v>
      </c>
      <c r="C24" s="421">
        <v>2091665</v>
      </c>
      <c r="D24" s="19">
        <f t="shared" si="0"/>
        <v>2276665</v>
      </c>
      <c r="E24" s="69">
        <f>D24/'- 3 -'!$B24*100</f>
        <v>4.1823445764451739</v>
      </c>
    </row>
    <row r="25" spans="1:5" ht="14.1" customHeight="1">
      <c r="A25" s="287" t="s">
        <v>124</v>
      </c>
      <c r="B25" s="420">
        <v>867422</v>
      </c>
      <c r="C25" s="420">
        <v>6044579</v>
      </c>
      <c r="D25" s="288">
        <f t="shared" si="0"/>
        <v>6912001</v>
      </c>
      <c r="E25" s="294">
        <f>D25/'- 3 -'!$B25*100</f>
        <v>4.2896431688277135</v>
      </c>
    </row>
    <row r="26" spans="1:5" ht="14.1" customHeight="1">
      <c r="A26" s="18" t="s">
        <v>125</v>
      </c>
      <c r="B26" s="421">
        <v>0</v>
      </c>
      <c r="C26" s="421">
        <v>1488300</v>
      </c>
      <c r="D26" s="19">
        <f t="shared" si="0"/>
        <v>1488300</v>
      </c>
      <c r="E26" s="69">
        <f>D26/'- 3 -'!$B26*100</f>
        <v>3.825283227871811</v>
      </c>
    </row>
    <row r="27" spans="1:5" ht="14.1" customHeight="1">
      <c r="A27" s="287" t="s">
        <v>126</v>
      </c>
      <c r="B27" s="420">
        <v>1047173</v>
      </c>
      <c r="C27" s="420">
        <v>1981195</v>
      </c>
      <c r="D27" s="288">
        <f t="shared" si="0"/>
        <v>3028368</v>
      </c>
      <c r="E27" s="294">
        <f>D27/'- 3 -'!$B27*100</f>
        <v>7.7551754063590703</v>
      </c>
    </row>
    <row r="28" spans="1:5" ht="14.1" customHeight="1">
      <c r="A28" s="18" t="s">
        <v>127</v>
      </c>
      <c r="B28" s="421">
        <v>76711</v>
      </c>
      <c r="C28" s="421">
        <v>687865</v>
      </c>
      <c r="D28" s="19">
        <f t="shared" si="0"/>
        <v>764576</v>
      </c>
      <c r="E28" s="69">
        <f>D28/'- 3 -'!$B28*100</f>
        <v>2.7669423176833212</v>
      </c>
    </row>
    <row r="29" spans="1:5" ht="14.1" customHeight="1">
      <c r="A29" s="287" t="s">
        <v>128</v>
      </c>
      <c r="B29" s="420">
        <v>1578093</v>
      </c>
      <c r="C29" s="420">
        <v>4152210</v>
      </c>
      <c r="D29" s="288">
        <f t="shared" si="0"/>
        <v>5730303</v>
      </c>
      <c r="E29" s="294">
        <f>D29/'- 3 -'!$B29*100</f>
        <v>3.8769009789753381</v>
      </c>
    </row>
    <row r="30" spans="1:5" ht="14.1" customHeight="1">
      <c r="A30" s="18" t="s">
        <v>129</v>
      </c>
      <c r="B30" s="421">
        <v>26390</v>
      </c>
      <c r="C30" s="421">
        <v>351710</v>
      </c>
      <c r="D30" s="19">
        <f t="shared" si="0"/>
        <v>378100</v>
      </c>
      <c r="E30" s="69">
        <f>D30/'- 3 -'!$B30*100</f>
        <v>2.7718533068664475</v>
      </c>
    </row>
    <row r="31" spans="1:5" ht="14.1" customHeight="1">
      <c r="A31" s="287" t="s">
        <v>130</v>
      </c>
      <c r="B31" s="420">
        <v>0</v>
      </c>
      <c r="C31" s="420">
        <v>1399607</v>
      </c>
      <c r="D31" s="288">
        <f t="shared" si="0"/>
        <v>1399607</v>
      </c>
      <c r="E31" s="294">
        <f>D31/'- 3 -'!$B31*100</f>
        <v>3.9544276809683385</v>
      </c>
    </row>
    <row r="32" spans="1:5" ht="14.1" customHeight="1">
      <c r="A32" s="18" t="s">
        <v>131</v>
      </c>
      <c r="B32" s="421">
        <v>0</v>
      </c>
      <c r="C32" s="421">
        <v>1063988</v>
      </c>
      <c r="D32" s="19">
        <f t="shared" si="0"/>
        <v>1063988</v>
      </c>
      <c r="E32" s="69">
        <f>D32/'- 3 -'!$B32*100</f>
        <v>3.9938038287497659</v>
      </c>
    </row>
    <row r="33" spans="1:5" ht="14.1" customHeight="1">
      <c r="A33" s="287" t="s">
        <v>132</v>
      </c>
      <c r="B33" s="420">
        <v>548000</v>
      </c>
      <c r="C33" s="420">
        <v>1149076</v>
      </c>
      <c r="D33" s="288">
        <f t="shared" si="0"/>
        <v>1697076</v>
      </c>
      <c r="E33" s="294">
        <f>D33/'- 3 -'!$B33*100</f>
        <v>6.4180840120206808</v>
      </c>
    </row>
    <row r="34" spans="1:5" ht="14.1" customHeight="1">
      <c r="A34" s="18" t="s">
        <v>133</v>
      </c>
      <c r="B34" s="421">
        <v>529749</v>
      </c>
      <c r="C34" s="421">
        <v>508413</v>
      </c>
      <c r="D34" s="19">
        <f t="shared" si="0"/>
        <v>1038162</v>
      </c>
      <c r="E34" s="69">
        <f>D34/'- 3 -'!$B34*100</f>
        <v>3.8501317518659102</v>
      </c>
    </row>
    <row r="35" spans="1:5" ht="14.1" customHeight="1">
      <c r="A35" s="287" t="s">
        <v>134</v>
      </c>
      <c r="B35" s="420">
        <v>2334449</v>
      </c>
      <c r="C35" s="420">
        <v>4037284</v>
      </c>
      <c r="D35" s="288">
        <f t="shared" si="0"/>
        <v>6371733</v>
      </c>
      <c r="E35" s="294">
        <f>D35/'- 3 -'!$B35*100</f>
        <v>3.6341400355797902</v>
      </c>
    </row>
    <row r="36" spans="1:5" ht="14.1" customHeight="1">
      <c r="A36" s="18" t="s">
        <v>135</v>
      </c>
      <c r="B36" s="421">
        <v>0</v>
      </c>
      <c r="C36" s="421">
        <v>823811</v>
      </c>
      <c r="D36" s="19">
        <f t="shared" si="0"/>
        <v>823811</v>
      </c>
      <c r="E36" s="69">
        <f>D36/'- 3 -'!$B36*100</f>
        <v>3.7369728791839369</v>
      </c>
    </row>
    <row r="37" spans="1:5" ht="14.1" customHeight="1">
      <c r="A37" s="287" t="s">
        <v>136</v>
      </c>
      <c r="B37" s="420">
        <v>317181</v>
      </c>
      <c r="C37" s="420">
        <v>1419147</v>
      </c>
      <c r="D37" s="288">
        <f t="shared" si="0"/>
        <v>1736328</v>
      </c>
      <c r="E37" s="294">
        <f>D37/'- 3 -'!$B37*100</f>
        <v>3.802875999331206</v>
      </c>
    </row>
    <row r="38" spans="1:5" ht="14.1" customHeight="1">
      <c r="A38" s="18" t="s">
        <v>137</v>
      </c>
      <c r="B38" s="421">
        <v>1688577</v>
      </c>
      <c r="C38" s="421">
        <v>662969</v>
      </c>
      <c r="D38" s="19">
        <f t="shared" si="0"/>
        <v>2351546</v>
      </c>
      <c r="E38" s="69">
        <f>D38/'- 3 -'!$B38*100</f>
        <v>1.9077062548087715</v>
      </c>
    </row>
    <row r="39" spans="1:5" ht="14.1" customHeight="1">
      <c r="A39" s="287" t="s">
        <v>138</v>
      </c>
      <c r="B39" s="420">
        <v>0</v>
      </c>
      <c r="C39" s="420">
        <v>802933</v>
      </c>
      <c r="D39" s="288">
        <f t="shared" si="0"/>
        <v>802933</v>
      </c>
      <c r="E39" s="294">
        <f>D39/'- 3 -'!$B39*100</f>
        <v>3.9492185501863126</v>
      </c>
    </row>
    <row r="40" spans="1:5" ht="14.1" customHeight="1">
      <c r="A40" s="18" t="s">
        <v>139</v>
      </c>
      <c r="B40" s="421">
        <v>94395</v>
      </c>
      <c r="C40" s="421">
        <v>2847411</v>
      </c>
      <c r="D40" s="19">
        <f t="shared" si="0"/>
        <v>2941806</v>
      </c>
      <c r="E40" s="69">
        <f>D40/'- 3 -'!$B40*100</f>
        <v>2.9949345821208411</v>
      </c>
    </row>
    <row r="41" spans="1:5" ht="14.1" customHeight="1">
      <c r="A41" s="287" t="s">
        <v>140</v>
      </c>
      <c r="B41" s="420">
        <v>0</v>
      </c>
      <c r="C41" s="420">
        <v>1557013</v>
      </c>
      <c r="D41" s="288">
        <f t="shared" si="0"/>
        <v>1557013</v>
      </c>
      <c r="E41" s="294">
        <f>D41/'- 3 -'!$B41*100</f>
        <v>2.5723035532731431</v>
      </c>
    </row>
    <row r="42" spans="1:5" ht="14.1" customHeight="1">
      <c r="A42" s="18" t="s">
        <v>141</v>
      </c>
      <c r="B42" s="421">
        <v>0</v>
      </c>
      <c r="C42" s="421">
        <v>636682</v>
      </c>
      <c r="D42" s="19">
        <f t="shared" si="0"/>
        <v>636682</v>
      </c>
      <c r="E42" s="69">
        <f>D42/'- 3 -'!$B42*100</f>
        <v>3.1992859767668089</v>
      </c>
    </row>
    <row r="43" spans="1:5" ht="14.1" customHeight="1">
      <c r="A43" s="287" t="s">
        <v>142</v>
      </c>
      <c r="B43" s="420">
        <v>204252</v>
      </c>
      <c r="C43" s="420">
        <v>458739</v>
      </c>
      <c r="D43" s="288">
        <f t="shared" si="0"/>
        <v>662991</v>
      </c>
      <c r="E43" s="294">
        <f>D43/'- 3 -'!$B43*100</f>
        <v>5.1656751110888441</v>
      </c>
    </row>
    <row r="44" spans="1:5" ht="14.1" customHeight="1">
      <c r="A44" s="18" t="s">
        <v>143</v>
      </c>
      <c r="B44" s="421">
        <v>0</v>
      </c>
      <c r="C44" s="421">
        <v>347108</v>
      </c>
      <c r="D44" s="19">
        <f t="shared" si="0"/>
        <v>347108</v>
      </c>
      <c r="E44" s="69">
        <f>D44/'- 3 -'!$B44*100</f>
        <v>3.2275194411489667</v>
      </c>
    </row>
    <row r="45" spans="1:5" ht="14.1" customHeight="1">
      <c r="A45" s="287" t="s">
        <v>144</v>
      </c>
      <c r="B45" s="420">
        <v>0</v>
      </c>
      <c r="C45" s="420">
        <v>579768</v>
      </c>
      <c r="D45" s="288">
        <f t="shared" si="0"/>
        <v>579768</v>
      </c>
      <c r="E45" s="294">
        <f>D45/'- 3 -'!$B45*100</f>
        <v>3.2739986675140305</v>
      </c>
    </row>
    <row r="46" spans="1:5" ht="14.1" customHeight="1">
      <c r="A46" s="18" t="s">
        <v>145</v>
      </c>
      <c r="B46" s="421">
        <v>5495703</v>
      </c>
      <c r="C46" s="421">
        <v>3902480</v>
      </c>
      <c r="D46" s="19">
        <f t="shared" si="0"/>
        <v>9398183</v>
      </c>
      <c r="E46" s="69">
        <f>D46/'- 3 -'!$B46*100</f>
        <v>2.5400213132773395</v>
      </c>
    </row>
    <row r="47" spans="1:5" ht="5.0999999999999996" customHeight="1">
      <c r="A47" s="20"/>
      <c r="B47" s="21"/>
      <c r="C47" s="21"/>
      <c r="D47" s="21"/>
      <c r="E47"/>
    </row>
    <row r="48" spans="1:5" ht="14.1" customHeight="1">
      <c r="A48" s="289" t="s">
        <v>146</v>
      </c>
      <c r="B48" s="424">
        <f>SUM(B11:B46)</f>
        <v>19726108</v>
      </c>
      <c r="C48" s="424">
        <f>SUM(C11:C46)</f>
        <v>57449672</v>
      </c>
      <c r="D48" s="290">
        <f>SUM(D11:D46)</f>
        <v>77175780</v>
      </c>
      <c r="E48" s="297">
        <f>D48/'- 3 -'!$B48*100</f>
        <v>3.5780574465640798</v>
      </c>
    </row>
    <row r="49" spans="1:5" ht="5.0999999999999996" customHeight="1">
      <c r="A49" s="20" t="s">
        <v>8</v>
      </c>
      <c r="B49" s="21"/>
      <c r="C49" s="21"/>
      <c r="D49" s="21"/>
      <c r="E49"/>
    </row>
    <row r="50" spans="1:5" ht="14.1" customHeight="1">
      <c r="A50" s="18" t="s">
        <v>147</v>
      </c>
      <c r="B50" s="421">
        <v>0</v>
      </c>
      <c r="C50" s="421">
        <v>293225</v>
      </c>
      <c r="D50" s="19">
        <f t="shared" ref="D50:D51" si="1">+B50+C50</f>
        <v>293225</v>
      </c>
      <c r="E50" s="69">
        <f>D50/'- 3 -'!$B50*100</f>
        <v>9.0272323947802899</v>
      </c>
    </row>
    <row r="51" spans="1:5" ht="14.1" customHeight="1">
      <c r="A51" s="287" t="s">
        <v>643</v>
      </c>
      <c r="B51" s="420">
        <v>2135758</v>
      </c>
      <c r="C51" s="420">
        <v>6875</v>
      </c>
      <c r="D51" s="288">
        <f t="shared" si="1"/>
        <v>2142633</v>
      </c>
      <c r="E51" s="294">
        <f>D51/'- 3 -'!$B51*100</f>
        <v>9.4326148966456493</v>
      </c>
    </row>
    <row r="52" spans="1:5" ht="50.1" customHeight="1">
      <c r="A52" s="22"/>
      <c r="B52" s="22"/>
      <c r="C52" s="22"/>
      <c r="D52" s="22"/>
      <c r="E52" s="22"/>
    </row>
    <row r="53" spans="1:5">
      <c r="A53" s="37" t="s">
        <v>388</v>
      </c>
      <c r="B53" s="183"/>
      <c r="C53" s="183"/>
      <c r="D53" s="183"/>
      <c r="E53" s="183"/>
    </row>
    <row r="54" spans="1:5">
      <c r="A54" s="608" t="s">
        <v>560</v>
      </c>
      <c r="B54" s="608"/>
      <c r="C54" s="608"/>
      <c r="D54" s="608"/>
      <c r="E54" s="608"/>
    </row>
    <row r="55" spans="1:5" ht="12" customHeight="1">
      <c r="A55" s="608"/>
      <c r="B55" s="608"/>
      <c r="C55" s="608"/>
      <c r="D55" s="608"/>
      <c r="E55" s="608"/>
    </row>
    <row r="56" spans="1:5" ht="12" customHeight="1">
      <c r="A56" s="608" t="s">
        <v>559</v>
      </c>
      <c r="B56" s="608"/>
      <c r="C56" s="608"/>
      <c r="D56" s="608"/>
      <c r="E56" s="608"/>
    </row>
    <row r="57" spans="1:5" ht="12" customHeight="1">
      <c r="A57" s="608"/>
      <c r="B57" s="608"/>
      <c r="C57" s="608"/>
      <c r="D57" s="608"/>
      <c r="E57" s="608"/>
    </row>
    <row r="58" spans="1:5" ht="15">
      <c r="A58" s="530"/>
    </row>
  </sheetData>
  <mergeCells count="4">
    <mergeCell ref="B7:D7"/>
    <mergeCell ref="E7:E8"/>
    <mergeCell ref="A56:E57"/>
    <mergeCell ref="A54:E55"/>
  </mergeCells>
  <phoneticPr fontId="6" type="noConversion"/>
  <pageMargins left="0.51181102362204722" right="0.51181102362204722" top="0.59055118110236227" bottom="0.19685039370078741" header="0.31496062992125984" footer="0.51181102362204722"/>
  <pageSetup scale="90" orientation="portrait" r:id="rId1"/>
  <headerFooter alignWithMargins="0">
    <oddHeader>&amp;C&amp;"Arial,Regular"&amp;11&amp;A</oddHeader>
  </headerFooter>
</worksheet>
</file>

<file path=xl/worksheets/sheet4.xml><?xml version="1.0" encoding="utf-8"?>
<worksheet xmlns="http://schemas.openxmlformats.org/spreadsheetml/2006/main" xmlns:r="http://schemas.openxmlformats.org/officeDocument/2006/relationships">
  <sheetPr codeName="Sheet3">
    <pageSetUpPr fitToPage="1"/>
  </sheetPr>
  <dimension ref="A1:J54"/>
  <sheetViews>
    <sheetView showGridLines="0" showZeros="0" workbookViewId="0"/>
  </sheetViews>
  <sheetFormatPr defaultColWidth="12.83203125" defaultRowHeight="12"/>
  <cols>
    <col min="1" max="1" width="29.83203125" style="1" customWidth="1"/>
    <col min="2" max="8" width="14.83203125" style="1" customWidth="1"/>
    <col min="9" max="16384" width="12.83203125" style="1"/>
  </cols>
  <sheetData>
    <row r="1" spans="1:8" ht="6.95" customHeight="1">
      <c r="A1" s="6"/>
      <c r="B1" s="88"/>
      <c r="C1" s="88"/>
      <c r="D1" s="88"/>
      <c r="E1" s="88"/>
      <c r="F1" s="88"/>
      <c r="G1" s="88"/>
      <c r="H1" s="88"/>
    </row>
    <row r="2" spans="1:8" ht="15.95" customHeight="1">
      <c r="A2" s="62"/>
      <c r="B2" s="89" t="s">
        <v>82</v>
      </c>
      <c r="C2" s="90"/>
      <c r="D2" s="90"/>
      <c r="E2" s="90"/>
      <c r="F2" s="90"/>
      <c r="G2" s="90"/>
      <c r="H2" s="91" t="s">
        <v>83</v>
      </c>
    </row>
    <row r="3" spans="1:8" ht="15.95" customHeight="1">
      <c r="A3" s="547"/>
      <c r="B3" s="92" t="str">
        <f>"ACTUAL SEPTEMBER 30, "&amp;FALLYR</f>
        <v>ACTUAL SEPTEMBER 30, 2014</v>
      </c>
      <c r="C3" s="93"/>
      <c r="D3" s="94"/>
      <c r="E3" s="93"/>
      <c r="F3" s="94"/>
      <c r="G3" s="93"/>
      <c r="H3" s="95"/>
    </row>
    <row r="4" spans="1:8" ht="15.95" customHeight="1">
      <c r="B4" s="88"/>
      <c r="C4" s="88"/>
      <c r="D4" s="88"/>
      <c r="E4" s="88"/>
      <c r="F4" s="88"/>
      <c r="G4" s="96"/>
      <c r="H4" s="88"/>
    </row>
    <row r="5" spans="1:8" ht="15.95" customHeight="1">
      <c r="B5" s="88"/>
      <c r="C5" s="88"/>
      <c r="D5" s="88"/>
      <c r="E5" s="88"/>
      <c r="F5" s="88"/>
      <c r="G5" s="88"/>
      <c r="H5" s="88"/>
    </row>
    <row r="6" spans="1:8" ht="15.95" customHeight="1">
      <c r="B6" s="291" t="s">
        <v>27</v>
      </c>
      <c r="C6" s="292"/>
      <c r="D6" s="292"/>
      <c r="E6" s="292"/>
      <c r="F6" s="292"/>
      <c r="G6" s="292"/>
      <c r="H6" s="293"/>
    </row>
    <row r="7" spans="1:8" ht="15.95" customHeight="1">
      <c r="B7" s="97" t="s">
        <v>239</v>
      </c>
      <c r="C7" s="98"/>
      <c r="D7" s="98"/>
      <c r="E7" s="99" t="s">
        <v>240</v>
      </c>
      <c r="F7" s="98"/>
      <c r="G7" s="98"/>
      <c r="H7" s="100"/>
    </row>
    <row r="8" spans="1:8" ht="15.95" customHeight="1">
      <c r="A8" s="101"/>
      <c r="B8" s="597" t="s">
        <v>21</v>
      </c>
      <c r="C8" s="102" t="s">
        <v>8</v>
      </c>
      <c r="D8" s="599" t="s">
        <v>23</v>
      </c>
      <c r="E8" s="601" t="s">
        <v>21</v>
      </c>
      <c r="F8" s="102" t="s">
        <v>8</v>
      </c>
      <c r="G8" s="603" t="s">
        <v>23</v>
      </c>
      <c r="H8" s="603" t="s">
        <v>477</v>
      </c>
    </row>
    <row r="9" spans="1:8" ht="15.95" customHeight="1">
      <c r="A9" s="103" t="s">
        <v>43</v>
      </c>
      <c r="B9" s="598"/>
      <c r="C9" s="104" t="s">
        <v>22</v>
      </c>
      <c r="D9" s="600"/>
      <c r="E9" s="602"/>
      <c r="F9" s="104" t="s">
        <v>22</v>
      </c>
      <c r="G9" s="604"/>
      <c r="H9" s="604"/>
    </row>
    <row r="10" spans="1:8" ht="5.0999999999999996" customHeight="1">
      <c r="A10" s="5"/>
      <c r="B10" s="84"/>
      <c r="C10" s="84"/>
      <c r="D10" s="84"/>
      <c r="E10" s="84"/>
      <c r="F10" s="84"/>
      <c r="G10" s="84"/>
      <c r="H10" s="84"/>
    </row>
    <row r="11" spans="1:8" ht="14.1" customHeight="1">
      <c r="A11" s="287" t="s">
        <v>111</v>
      </c>
      <c r="B11" s="294">
        <v>1599</v>
      </c>
      <c r="C11" s="294">
        <v>0</v>
      </c>
      <c r="D11" s="295">
        <v>0</v>
      </c>
      <c r="E11" s="296">
        <v>0</v>
      </c>
      <c r="F11" s="294">
        <v>0</v>
      </c>
      <c r="G11" s="294">
        <v>0</v>
      </c>
      <c r="H11" s="294">
        <v>0</v>
      </c>
    </row>
    <row r="12" spans="1:8" ht="14.1" customHeight="1">
      <c r="A12" s="18" t="s">
        <v>112</v>
      </c>
      <c r="B12" s="69">
        <v>1967.1</v>
      </c>
      <c r="C12" s="69">
        <v>0</v>
      </c>
      <c r="D12" s="105">
        <v>0</v>
      </c>
      <c r="E12" s="106">
        <v>0</v>
      </c>
      <c r="F12" s="69">
        <v>0</v>
      </c>
      <c r="G12" s="69">
        <v>0</v>
      </c>
      <c r="H12" s="69">
        <v>0</v>
      </c>
    </row>
    <row r="13" spans="1:8" ht="14.1" customHeight="1">
      <c r="A13" s="287" t="s">
        <v>113</v>
      </c>
      <c r="B13" s="294">
        <v>5881.5</v>
      </c>
      <c r="C13" s="294">
        <v>0</v>
      </c>
      <c r="D13" s="295">
        <v>318</v>
      </c>
      <c r="E13" s="296">
        <v>1074.5</v>
      </c>
      <c r="F13" s="294">
        <v>0</v>
      </c>
      <c r="G13" s="294">
        <v>389</v>
      </c>
      <c r="H13" s="294">
        <v>0</v>
      </c>
    </row>
    <row r="14" spans="1:8" ht="14.1" customHeight="1">
      <c r="A14" s="18" t="s">
        <v>365</v>
      </c>
      <c r="B14" s="69">
        <v>0</v>
      </c>
      <c r="C14" s="69">
        <v>5240</v>
      </c>
      <c r="D14" s="105">
        <v>0</v>
      </c>
      <c r="E14" s="106">
        <v>0</v>
      </c>
      <c r="F14" s="69">
        <v>0</v>
      </c>
      <c r="G14" s="69">
        <v>0</v>
      </c>
      <c r="H14" s="69">
        <v>0</v>
      </c>
    </row>
    <row r="15" spans="1:8" ht="14.1" customHeight="1">
      <c r="A15" s="287" t="s">
        <v>114</v>
      </c>
      <c r="B15" s="294">
        <v>1432.5</v>
      </c>
      <c r="C15" s="294">
        <v>0</v>
      </c>
      <c r="D15" s="295">
        <v>0</v>
      </c>
      <c r="E15" s="296">
        <v>0</v>
      </c>
      <c r="F15" s="294">
        <v>0</v>
      </c>
      <c r="G15" s="294">
        <v>0</v>
      </c>
      <c r="H15" s="294">
        <v>0</v>
      </c>
    </row>
    <row r="16" spans="1:8" ht="14.1" customHeight="1">
      <c r="A16" s="18" t="s">
        <v>115</v>
      </c>
      <c r="B16" s="69">
        <v>527.4</v>
      </c>
      <c r="C16" s="69">
        <v>0</v>
      </c>
      <c r="D16" s="105">
        <v>0</v>
      </c>
      <c r="E16" s="106">
        <v>275.5</v>
      </c>
      <c r="F16" s="69">
        <v>0</v>
      </c>
      <c r="G16" s="69">
        <v>100.5</v>
      </c>
      <c r="H16" s="69">
        <v>0</v>
      </c>
    </row>
    <row r="17" spans="1:8" ht="14.1" customHeight="1">
      <c r="A17" s="287" t="s">
        <v>116</v>
      </c>
      <c r="B17" s="294">
        <v>1308.3</v>
      </c>
      <c r="C17" s="294">
        <v>0</v>
      </c>
      <c r="D17" s="295">
        <v>0</v>
      </c>
      <c r="E17" s="296">
        <v>0</v>
      </c>
      <c r="F17" s="294">
        <v>0</v>
      </c>
      <c r="G17" s="294">
        <v>0</v>
      </c>
      <c r="H17" s="294">
        <v>0</v>
      </c>
    </row>
    <row r="18" spans="1:8" ht="14.1" customHeight="1">
      <c r="A18" s="18" t="s">
        <v>117</v>
      </c>
      <c r="B18" s="69">
        <v>6027.27</v>
      </c>
      <c r="C18" s="69">
        <v>0</v>
      </c>
      <c r="D18" s="105">
        <v>0</v>
      </c>
      <c r="E18" s="106">
        <v>0</v>
      </c>
      <c r="F18" s="69">
        <v>0</v>
      </c>
      <c r="G18" s="69">
        <v>0</v>
      </c>
      <c r="H18" s="69">
        <v>0</v>
      </c>
    </row>
    <row r="19" spans="1:8" ht="14.1" customHeight="1">
      <c r="A19" s="287" t="s">
        <v>118</v>
      </c>
      <c r="B19" s="294">
        <v>4075.4</v>
      </c>
      <c r="C19" s="294">
        <v>0</v>
      </c>
      <c r="D19" s="295">
        <v>0</v>
      </c>
      <c r="E19" s="296">
        <v>0</v>
      </c>
      <c r="F19" s="294">
        <v>0</v>
      </c>
      <c r="G19" s="294">
        <v>0</v>
      </c>
      <c r="H19" s="294">
        <v>0</v>
      </c>
    </row>
    <row r="20" spans="1:8" ht="14.1" customHeight="1">
      <c r="A20" s="18" t="s">
        <v>119</v>
      </c>
      <c r="B20" s="69">
        <v>6939.7</v>
      </c>
      <c r="C20" s="69">
        <v>0</v>
      </c>
      <c r="D20" s="105">
        <v>0</v>
      </c>
      <c r="E20" s="106">
        <v>0</v>
      </c>
      <c r="F20" s="69">
        <v>0</v>
      </c>
      <c r="G20" s="69">
        <v>0</v>
      </c>
      <c r="H20" s="69">
        <v>0</v>
      </c>
    </row>
    <row r="21" spans="1:8" ht="14.1" customHeight="1">
      <c r="A21" s="287" t="s">
        <v>120</v>
      </c>
      <c r="B21" s="294">
        <v>2033</v>
      </c>
      <c r="C21" s="294">
        <v>0</v>
      </c>
      <c r="D21" s="295">
        <v>0</v>
      </c>
      <c r="E21" s="296">
        <v>464.5</v>
      </c>
      <c r="F21" s="294">
        <v>0</v>
      </c>
      <c r="G21" s="294">
        <v>179.5</v>
      </c>
      <c r="H21" s="294">
        <v>0</v>
      </c>
    </row>
    <row r="22" spans="1:8" ht="14.1" customHeight="1">
      <c r="A22" s="18" t="s">
        <v>121</v>
      </c>
      <c r="B22" s="69">
        <v>891.9</v>
      </c>
      <c r="C22" s="69">
        <v>0</v>
      </c>
      <c r="D22" s="105">
        <v>0</v>
      </c>
      <c r="E22" s="106">
        <v>487.5</v>
      </c>
      <c r="F22" s="69">
        <v>0</v>
      </c>
      <c r="G22" s="69">
        <v>152.5</v>
      </c>
      <c r="H22" s="69">
        <v>0</v>
      </c>
    </row>
    <row r="23" spans="1:8" ht="14.1" customHeight="1">
      <c r="A23" s="287" t="s">
        <v>122</v>
      </c>
      <c r="B23" s="294">
        <v>1099</v>
      </c>
      <c r="C23" s="294">
        <v>0</v>
      </c>
      <c r="D23" s="295">
        <v>0</v>
      </c>
      <c r="E23" s="296">
        <v>0</v>
      </c>
      <c r="F23" s="294">
        <v>0</v>
      </c>
      <c r="G23" s="294">
        <v>0</v>
      </c>
      <c r="H23" s="294">
        <v>0</v>
      </c>
    </row>
    <row r="24" spans="1:8" ht="14.1" customHeight="1">
      <c r="A24" s="18" t="s">
        <v>123</v>
      </c>
      <c r="B24" s="69">
        <v>2861.1</v>
      </c>
      <c r="C24" s="69">
        <v>0</v>
      </c>
      <c r="D24" s="105">
        <v>249.5</v>
      </c>
      <c r="E24" s="106">
        <v>452.5</v>
      </c>
      <c r="F24" s="69">
        <v>0</v>
      </c>
      <c r="G24" s="69">
        <v>118</v>
      </c>
      <c r="H24" s="69">
        <v>66.5</v>
      </c>
    </row>
    <row r="25" spans="1:8" ht="14.1" customHeight="1">
      <c r="A25" s="287" t="s">
        <v>124</v>
      </c>
      <c r="B25" s="294">
        <v>9590.7999999999993</v>
      </c>
      <c r="C25" s="294">
        <v>0</v>
      </c>
      <c r="D25" s="295">
        <v>4211</v>
      </c>
      <c r="E25" s="296">
        <v>0</v>
      </c>
      <c r="F25" s="294">
        <v>0</v>
      </c>
      <c r="G25" s="294">
        <v>0</v>
      </c>
      <c r="H25" s="294">
        <v>0</v>
      </c>
    </row>
    <row r="26" spans="1:8" ht="14.1" customHeight="1">
      <c r="A26" s="18" t="s">
        <v>125</v>
      </c>
      <c r="B26" s="69">
        <v>2445.5</v>
      </c>
      <c r="C26" s="69">
        <v>0</v>
      </c>
      <c r="D26" s="105">
        <v>219.5</v>
      </c>
      <c r="E26" s="106">
        <v>212</v>
      </c>
      <c r="F26" s="69">
        <v>0</v>
      </c>
      <c r="G26" s="69">
        <v>35</v>
      </c>
      <c r="H26" s="69">
        <v>76.5</v>
      </c>
    </row>
    <row r="27" spans="1:8" ht="14.1" customHeight="1">
      <c r="A27" s="287" t="s">
        <v>126</v>
      </c>
      <c r="B27" s="294">
        <v>2415.5</v>
      </c>
      <c r="C27" s="294">
        <v>0</v>
      </c>
      <c r="D27" s="295">
        <v>0</v>
      </c>
      <c r="E27" s="296">
        <v>116</v>
      </c>
      <c r="F27" s="294">
        <v>0</v>
      </c>
      <c r="G27" s="294">
        <v>203</v>
      </c>
      <c r="H27" s="294">
        <v>0</v>
      </c>
    </row>
    <row r="28" spans="1:8" ht="14.1" customHeight="1">
      <c r="A28" s="18" t="s">
        <v>127</v>
      </c>
      <c r="B28" s="69">
        <v>2001</v>
      </c>
      <c r="C28" s="69">
        <v>0</v>
      </c>
      <c r="D28" s="105">
        <v>0</v>
      </c>
      <c r="E28" s="106">
        <v>0</v>
      </c>
      <c r="F28" s="69">
        <v>0</v>
      </c>
      <c r="G28" s="69">
        <v>0</v>
      </c>
      <c r="H28" s="69">
        <v>0</v>
      </c>
    </row>
    <row r="29" spans="1:8" ht="14.1" customHeight="1">
      <c r="A29" s="287" t="s">
        <v>128</v>
      </c>
      <c r="B29" s="294">
        <v>7708</v>
      </c>
      <c r="C29" s="294">
        <v>0</v>
      </c>
      <c r="D29" s="295">
        <v>1351</v>
      </c>
      <c r="E29" s="296">
        <v>2222.1999999999998</v>
      </c>
      <c r="F29" s="294">
        <v>0</v>
      </c>
      <c r="G29" s="294">
        <v>1156</v>
      </c>
      <c r="H29" s="294">
        <v>0</v>
      </c>
    </row>
    <row r="30" spans="1:8" ht="14.1" customHeight="1">
      <c r="A30" s="18" t="s">
        <v>129</v>
      </c>
      <c r="B30" s="69">
        <v>1016.9</v>
      </c>
      <c r="C30" s="69">
        <v>0</v>
      </c>
      <c r="D30" s="105">
        <v>0</v>
      </c>
      <c r="E30" s="106">
        <v>0</v>
      </c>
      <c r="F30" s="69">
        <v>0</v>
      </c>
      <c r="G30" s="69">
        <v>0</v>
      </c>
      <c r="H30" s="69">
        <v>0</v>
      </c>
    </row>
    <row r="31" spans="1:8" ht="14.1" customHeight="1">
      <c r="A31" s="287" t="s">
        <v>130</v>
      </c>
      <c r="B31" s="294">
        <v>2451</v>
      </c>
      <c r="C31" s="294">
        <v>0</v>
      </c>
      <c r="D31" s="295">
        <v>0</v>
      </c>
      <c r="E31" s="296">
        <v>454</v>
      </c>
      <c r="F31" s="294">
        <v>0</v>
      </c>
      <c r="G31" s="294">
        <v>267</v>
      </c>
      <c r="H31" s="294">
        <v>0</v>
      </c>
    </row>
    <row r="32" spans="1:8" ht="14.1" customHeight="1">
      <c r="A32" s="18" t="s">
        <v>131</v>
      </c>
      <c r="B32" s="69">
        <v>1768.9</v>
      </c>
      <c r="C32" s="69">
        <v>0</v>
      </c>
      <c r="D32" s="105">
        <v>108.5</v>
      </c>
      <c r="E32" s="106">
        <v>124</v>
      </c>
      <c r="F32" s="69">
        <v>0</v>
      </c>
      <c r="G32" s="69">
        <v>53</v>
      </c>
      <c r="H32" s="69">
        <v>0</v>
      </c>
    </row>
    <row r="33" spans="1:10" ht="14.1" customHeight="1">
      <c r="A33" s="287" t="s">
        <v>132</v>
      </c>
      <c r="B33" s="294">
        <v>1507.5</v>
      </c>
      <c r="C33" s="294">
        <v>0</v>
      </c>
      <c r="D33" s="295">
        <v>0</v>
      </c>
      <c r="E33" s="296">
        <v>262</v>
      </c>
      <c r="F33" s="294">
        <v>100.5</v>
      </c>
      <c r="G33" s="294">
        <v>76.5</v>
      </c>
      <c r="H33" s="294">
        <v>0</v>
      </c>
    </row>
    <row r="34" spans="1:10" ht="14.1" customHeight="1">
      <c r="A34" s="18" t="s">
        <v>133</v>
      </c>
      <c r="B34" s="69">
        <v>1584.24</v>
      </c>
      <c r="C34" s="69">
        <v>0</v>
      </c>
      <c r="D34" s="105">
        <v>203.17</v>
      </c>
      <c r="E34" s="106">
        <v>56</v>
      </c>
      <c r="F34" s="69">
        <v>124.5</v>
      </c>
      <c r="G34" s="69">
        <v>0</v>
      </c>
      <c r="H34" s="69">
        <v>0</v>
      </c>
    </row>
    <row r="35" spans="1:10" ht="14.1" customHeight="1">
      <c r="A35" s="287" t="s">
        <v>134</v>
      </c>
      <c r="B35" s="294">
        <v>9151</v>
      </c>
      <c r="C35" s="294">
        <v>0</v>
      </c>
      <c r="D35" s="295">
        <v>1128</v>
      </c>
      <c r="E35" s="296">
        <v>2486</v>
      </c>
      <c r="F35" s="294">
        <v>0</v>
      </c>
      <c r="G35" s="294">
        <v>1657.5</v>
      </c>
      <c r="H35" s="294">
        <v>364.5</v>
      </c>
    </row>
    <row r="36" spans="1:10" ht="14.1" customHeight="1">
      <c r="A36" s="18" t="s">
        <v>135</v>
      </c>
      <c r="B36" s="69">
        <v>1635.7</v>
      </c>
      <c r="C36" s="69">
        <v>0</v>
      </c>
      <c r="D36" s="105">
        <v>0</v>
      </c>
      <c r="E36" s="106">
        <v>0</v>
      </c>
      <c r="F36" s="69">
        <v>0</v>
      </c>
      <c r="G36" s="69">
        <v>0</v>
      </c>
      <c r="H36" s="69">
        <v>0</v>
      </c>
    </row>
    <row r="37" spans="1:10" ht="14.1" customHeight="1">
      <c r="A37" s="287" t="s">
        <v>136</v>
      </c>
      <c r="B37" s="294">
        <v>2026</v>
      </c>
      <c r="C37" s="294">
        <v>0</v>
      </c>
      <c r="D37" s="295">
        <v>717</v>
      </c>
      <c r="E37" s="296">
        <v>737.5</v>
      </c>
      <c r="F37" s="294">
        <v>0</v>
      </c>
      <c r="G37" s="294">
        <v>472.5</v>
      </c>
      <c r="H37" s="294">
        <v>0</v>
      </c>
    </row>
    <row r="38" spans="1:10" ht="14.1" customHeight="1">
      <c r="A38" s="18" t="s">
        <v>137</v>
      </c>
      <c r="B38" s="69">
        <v>5688.6</v>
      </c>
      <c r="C38" s="69">
        <v>0</v>
      </c>
      <c r="D38" s="105">
        <v>314</v>
      </c>
      <c r="E38" s="106">
        <v>3028.4</v>
      </c>
      <c r="F38" s="69">
        <v>0</v>
      </c>
      <c r="G38" s="69">
        <v>1213.5</v>
      </c>
      <c r="H38" s="69">
        <v>112</v>
      </c>
    </row>
    <row r="39" spans="1:10" ht="14.1" customHeight="1">
      <c r="A39" s="287" t="s">
        <v>138</v>
      </c>
      <c r="B39" s="294">
        <v>1510.5</v>
      </c>
      <c r="C39" s="294">
        <v>0</v>
      </c>
      <c r="D39" s="295">
        <v>0</v>
      </c>
      <c r="E39" s="296">
        <v>0</v>
      </c>
      <c r="F39" s="294">
        <v>0</v>
      </c>
      <c r="G39" s="294">
        <v>0</v>
      </c>
      <c r="H39" s="294">
        <v>0</v>
      </c>
    </row>
    <row r="40" spans="1:10" ht="14.1" customHeight="1">
      <c r="A40" s="18" t="s">
        <v>139</v>
      </c>
      <c r="B40" s="69">
        <v>5280.5</v>
      </c>
      <c r="C40" s="69">
        <v>0</v>
      </c>
      <c r="D40" s="105">
        <v>835.5</v>
      </c>
      <c r="E40" s="106">
        <v>944</v>
      </c>
      <c r="F40" s="69">
        <v>0</v>
      </c>
      <c r="G40" s="69">
        <v>556</v>
      </c>
      <c r="H40" s="69">
        <v>0</v>
      </c>
    </row>
    <row r="41" spans="1:10" ht="14.1" customHeight="1">
      <c r="A41" s="287" t="s">
        <v>140</v>
      </c>
      <c r="B41" s="294">
        <v>2072.5</v>
      </c>
      <c r="C41" s="294">
        <v>0</v>
      </c>
      <c r="D41" s="295">
        <v>0</v>
      </c>
      <c r="E41" s="296">
        <v>1557.5</v>
      </c>
      <c r="F41" s="294">
        <v>0</v>
      </c>
      <c r="G41" s="294">
        <v>673.5</v>
      </c>
      <c r="H41" s="294">
        <v>52</v>
      </c>
    </row>
    <row r="42" spans="1:10" ht="14.1" customHeight="1">
      <c r="A42" s="18" t="s">
        <v>141</v>
      </c>
      <c r="B42" s="69">
        <v>1019.7</v>
      </c>
      <c r="C42" s="69">
        <v>0</v>
      </c>
      <c r="D42" s="105">
        <v>0</v>
      </c>
      <c r="E42" s="106">
        <v>153</v>
      </c>
      <c r="F42" s="69">
        <v>0</v>
      </c>
      <c r="G42" s="69">
        <v>78</v>
      </c>
      <c r="H42" s="69">
        <v>0</v>
      </c>
    </row>
    <row r="43" spans="1:10" ht="14.1" customHeight="1">
      <c r="A43" s="287" t="s">
        <v>142</v>
      </c>
      <c r="B43" s="294">
        <v>935.1</v>
      </c>
      <c r="C43" s="294">
        <v>0</v>
      </c>
      <c r="D43" s="295">
        <v>0</v>
      </c>
      <c r="E43" s="296">
        <v>0</v>
      </c>
      <c r="F43" s="294">
        <v>0</v>
      </c>
      <c r="G43" s="294">
        <v>0</v>
      </c>
      <c r="H43" s="294">
        <v>0</v>
      </c>
    </row>
    <row r="44" spans="1:10" ht="14.1" customHeight="1">
      <c r="A44" s="18" t="s">
        <v>143</v>
      </c>
      <c r="B44" s="69">
        <v>659.5</v>
      </c>
      <c r="C44" s="69">
        <v>35.5</v>
      </c>
      <c r="D44" s="105">
        <v>0</v>
      </c>
      <c r="E44" s="106">
        <v>0</v>
      </c>
      <c r="F44" s="69">
        <v>0</v>
      </c>
      <c r="G44" s="69">
        <v>0</v>
      </c>
      <c r="H44" s="69">
        <v>0</v>
      </c>
    </row>
    <row r="45" spans="1:10" ht="14.1" customHeight="1">
      <c r="A45" s="287" t="s">
        <v>144</v>
      </c>
      <c r="B45" s="294">
        <v>696</v>
      </c>
      <c r="C45" s="294">
        <v>0</v>
      </c>
      <c r="D45" s="295">
        <v>0</v>
      </c>
      <c r="E45" s="296">
        <v>666.5</v>
      </c>
      <c r="F45" s="294">
        <v>0</v>
      </c>
      <c r="G45" s="294">
        <v>211.5</v>
      </c>
      <c r="H45" s="294">
        <v>0</v>
      </c>
    </row>
    <row r="46" spans="1:10" ht="14.1" customHeight="1">
      <c r="A46" s="18" t="s">
        <v>145</v>
      </c>
      <c r="B46" s="69">
        <v>21667.599999999999</v>
      </c>
      <c r="C46" s="69">
        <v>0</v>
      </c>
      <c r="D46" s="105">
        <v>1227</v>
      </c>
      <c r="E46" s="106">
        <v>3766</v>
      </c>
      <c r="F46" s="69">
        <v>0</v>
      </c>
      <c r="G46" s="69">
        <v>2316.5</v>
      </c>
      <c r="H46" s="69">
        <v>222.5</v>
      </c>
    </row>
    <row r="47" spans="1:10" ht="5.0999999999999996" customHeight="1">
      <c r="A47"/>
      <c r="B47"/>
      <c r="C47"/>
      <c r="D47"/>
      <c r="E47"/>
      <c r="F47"/>
      <c r="G47"/>
      <c r="H47"/>
      <c r="I47"/>
      <c r="J47"/>
    </row>
    <row r="48" spans="1:10" ht="14.1" customHeight="1">
      <c r="A48" s="289" t="s">
        <v>146</v>
      </c>
      <c r="B48" s="297">
        <f t="shared" ref="B48:H48" si="0">SUM(B11:B46)</f>
        <v>121475.21000000002</v>
      </c>
      <c r="C48" s="297">
        <f t="shared" si="0"/>
        <v>5275.5</v>
      </c>
      <c r="D48" s="298">
        <f t="shared" si="0"/>
        <v>10882.17</v>
      </c>
      <c r="E48" s="299">
        <f t="shared" si="0"/>
        <v>19539.599999999999</v>
      </c>
      <c r="F48" s="297">
        <f t="shared" si="0"/>
        <v>225</v>
      </c>
      <c r="G48" s="297">
        <f t="shared" si="0"/>
        <v>9909</v>
      </c>
      <c r="H48" s="297">
        <f t="shared" si="0"/>
        <v>894</v>
      </c>
    </row>
    <row r="49" spans="1:8" ht="5.0999999999999996" customHeight="1">
      <c r="A49" s="20" t="s">
        <v>8</v>
      </c>
      <c r="B49" s="70"/>
      <c r="C49" s="70"/>
      <c r="D49" s="70"/>
      <c r="E49" s="70"/>
      <c r="F49" s="70"/>
      <c r="G49" s="70"/>
      <c r="H49" s="70"/>
    </row>
    <row r="50" spans="1:8" ht="14.1" customHeight="1">
      <c r="A50" s="18" t="s">
        <v>147</v>
      </c>
      <c r="B50" s="69">
        <v>166.4</v>
      </c>
      <c r="C50" s="69">
        <v>0</v>
      </c>
      <c r="D50" s="105">
        <v>0</v>
      </c>
      <c r="E50" s="106">
        <v>0</v>
      </c>
      <c r="F50" s="69">
        <v>0</v>
      </c>
      <c r="G50" s="69">
        <v>0</v>
      </c>
      <c r="H50" s="69">
        <v>0</v>
      </c>
    </row>
    <row r="51" spans="1:8" ht="14.1" customHeight="1">
      <c r="A51" s="287" t="s">
        <v>643</v>
      </c>
      <c r="B51" s="294">
        <v>73</v>
      </c>
      <c r="C51" s="294">
        <v>0</v>
      </c>
      <c r="D51" s="295">
        <v>0</v>
      </c>
      <c r="E51" s="296">
        <v>0</v>
      </c>
      <c r="F51" s="294">
        <v>0</v>
      </c>
      <c r="G51" s="294">
        <v>0</v>
      </c>
      <c r="H51" s="294">
        <v>0</v>
      </c>
    </row>
    <row r="52" spans="1:8" ht="50.1" customHeight="1">
      <c r="A52" s="22"/>
      <c r="B52" s="107"/>
      <c r="C52" s="107"/>
      <c r="D52" s="107"/>
      <c r="E52" s="107"/>
      <c r="F52" s="107"/>
      <c r="G52" s="107"/>
      <c r="H52" s="107"/>
    </row>
    <row r="53" spans="1:8" ht="15" customHeight="1">
      <c r="A53" s="84" t="s">
        <v>342</v>
      </c>
      <c r="C53" s="84"/>
      <c r="D53" s="84"/>
      <c r="E53" s="84"/>
      <c r="F53" s="84"/>
      <c r="G53" s="84"/>
      <c r="H53" s="84"/>
    </row>
    <row r="54" spans="1:8" ht="12" customHeight="1">
      <c r="A54" s="84" t="s">
        <v>343</v>
      </c>
      <c r="C54" s="84"/>
      <c r="D54" s="84"/>
      <c r="E54" s="84"/>
      <c r="F54" s="84"/>
      <c r="G54" s="84"/>
      <c r="H54" s="84"/>
    </row>
  </sheetData>
  <mergeCells count="5">
    <mergeCell ref="B8:B9"/>
    <mergeCell ref="D8:D9"/>
    <mergeCell ref="E8:E9"/>
    <mergeCell ref="G8:G9"/>
    <mergeCell ref="H8:H9"/>
  </mergeCells>
  <phoneticPr fontId="6" type="noConversion"/>
  <pageMargins left="0.51181102362204722" right="0.51181102362204722" top="0.59055118110236227" bottom="0.19685039370078741" header="0.31496062992125984" footer="0.51181102362204722"/>
  <pageSetup scale="88" orientation="portrait" r:id="rId1"/>
  <headerFooter alignWithMargins="0">
    <oddHeader>&amp;C&amp;"Arial,Regular"&amp;11&amp;A</oddHeader>
  </headerFooter>
</worksheet>
</file>

<file path=xl/worksheets/sheet40.xml><?xml version="1.0" encoding="utf-8"?>
<worksheet xmlns="http://schemas.openxmlformats.org/spreadsheetml/2006/main" xmlns:r="http://schemas.openxmlformats.org/officeDocument/2006/relationships">
  <sheetPr codeName="Sheet40">
    <pageSetUpPr fitToPage="1"/>
  </sheetPr>
  <dimension ref="A1:F56"/>
  <sheetViews>
    <sheetView showGridLines="0" showZeros="0" workbookViewId="0"/>
  </sheetViews>
  <sheetFormatPr defaultColWidth="19.83203125" defaultRowHeight="12"/>
  <cols>
    <col min="1" max="1" width="34.83203125" style="1" customWidth="1"/>
    <col min="2" max="2" width="19.83203125" style="1" customWidth="1"/>
    <col min="3" max="4" width="19.33203125" style="1" customWidth="1"/>
    <col min="5" max="16384" width="19.83203125" style="1"/>
  </cols>
  <sheetData>
    <row r="1" spans="1:6" ht="6.95" customHeight="1">
      <c r="A1" s="6"/>
    </row>
    <row r="2" spans="1:6" ht="15.95" customHeight="1">
      <c r="A2" s="133"/>
      <c r="B2" s="724" t="str">
        <f>'- 46 -'!B2:C3</f>
        <v>CAPITAL FUND 2014/2015 ACTUAL</v>
      </c>
      <c r="C2" s="724"/>
      <c r="D2" s="724"/>
      <c r="E2" s="724"/>
      <c r="F2" s="230" t="s">
        <v>256</v>
      </c>
    </row>
    <row r="3" spans="1:6" ht="15.95" customHeight="1">
      <c r="A3" s="546"/>
      <c r="B3" s="725" t="s">
        <v>149</v>
      </c>
      <c r="C3" s="725"/>
      <c r="D3" s="725"/>
      <c r="E3" s="725"/>
      <c r="F3" s="225"/>
    </row>
    <row r="4" spans="1:6" ht="15.95" customHeight="1">
      <c r="B4" s="7"/>
      <c r="C4" s="7"/>
      <c r="D4" s="7"/>
      <c r="E4" s="7"/>
    </row>
    <row r="5" spans="1:6" ht="15.95" customHeight="1">
      <c r="B5" s="7"/>
      <c r="C5" s="7"/>
      <c r="D5" s="7"/>
      <c r="E5" s="7"/>
    </row>
    <row r="6" spans="1:6" ht="15.95" customHeight="1">
      <c r="B6" s="408" t="s">
        <v>1</v>
      </c>
      <c r="C6" s="172"/>
      <c r="D6" s="447"/>
      <c r="E6" s="173"/>
    </row>
    <row r="7" spans="1:6" ht="15.95" customHeight="1">
      <c r="B7" s="409"/>
      <c r="C7" s="409"/>
      <c r="D7" s="728" t="s">
        <v>562</v>
      </c>
      <c r="E7" s="409"/>
    </row>
    <row r="8" spans="1:6" ht="15.95" customHeight="1">
      <c r="A8" s="406"/>
      <c r="B8" s="410"/>
      <c r="C8" s="726" t="s">
        <v>561</v>
      </c>
      <c r="D8" s="726"/>
      <c r="E8" s="726" t="s">
        <v>564</v>
      </c>
    </row>
    <row r="9" spans="1:6" ht="15.95" customHeight="1">
      <c r="A9" s="407" t="s">
        <v>43</v>
      </c>
      <c r="B9" s="434" t="s">
        <v>276</v>
      </c>
      <c r="C9" s="727"/>
      <c r="D9" s="727"/>
      <c r="E9" s="727"/>
    </row>
    <row r="10" spans="1:6" ht="5.0999999999999996" customHeight="1">
      <c r="A10" s="5"/>
      <c r="B10" s="206"/>
      <c r="C10" s="206"/>
      <c r="D10" s="206"/>
      <c r="E10" s="206"/>
    </row>
    <row r="11" spans="1:6" ht="14.1" customHeight="1">
      <c r="A11" s="287" t="s">
        <v>111</v>
      </c>
      <c r="B11" s="288">
        <v>1146713</v>
      </c>
      <c r="C11" s="288">
        <v>948733</v>
      </c>
      <c r="D11" s="288">
        <v>0</v>
      </c>
      <c r="E11" s="288">
        <f t="shared" ref="E11:E46" si="0">SUM(B11:D11)</f>
        <v>2095446</v>
      </c>
    </row>
    <row r="12" spans="1:6" ht="14.1" customHeight="1">
      <c r="A12" s="18" t="s">
        <v>112</v>
      </c>
      <c r="B12" s="19">
        <v>1593660</v>
      </c>
      <c r="C12" s="19">
        <v>491688</v>
      </c>
      <c r="D12" s="19">
        <v>0</v>
      </c>
      <c r="E12" s="19">
        <f t="shared" si="0"/>
        <v>2085348</v>
      </c>
    </row>
    <row r="13" spans="1:6" ht="14.1" customHeight="1">
      <c r="A13" s="287" t="s">
        <v>113</v>
      </c>
      <c r="B13" s="288">
        <v>2057469</v>
      </c>
      <c r="C13" s="288">
        <v>1071169</v>
      </c>
      <c r="D13" s="288">
        <v>0</v>
      </c>
      <c r="E13" s="288">
        <f t="shared" si="0"/>
        <v>3128638</v>
      </c>
    </row>
    <row r="14" spans="1:6" ht="14.1" customHeight="1">
      <c r="A14" s="18" t="s">
        <v>365</v>
      </c>
      <c r="B14" s="19">
        <v>2379797</v>
      </c>
      <c r="C14" s="19">
        <v>1928639</v>
      </c>
      <c r="D14" s="19">
        <v>19627</v>
      </c>
      <c r="E14" s="19">
        <f t="shared" si="0"/>
        <v>4328063</v>
      </c>
    </row>
    <row r="15" spans="1:6" ht="14.1" customHeight="1">
      <c r="A15" s="287" t="s">
        <v>114</v>
      </c>
      <c r="B15" s="288">
        <v>1427451</v>
      </c>
      <c r="C15" s="288">
        <v>831614</v>
      </c>
      <c r="D15" s="288">
        <v>0</v>
      </c>
      <c r="E15" s="288">
        <f t="shared" si="0"/>
        <v>2259065</v>
      </c>
    </row>
    <row r="16" spans="1:6" ht="14.1" customHeight="1">
      <c r="A16" s="18" t="s">
        <v>115</v>
      </c>
      <c r="B16" s="19">
        <v>306610</v>
      </c>
      <c r="C16" s="19">
        <v>135100</v>
      </c>
      <c r="D16" s="19">
        <v>-2602</v>
      </c>
      <c r="E16" s="19">
        <f t="shared" si="0"/>
        <v>439108</v>
      </c>
    </row>
    <row r="17" spans="1:5" ht="14.1" customHeight="1">
      <c r="A17" s="287" t="s">
        <v>116</v>
      </c>
      <c r="B17" s="288">
        <v>1001155</v>
      </c>
      <c r="C17" s="288">
        <v>503634</v>
      </c>
      <c r="D17" s="288">
        <v>0</v>
      </c>
      <c r="E17" s="288">
        <f t="shared" si="0"/>
        <v>1504789</v>
      </c>
    </row>
    <row r="18" spans="1:5" ht="14.1" customHeight="1">
      <c r="A18" s="18" t="s">
        <v>117</v>
      </c>
      <c r="B18" s="19">
        <v>3230699</v>
      </c>
      <c r="C18" s="19">
        <v>2534847</v>
      </c>
      <c r="D18" s="19">
        <v>0</v>
      </c>
      <c r="E18" s="19">
        <f t="shared" si="0"/>
        <v>5765546</v>
      </c>
    </row>
    <row r="19" spans="1:5" ht="14.1" customHeight="1">
      <c r="A19" s="287" t="s">
        <v>118</v>
      </c>
      <c r="B19" s="288">
        <v>3765890</v>
      </c>
      <c r="C19" s="288">
        <v>3156112</v>
      </c>
      <c r="D19" s="288">
        <v>0</v>
      </c>
      <c r="E19" s="288">
        <f t="shared" si="0"/>
        <v>6922002</v>
      </c>
    </row>
    <row r="20" spans="1:5" ht="14.1" customHeight="1">
      <c r="A20" s="18" t="s">
        <v>119</v>
      </c>
      <c r="B20" s="19">
        <v>3931786</v>
      </c>
      <c r="C20" s="19">
        <v>4079947</v>
      </c>
      <c r="D20" s="19">
        <v>2885</v>
      </c>
      <c r="E20" s="19">
        <f t="shared" si="0"/>
        <v>8014618</v>
      </c>
    </row>
    <row r="21" spans="1:5" ht="14.1" customHeight="1">
      <c r="A21" s="287" t="s">
        <v>120</v>
      </c>
      <c r="B21" s="288">
        <v>1214281</v>
      </c>
      <c r="C21" s="288">
        <v>626229</v>
      </c>
      <c r="D21" s="288">
        <v>0</v>
      </c>
      <c r="E21" s="288">
        <f t="shared" si="0"/>
        <v>1840510</v>
      </c>
    </row>
    <row r="22" spans="1:5" ht="14.1" customHeight="1">
      <c r="A22" s="18" t="s">
        <v>121</v>
      </c>
      <c r="B22" s="19">
        <v>349137</v>
      </c>
      <c r="C22" s="19">
        <v>757486</v>
      </c>
      <c r="D22" s="19">
        <v>0</v>
      </c>
      <c r="E22" s="19">
        <f t="shared" si="0"/>
        <v>1106623</v>
      </c>
    </row>
    <row r="23" spans="1:5" ht="14.1" customHeight="1">
      <c r="A23" s="287" t="s">
        <v>122</v>
      </c>
      <c r="B23" s="288">
        <v>890348</v>
      </c>
      <c r="C23" s="288">
        <v>615142</v>
      </c>
      <c r="D23" s="288">
        <v>0</v>
      </c>
      <c r="E23" s="288">
        <f t="shared" si="0"/>
        <v>1505490</v>
      </c>
    </row>
    <row r="24" spans="1:5" ht="14.1" customHeight="1">
      <c r="A24" s="18" t="s">
        <v>123</v>
      </c>
      <c r="B24" s="19">
        <v>2446312</v>
      </c>
      <c r="C24" s="19">
        <v>1281607</v>
      </c>
      <c r="D24" s="19">
        <v>0</v>
      </c>
      <c r="E24" s="19">
        <f t="shared" si="0"/>
        <v>3727919</v>
      </c>
    </row>
    <row r="25" spans="1:5" ht="14.1" customHeight="1">
      <c r="A25" s="287" t="s">
        <v>124</v>
      </c>
      <c r="B25" s="288">
        <v>3814447</v>
      </c>
      <c r="C25" s="288">
        <v>1208774</v>
      </c>
      <c r="D25" s="288">
        <v>0</v>
      </c>
      <c r="E25" s="288">
        <f t="shared" si="0"/>
        <v>5023221</v>
      </c>
    </row>
    <row r="26" spans="1:5" ht="14.1" customHeight="1">
      <c r="A26" s="18" t="s">
        <v>125</v>
      </c>
      <c r="B26" s="19">
        <v>1613551</v>
      </c>
      <c r="C26" s="19">
        <v>829231</v>
      </c>
      <c r="D26" s="19">
        <v>0</v>
      </c>
      <c r="E26" s="19">
        <f t="shared" si="0"/>
        <v>2442782</v>
      </c>
    </row>
    <row r="27" spans="1:5" ht="14.1" customHeight="1">
      <c r="A27" s="287" t="s">
        <v>126</v>
      </c>
      <c r="B27" s="288">
        <v>850560</v>
      </c>
      <c r="C27" s="288">
        <v>295947</v>
      </c>
      <c r="D27" s="288">
        <v>0</v>
      </c>
      <c r="E27" s="288">
        <f t="shared" si="0"/>
        <v>1146507</v>
      </c>
    </row>
    <row r="28" spans="1:5" ht="14.1" customHeight="1">
      <c r="A28" s="18" t="s">
        <v>127</v>
      </c>
      <c r="B28" s="19">
        <v>875916</v>
      </c>
      <c r="C28" s="19">
        <v>430349</v>
      </c>
      <c r="D28" s="19">
        <v>0</v>
      </c>
      <c r="E28" s="19">
        <f t="shared" si="0"/>
        <v>1306265</v>
      </c>
    </row>
    <row r="29" spans="1:5" ht="14.1" customHeight="1">
      <c r="A29" s="287" t="s">
        <v>128</v>
      </c>
      <c r="B29" s="288">
        <v>3588869</v>
      </c>
      <c r="C29" s="288">
        <v>1753911</v>
      </c>
      <c r="D29" s="288">
        <v>1477696</v>
      </c>
      <c r="E29" s="288">
        <f t="shared" si="0"/>
        <v>6820476</v>
      </c>
    </row>
    <row r="30" spans="1:5" ht="14.1" customHeight="1">
      <c r="A30" s="18" t="s">
        <v>129</v>
      </c>
      <c r="B30" s="19">
        <v>560897</v>
      </c>
      <c r="C30" s="19">
        <v>170956</v>
      </c>
      <c r="D30" s="19">
        <v>0</v>
      </c>
      <c r="E30" s="19">
        <f t="shared" si="0"/>
        <v>731853</v>
      </c>
    </row>
    <row r="31" spans="1:5" ht="14.1" customHeight="1">
      <c r="A31" s="287" t="s">
        <v>130</v>
      </c>
      <c r="B31" s="288">
        <v>1341615</v>
      </c>
      <c r="C31" s="288">
        <v>492647</v>
      </c>
      <c r="D31" s="288">
        <v>0</v>
      </c>
      <c r="E31" s="288">
        <f t="shared" si="0"/>
        <v>1834262</v>
      </c>
    </row>
    <row r="32" spans="1:5" ht="14.1" customHeight="1">
      <c r="A32" s="18" t="s">
        <v>131</v>
      </c>
      <c r="B32" s="19">
        <v>995656</v>
      </c>
      <c r="C32" s="19">
        <v>348930</v>
      </c>
      <c r="D32" s="19">
        <v>0</v>
      </c>
      <c r="E32" s="19">
        <f t="shared" si="0"/>
        <v>1344586</v>
      </c>
    </row>
    <row r="33" spans="1:5" ht="14.1" customHeight="1">
      <c r="A33" s="287" t="s">
        <v>132</v>
      </c>
      <c r="B33" s="288">
        <v>1370728</v>
      </c>
      <c r="C33" s="288">
        <v>405614</v>
      </c>
      <c r="D33" s="288">
        <v>15059</v>
      </c>
      <c r="E33" s="288">
        <f t="shared" si="0"/>
        <v>1791401</v>
      </c>
    </row>
    <row r="34" spans="1:5" ht="14.1" customHeight="1">
      <c r="A34" s="18" t="s">
        <v>133</v>
      </c>
      <c r="B34" s="19">
        <v>1321150</v>
      </c>
      <c r="C34" s="19">
        <v>620059</v>
      </c>
      <c r="D34" s="19">
        <v>0</v>
      </c>
      <c r="E34" s="19">
        <f t="shared" si="0"/>
        <v>1941209</v>
      </c>
    </row>
    <row r="35" spans="1:5" ht="14.1" customHeight="1">
      <c r="A35" s="287" t="s">
        <v>134</v>
      </c>
      <c r="B35" s="288">
        <v>6100925</v>
      </c>
      <c r="C35" s="288">
        <v>2050194</v>
      </c>
      <c r="D35" s="288">
        <v>1229776</v>
      </c>
      <c r="E35" s="288">
        <f t="shared" si="0"/>
        <v>9380895</v>
      </c>
    </row>
    <row r="36" spans="1:5" ht="14.1" customHeight="1">
      <c r="A36" s="18" t="s">
        <v>135</v>
      </c>
      <c r="B36" s="19">
        <v>969573</v>
      </c>
      <c r="C36" s="19">
        <v>331695</v>
      </c>
      <c r="D36" s="19">
        <v>0</v>
      </c>
      <c r="E36" s="19">
        <f t="shared" si="0"/>
        <v>1301268</v>
      </c>
    </row>
    <row r="37" spans="1:5" ht="14.1" customHeight="1">
      <c r="A37" s="287" t="s">
        <v>136</v>
      </c>
      <c r="B37" s="288">
        <v>2020019</v>
      </c>
      <c r="C37" s="288">
        <v>1324013</v>
      </c>
      <c r="D37" s="288">
        <v>0</v>
      </c>
      <c r="E37" s="288">
        <f t="shared" si="0"/>
        <v>3344032</v>
      </c>
    </row>
    <row r="38" spans="1:5" ht="14.1" customHeight="1">
      <c r="A38" s="18" t="s">
        <v>137</v>
      </c>
      <c r="B38" s="19">
        <v>4721537</v>
      </c>
      <c r="C38" s="19">
        <v>3445380</v>
      </c>
      <c r="D38" s="19">
        <v>284680</v>
      </c>
      <c r="E38" s="19">
        <f t="shared" si="0"/>
        <v>8451597</v>
      </c>
    </row>
    <row r="39" spans="1:5" ht="14.1" customHeight="1">
      <c r="A39" s="287" t="s">
        <v>138</v>
      </c>
      <c r="B39" s="288">
        <v>1317030</v>
      </c>
      <c r="C39" s="288">
        <v>791015</v>
      </c>
      <c r="D39" s="288">
        <v>0</v>
      </c>
      <c r="E39" s="288">
        <f t="shared" si="0"/>
        <v>2108045</v>
      </c>
    </row>
    <row r="40" spans="1:5" ht="14.1" customHeight="1">
      <c r="A40" s="18" t="s">
        <v>139</v>
      </c>
      <c r="B40" s="19">
        <v>3131621</v>
      </c>
      <c r="C40" s="19">
        <v>907653</v>
      </c>
      <c r="D40" s="19">
        <v>0</v>
      </c>
      <c r="E40" s="19">
        <f t="shared" si="0"/>
        <v>4039274</v>
      </c>
    </row>
    <row r="41" spans="1:5" ht="14.1" customHeight="1">
      <c r="A41" s="287" t="s">
        <v>140</v>
      </c>
      <c r="B41" s="288">
        <v>2824211</v>
      </c>
      <c r="C41" s="288">
        <v>1074289</v>
      </c>
      <c r="D41" s="288">
        <v>3171</v>
      </c>
      <c r="E41" s="288">
        <f t="shared" si="0"/>
        <v>3901671</v>
      </c>
    </row>
    <row r="42" spans="1:5" ht="14.1" customHeight="1">
      <c r="A42" s="18" t="s">
        <v>141</v>
      </c>
      <c r="B42" s="19">
        <v>1087201</v>
      </c>
      <c r="C42" s="19">
        <v>557250</v>
      </c>
      <c r="D42" s="19">
        <v>42914</v>
      </c>
      <c r="E42" s="19">
        <f t="shared" si="0"/>
        <v>1687365</v>
      </c>
    </row>
    <row r="43" spans="1:5" ht="14.1" customHeight="1">
      <c r="A43" s="287" t="s">
        <v>142</v>
      </c>
      <c r="B43" s="288">
        <v>439218</v>
      </c>
      <c r="C43" s="288">
        <v>181089</v>
      </c>
      <c r="D43" s="288">
        <v>4627</v>
      </c>
      <c r="E43" s="288">
        <f t="shared" si="0"/>
        <v>624934</v>
      </c>
    </row>
    <row r="44" spans="1:5" ht="14.1" customHeight="1">
      <c r="A44" s="18" t="s">
        <v>143</v>
      </c>
      <c r="B44" s="19">
        <v>482377</v>
      </c>
      <c r="C44" s="19">
        <v>164771</v>
      </c>
      <c r="D44" s="19">
        <v>0</v>
      </c>
      <c r="E44" s="19">
        <f t="shared" si="0"/>
        <v>647148</v>
      </c>
    </row>
    <row r="45" spans="1:5" ht="14.1" customHeight="1">
      <c r="A45" s="287" t="s">
        <v>144</v>
      </c>
      <c r="B45" s="288">
        <v>777737</v>
      </c>
      <c r="C45" s="288">
        <v>382406</v>
      </c>
      <c r="D45" s="288">
        <v>0</v>
      </c>
      <c r="E45" s="288">
        <f t="shared" si="0"/>
        <v>1160143</v>
      </c>
    </row>
    <row r="46" spans="1:5" ht="14.1" customHeight="1">
      <c r="A46" s="18" t="s">
        <v>145</v>
      </c>
      <c r="B46" s="19">
        <v>8400261</v>
      </c>
      <c r="C46" s="19">
        <v>5016051</v>
      </c>
      <c r="D46" s="19">
        <v>33573</v>
      </c>
      <c r="E46" s="19">
        <f t="shared" si="0"/>
        <v>13449885</v>
      </c>
    </row>
    <row r="47" spans="1:5" ht="5.0999999999999996" customHeight="1">
      <c r="A47" s="20"/>
      <c r="B47" s="21"/>
      <c r="C47" s="21"/>
      <c r="D47" s="21"/>
      <c r="E47" s="21"/>
    </row>
    <row r="48" spans="1:5" ht="14.1" customHeight="1">
      <c r="A48" s="289" t="s">
        <v>146</v>
      </c>
      <c r="B48" s="290">
        <f>SUM(B11:B46)</f>
        <v>74346407</v>
      </c>
      <c r="C48" s="290">
        <f>SUM(C11:C46)</f>
        <v>41744171</v>
      </c>
      <c r="D48" s="290">
        <f>SUM(D11:D46)</f>
        <v>3111406</v>
      </c>
      <c r="E48" s="290">
        <f>SUM(E11:E46)</f>
        <v>119201984</v>
      </c>
    </row>
    <row r="49" spans="1:6" ht="5.0999999999999996" customHeight="1">
      <c r="A49" s="20" t="s">
        <v>8</v>
      </c>
      <c r="B49" s="21"/>
      <c r="C49" s="21"/>
      <c r="D49" s="21"/>
      <c r="E49" s="21"/>
    </row>
    <row r="50" spans="1:6" ht="14.1" customHeight="1">
      <c r="A50" s="18" t="s">
        <v>147</v>
      </c>
      <c r="B50" s="19">
        <v>88155</v>
      </c>
      <c r="C50" s="19">
        <v>1863</v>
      </c>
      <c r="D50" s="19">
        <v>0</v>
      </c>
      <c r="E50" s="19">
        <f>SUM(B50:D50)</f>
        <v>90018</v>
      </c>
    </row>
    <row r="51" spans="1:6" ht="14.1" customHeight="1">
      <c r="A51" s="287" t="s">
        <v>643</v>
      </c>
      <c r="B51" s="288">
        <v>812789</v>
      </c>
      <c r="C51" s="288">
        <v>209003</v>
      </c>
      <c r="D51" s="288">
        <v>0</v>
      </c>
      <c r="E51" s="288">
        <f>SUM(B51:D51)</f>
        <v>1021792</v>
      </c>
    </row>
    <row r="52" spans="1:6" ht="50.1" customHeight="1">
      <c r="A52" s="22"/>
      <c r="B52" s="22"/>
      <c r="C52" s="22"/>
      <c r="D52" s="22"/>
      <c r="E52" s="22"/>
      <c r="F52" s="22"/>
    </row>
    <row r="53" spans="1:6">
      <c r="A53" s="437" t="s">
        <v>356</v>
      </c>
      <c r="B53" s="183"/>
      <c r="C53" s="183"/>
      <c r="D53" s="183"/>
      <c r="E53" s="183"/>
    </row>
    <row r="54" spans="1:6">
      <c r="A54" s="445" t="s">
        <v>367</v>
      </c>
      <c r="B54" s="183"/>
      <c r="C54" s="183"/>
      <c r="D54" s="183"/>
      <c r="E54" s="183"/>
    </row>
    <row r="55" spans="1:6">
      <c r="A55" s="437" t="s">
        <v>395</v>
      </c>
    </row>
    <row r="56" spans="1:6">
      <c r="A56" s="437"/>
    </row>
  </sheetData>
  <mergeCells count="5">
    <mergeCell ref="B2:E2"/>
    <mergeCell ref="B3:E3"/>
    <mergeCell ref="C8:C9"/>
    <mergeCell ref="D7:D9"/>
    <mergeCell ref="E8:E9"/>
  </mergeCells>
  <phoneticPr fontId="6" type="noConversion"/>
  <hyperlinks>
    <hyperlink ref="A54" r:id="rId1" display="http://www.edu.gov.mb.ca/k12/finance/frame_manual/index.html"/>
  </hyperlinks>
  <pageMargins left="0.5" right="0.5" top="0.6" bottom="0.2" header="0.3" footer="0.5"/>
  <pageSetup scale="88" orientation="portrait" r:id="rId2"/>
  <headerFooter alignWithMargins="0">
    <oddHeader>&amp;C&amp;"Arial,Regular"&amp;11&amp;A</oddHeader>
  </headerFooter>
</worksheet>
</file>

<file path=xl/worksheets/sheet41.xml><?xml version="1.0" encoding="utf-8"?>
<worksheet xmlns="http://schemas.openxmlformats.org/spreadsheetml/2006/main" xmlns:r="http://schemas.openxmlformats.org/officeDocument/2006/relationships">
  <sheetPr codeName="Sheet39">
    <pageSetUpPr fitToPage="1"/>
  </sheetPr>
  <dimension ref="A1:F54"/>
  <sheetViews>
    <sheetView showGridLines="0" showZeros="0" workbookViewId="0"/>
  </sheetViews>
  <sheetFormatPr defaultColWidth="15.83203125" defaultRowHeight="12"/>
  <cols>
    <col min="1" max="1" width="34.83203125" style="1" customWidth="1"/>
    <col min="2" max="4" width="22.83203125" style="1" customWidth="1"/>
    <col min="5" max="5" width="4.83203125" style="1" customWidth="1"/>
    <col min="6" max="6" width="25.83203125" style="1" customWidth="1"/>
    <col min="7" max="16384" width="15.83203125" style="1"/>
  </cols>
  <sheetData>
    <row r="1" spans="1:6" ht="6.95" customHeight="1">
      <c r="A1" s="6"/>
      <c r="E1"/>
    </row>
    <row r="2" spans="1:6" ht="15.95" customHeight="1">
      <c r="A2" s="133"/>
      <c r="B2" s="730" t="str">
        <f>"CAPITAL FUND "&amp;FALLYR&amp;"/"&amp;SPRINGYR&amp;" ACTUAL"</f>
        <v>CAPITAL FUND 2014/2015 ACTUAL</v>
      </c>
      <c r="C2" s="730"/>
      <c r="D2" s="730"/>
      <c r="E2" s="730"/>
      <c r="F2" s="230" t="s">
        <v>258</v>
      </c>
    </row>
    <row r="3" spans="1:6" ht="15.95" customHeight="1">
      <c r="A3" s="546"/>
      <c r="B3" s="725" t="s">
        <v>0</v>
      </c>
      <c r="C3" s="731"/>
      <c r="D3" s="731"/>
      <c r="E3" s="731"/>
      <c r="F3" s="225"/>
    </row>
    <row r="4" spans="1:6" ht="15.95" customHeight="1">
      <c r="B4" s="7"/>
      <c r="C4" s="7"/>
      <c r="D4" s="7"/>
      <c r="E4"/>
    </row>
    <row r="5" spans="1:6" ht="15.95" customHeight="1">
      <c r="B5" s="7"/>
      <c r="C5" s="7"/>
      <c r="D5" s="7"/>
      <c r="E5" s="442"/>
    </row>
    <row r="6" spans="1:6" ht="15.95" customHeight="1">
      <c r="B6" s="412" t="s">
        <v>2</v>
      </c>
      <c r="C6" s="438"/>
      <c r="D6" s="439"/>
      <c r="E6" s="442"/>
      <c r="F6" s="441" t="s">
        <v>48</v>
      </c>
    </row>
    <row r="7" spans="1:6" ht="15.95" customHeight="1">
      <c r="B7" s="353"/>
      <c r="C7" s="353"/>
      <c r="D7" s="377"/>
      <c r="E7" s="442"/>
      <c r="F7" s="729" t="s">
        <v>568</v>
      </c>
    </row>
    <row r="8" spans="1:6" ht="15.95" customHeight="1">
      <c r="A8" s="66"/>
      <c r="B8" s="732" t="s">
        <v>565</v>
      </c>
      <c r="C8" s="720" t="s">
        <v>566</v>
      </c>
      <c r="D8" s="720" t="s">
        <v>567</v>
      </c>
      <c r="E8" s="442"/>
      <c r="F8" s="720"/>
    </row>
    <row r="9" spans="1:6" ht="15.95" customHeight="1">
      <c r="A9" s="34" t="s">
        <v>43</v>
      </c>
      <c r="B9" s="733"/>
      <c r="C9" s="623"/>
      <c r="D9" s="623"/>
      <c r="E9"/>
      <c r="F9" s="721"/>
    </row>
    <row r="10" spans="1:6" ht="5.0999999999999996" customHeight="1">
      <c r="A10" s="5"/>
      <c r="B10" s="206"/>
      <c r="C10" s="206"/>
      <c r="D10" s="206"/>
      <c r="E10"/>
      <c r="F10" s="206"/>
    </row>
    <row r="11" spans="1:6" ht="14.1" customHeight="1">
      <c r="A11" s="287" t="s">
        <v>111</v>
      </c>
      <c r="B11" s="288">
        <v>2308673</v>
      </c>
      <c r="C11" s="288">
        <v>28583</v>
      </c>
      <c r="D11" s="288">
        <f t="shared" ref="D11:D46" si="0">SUM(B11:C11)</f>
        <v>2337256</v>
      </c>
      <c r="E11"/>
      <c r="F11" s="288">
        <v>386143</v>
      </c>
    </row>
    <row r="12" spans="1:6" ht="14.1" customHeight="1">
      <c r="A12" s="18" t="s">
        <v>112</v>
      </c>
      <c r="B12" s="19">
        <v>1148921</v>
      </c>
      <c r="C12" s="19">
        <v>-79675</v>
      </c>
      <c r="D12" s="19">
        <f t="shared" si="0"/>
        <v>1069246</v>
      </c>
      <c r="E12"/>
      <c r="F12" s="19">
        <v>2874469</v>
      </c>
    </row>
    <row r="13" spans="1:6" ht="14.1" customHeight="1">
      <c r="A13" s="287" t="s">
        <v>113</v>
      </c>
      <c r="B13" s="288">
        <v>2232581</v>
      </c>
      <c r="C13" s="288">
        <v>56450</v>
      </c>
      <c r="D13" s="288">
        <f t="shared" si="0"/>
        <v>2289031</v>
      </c>
      <c r="E13"/>
      <c r="F13" s="288">
        <v>3694002</v>
      </c>
    </row>
    <row r="14" spans="1:6" ht="14.1" customHeight="1">
      <c r="A14" s="18" t="s">
        <v>365</v>
      </c>
      <c r="B14" s="19">
        <v>4199162</v>
      </c>
      <c r="C14" s="19">
        <v>2727156</v>
      </c>
      <c r="D14" s="19">
        <f t="shared" si="0"/>
        <v>6926318</v>
      </c>
      <c r="E14"/>
      <c r="F14" s="19">
        <v>1690914</v>
      </c>
    </row>
    <row r="15" spans="1:6" ht="14.1" customHeight="1">
      <c r="A15" s="287" t="s">
        <v>114</v>
      </c>
      <c r="B15" s="288">
        <v>1826701</v>
      </c>
      <c r="C15" s="288">
        <v>5099</v>
      </c>
      <c r="D15" s="288">
        <f t="shared" si="0"/>
        <v>1831800</v>
      </c>
      <c r="E15"/>
      <c r="F15" s="288">
        <v>1141021</v>
      </c>
    </row>
    <row r="16" spans="1:6" ht="14.1" customHeight="1">
      <c r="A16" s="18" t="s">
        <v>115</v>
      </c>
      <c r="B16" s="19">
        <v>266760</v>
      </c>
      <c r="C16" s="19">
        <v>0</v>
      </c>
      <c r="D16" s="19">
        <f t="shared" si="0"/>
        <v>266760</v>
      </c>
      <c r="E16"/>
      <c r="F16" s="19">
        <v>255140</v>
      </c>
    </row>
    <row r="17" spans="1:6" ht="14.1" customHeight="1">
      <c r="A17" s="287" t="s">
        <v>116</v>
      </c>
      <c r="B17" s="288">
        <v>1152843</v>
      </c>
      <c r="C17" s="288">
        <v>-57595</v>
      </c>
      <c r="D17" s="288">
        <f t="shared" si="0"/>
        <v>1095248</v>
      </c>
      <c r="E17"/>
      <c r="F17" s="288">
        <v>985021</v>
      </c>
    </row>
    <row r="18" spans="1:6" ht="14.1" customHeight="1">
      <c r="A18" s="18" t="s">
        <v>117</v>
      </c>
      <c r="B18" s="19">
        <v>5155823</v>
      </c>
      <c r="C18" s="19">
        <v>863205</v>
      </c>
      <c r="D18" s="19">
        <f t="shared" si="0"/>
        <v>6019028</v>
      </c>
      <c r="E18"/>
      <c r="F18" s="19">
        <v>2825915</v>
      </c>
    </row>
    <row r="19" spans="1:6" ht="14.1" customHeight="1">
      <c r="A19" s="287" t="s">
        <v>118</v>
      </c>
      <c r="B19" s="288">
        <v>6150706</v>
      </c>
      <c r="C19" s="288">
        <v>9819</v>
      </c>
      <c r="D19" s="288">
        <f t="shared" si="0"/>
        <v>6160525</v>
      </c>
      <c r="E19"/>
      <c r="F19" s="288">
        <v>2037572</v>
      </c>
    </row>
    <row r="20" spans="1:6" ht="14.1" customHeight="1">
      <c r="A20" s="18" t="s">
        <v>119</v>
      </c>
      <c r="B20" s="19">
        <v>8381932</v>
      </c>
      <c r="C20" s="19">
        <v>479291</v>
      </c>
      <c r="D20" s="19">
        <f t="shared" si="0"/>
        <v>8861223</v>
      </c>
      <c r="E20"/>
      <c r="F20" s="19">
        <v>2765237</v>
      </c>
    </row>
    <row r="21" spans="1:6" ht="14.1" customHeight="1">
      <c r="A21" s="287" t="s">
        <v>120</v>
      </c>
      <c r="B21" s="288">
        <v>1421786</v>
      </c>
      <c r="C21" s="288">
        <v>0</v>
      </c>
      <c r="D21" s="288">
        <f t="shared" si="0"/>
        <v>1421786</v>
      </c>
      <c r="E21"/>
      <c r="F21" s="288">
        <v>470152</v>
      </c>
    </row>
    <row r="22" spans="1:6" ht="14.1" customHeight="1">
      <c r="A22" s="18" t="s">
        <v>121</v>
      </c>
      <c r="B22" s="19">
        <v>1494210</v>
      </c>
      <c r="C22" s="19">
        <v>1763</v>
      </c>
      <c r="D22" s="19">
        <f t="shared" si="0"/>
        <v>1495973</v>
      </c>
      <c r="E22"/>
      <c r="F22" s="19">
        <v>246348</v>
      </c>
    </row>
    <row r="23" spans="1:6" ht="14.1" customHeight="1">
      <c r="A23" s="287" t="s">
        <v>122</v>
      </c>
      <c r="B23" s="288">
        <v>1358786</v>
      </c>
      <c r="C23" s="288">
        <v>59676</v>
      </c>
      <c r="D23" s="288">
        <f t="shared" si="0"/>
        <v>1418462</v>
      </c>
      <c r="E23"/>
      <c r="F23" s="288">
        <v>704850</v>
      </c>
    </row>
    <row r="24" spans="1:6" ht="14.1" customHeight="1">
      <c r="A24" s="18" t="s">
        <v>123</v>
      </c>
      <c r="B24" s="19">
        <v>2693806</v>
      </c>
      <c r="C24" s="19">
        <v>52635</v>
      </c>
      <c r="D24" s="19">
        <f t="shared" si="0"/>
        <v>2746441</v>
      </c>
      <c r="E24"/>
      <c r="F24" s="19">
        <v>2460501</v>
      </c>
    </row>
    <row r="25" spans="1:6" ht="14.1" customHeight="1">
      <c r="A25" s="287" t="s">
        <v>124</v>
      </c>
      <c r="B25" s="288">
        <v>3158120</v>
      </c>
      <c r="C25" s="288">
        <v>70174</v>
      </c>
      <c r="D25" s="288">
        <f t="shared" si="0"/>
        <v>3228294</v>
      </c>
      <c r="E25"/>
      <c r="F25" s="288">
        <v>3501961</v>
      </c>
    </row>
    <row r="26" spans="1:6" ht="14.1" customHeight="1">
      <c r="A26" s="18" t="s">
        <v>125</v>
      </c>
      <c r="B26" s="19">
        <v>1654438</v>
      </c>
      <c r="C26" s="19">
        <v>32217</v>
      </c>
      <c r="D26" s="19">
        <f t="shared" si="0"/>
        <v>1686655</v>
      </c>
      <c r="E26"/>
      <c r="F26" s="19">
        <v>1049924</v>
      </c>
    </row>
    <row r="27" spans="1:6" ht="14.1" customHeight="1">
      <c r="A27" s="287" t="s">
        <v>126</v>
      </c>
      <c r="B27" s="288">
        <v>855180</v>
      </c>
      <c r="C27" s="288">
        <v>53861</v>
      </c>
      <c r="D27" s="288">
        <f t="shared" si="0"/>
        <v>909041</v>
      </c>
      <c r="E27"/>
      <c r="F27" s="288">
        <v>1831890</v>
      </c>
    </row>
    <row r="28" spans="1:6" ht="14.1" customHeight="1">
      <c r="A28" s="18" t="s">
        <v>127</v>
      </c>
      <c r="B28" s="19">
        <v>1018729</v>
      </c>
      <c r="C28" s="19">
        <v>44898</v>
      </c>
      <c r="D28" s="19">
        <f t="shared" si="0"/>
        <v>1063627</v>
      </c>
      <c r="E28"/>
      <c r="F28" s="19">
        <v>43268</v>
      </c>
    </row>
    <row r="29" spans="1:6" ht="14.1" customHeight="1">
      <c r="A29" s="287" t="s">
        <v>128</v>
      </c>
      <c r="B29" s="288">
        <v>3970546</v>
      </c>
      <c r="C29" s="288">
        <v>162964</v>
      </c>
      <c r="D29" s="288">
        <f t="shared" si="0"/>
        <v>4133510</v>
      </c>
      <c r="E29"/>
      <c r="F29" s="288">
        <v>3621037</v>
      </c>
    </row>
    <row r="30" spans="1:6" ht="14.1" customHeight="1">
      <c r="A30" s="18" t="s">
        <v>129</v>
      </c>
      <c r="B30" s="19">
        <v>385382</v>
      </c>
      <c r="C30" s="19">
        <v>20555</v>
      </c>
      <c r="D30" s="19">
        <f t="shared" si="0"/>
        <v>405937</v>
      </c>
      <c r="E30"/>
      <c r="F30" s="19">
        <v>147471</v>
      </c>
    </row>
    <row r="31" spans="1:6" ht="14.1" customHeight="1">
      <c r="A31" s="287" t="s">
        <v>130</v>
      </c>
      <c r="B31" s="288">
        <v>825496</v>
      </c>
      <c r="C31" s="288">
        <v>223115</v>
      </c>
      <c r="D31" s="288">
        <f t="shared" si="0"/>
        <v>1048611</v>
      </c>
      <c r="E31"/>
      <c r="F31" s="288">
        <v>1084464</v>
      </c>
    </row>
    <row r="32" spans="1:6" ht="14.1" customHeight="1">
      <c r="A32" s="18" t="s">
        <v>131</v>
      </c>
      <c r="B32" s="19">
        <v>955506</v>
      </c>
      <c r="C32" s="19">
        <v>31507</v>
      </c>
      <c r="D32" s="19">
        <f t="shared" si="0"/>
        <v>987013</v>
      </c>
      <c r="E32"/>
      <c r="F32" s="19">
        <v>355057</v>
      </c>
    </row>
    <row r="33" spans="1:6" ht="14.1" customHeight="1">
      <c r="A33" s="287" t="s">
        <v>132</v>
      </c>
      <c r="B33" s="288">
        <v>1006371</v>
      </c>
      <c r="C33" s="288">
        <v>12667</v>
      </c>
      <c r="D33" s="288">
        <f t="shared" si="0"/>
        <v>1019038</v>
      </c>
      <c r="E33"/>
      <c r="F33" s="288">
        <v>1184295</v>
      </c>
    </row>
    <row r="34" spans="1:6" ht="14.1" customHeight="1">
      <c r="A34" s="18" t="s">
        <v>133</v>
      </c>
      <c r="B34" s="19">
        <v>1631797</v>
      </c>
      <c r="C34" s="19">
        <v>18638</v>
      </c>
      <c r="D34" s="19">
        <f t="shared" si="0"/>
        <v>1650435</v>
      </c>
      <c r="E34"/>
      <c r="F34" s="19">
        <v>561990</v>
      </c>
    </row>
    <row r="35" spans="1:6" ht="14.1" customHeight="1">
      <c r="A35" s="287" t="s">
        <v>134</v>
      </c>
      <c r="B35" s="288">
        <v>4745852</v>
      </c>
      <c r="C35" s="288">
        <v>142405</v>
      </c>
      <c r="D35" s="288">
        <f t="shared" si="0"/>
        <v>4888257</v>
      </c>
      <c r="E35"/>
      <c r="F35" s="288">
        <v>3031539</v>
      </c>
    </row>
    <row r="36" spans="1:6" ht="14.1" customHeight="1">
      <c r="A36" s="18" t="s">
        <v>135</v>
      </c>
      <c r="B36" s="19">
        <v>1004510</v>
      </c>
      <c r="C36" s="19">
        <v>0</v>
      </c>
      <c r="D36" s="19">
        <f t="shared" si="0"/>
        <v>1004510</v>
      </c>
      <c r="E36"/>
      <c r="F36" s="19">
        <v>1004879</v>
      </c>
    </row>
    <row r="37" spans="1:6" ht="14.1" customHeight="1">
      <c r="A37" s="287" t="s">
        <v>136</v>
      </c>
      <c r="B37" s="288">
        <v>3266982</v>
      </c>
      <c r="C37" s="288">
        <v>49377</v>
      </c>
      <c r="D37" s="288">
        <f t="shared" si="0"/>
        <v>3316359</v>
      </c>
      <c r="E37"/>
      <c r="F37" s="288">
        <v>993688</v>
      </c>
    </row>
    <row r="38" spans="1:6" ht="14.1" customHeight="1">
      <c r="A38" s="18" t="s">
        <v>137</v>
      </c>
      <c r="B38" s="19">
        <v>6129903</v>
      </c>
      <c r="C38" s="19">
        <v>13380</v>
      </c>
      <c r="D38" s="19">
        <f t="shared" si="0"/>
        <v>6143283</v>
      </c>
      <c r="E38"/>
      <c r="F38" s="19">
        <v>4775678</v>
      </c>
    </row>
    <row r="39" spans="1:6" ht="14.1" customHeight="1">
      <c r="A39" s="287" t="s">
        <v>138</v>
      </c>
      <c r="B39" s="288">
        <v>1828801</v>
      </c>
      <c r="C39" s="288">
        <v>83</v>
      </c>
      <c r="D39" s="288">
        <f t="shared" si="0"/>
        <v>1828884</v>
      </c>
      <c r="E39"/>
      <c r="F39" s="288">
        <v>1003200</v>
      </c>
    </row>
    <row r="40" spans="1:6" ht="14.1" customHeight="1">
      <c r="A40" s="18" t="s">
        <v>139</v>
      </c>
      <c r="B40" s="19">
        <v>1885078</v>
      </c>
      <c r="C40" s="19">
        <v>37993</v>
      </c>
      <c r="D40" s="19">
        <f t="shared" si="0"/>
        <v>1923071</v>
      </c>
      <c r="E40"/>
      <c r="F40" s="19">
        <v>5022472</v>
      </c>
    </row>
    <row r="41" spans="1:6" ht="14.1" customHeight="1">
      <c r="A41" s="287" t="s">
        <v>140</v>
      </c>
      <c r="B41" s="288">
        <v>2490518</v>
      </c>
      <c r="C41" s="288">
        <v>28873</v>
      </c>
      <c r="D41" s="288">
        <f t="shared" si="0"/>
        <v>2519391</v>
      </c>
      <c r="E41"/>
      <c r="F41" s="288">
        <v>1546414</v>
      </c>
    </row>
    <row r="42" spans="1:6" ht="14.1" customHeight="1">
      <c r="A42" s="18" t="s">
        <v>141</v>
      </c>
      <c r="B42" s="19">
        <v>1150678</v>
      </c>
      <c r="C42" s="19">
        <v>53878</v>
      </c>
      <c r="D42" s="19">
        <f t="shared" si="0"/>
        <v>1204556</v>
      </c>
      <c r="E42"/>
      <c r="F42" s="19">
        <v>1064617</v>
      </c>
    </row>
    <row r="43" spans="1:6" ht="14.1" customHeight="1">
      <c r="A43" s="287" t="s">
        <v>142</v>
      </c>
      <c r="B43" s="288">
        <v>497222</v>
      </c>
      <c r="C43" s="288">
        <v>10062</v>
      </c>
      <c r="D43" s="288">
        <f t="shared" si="0"/>
        <v>507284</v>
      </c>
      <c r="E43"/>
      <c r="F43" s="288">
        <v>224761</v>
      </c>
    </row>
    <row r="44" spans="1:6" ht="14.1" customHeight="1">
      <c r="A44" s="18" t="s">
        <v>143</v>
      </c>
      <c r="B44" s="19">
        <v>366591</v>
      </c>
      <c r="C44" s="19">
        <v>4168</v>
      </c>
      <c r="D44" s="19">
        <f t="shared" si="0"/>
        <v>370759</v>
      </c>
      <c r="E44"/>
      <c r="F44" s="19">
        <v>422775</v>
      </c>
    </row>
    <row r="45" spans="1:6" ht="14.1" customHeight="1">
      <c r="A45" s="287" t="s">
        <v>144</v>
      </c>
      <c r="B45" s="288">
        <v>914576</v>
      </c>
      <c r="C45" s="288">
        <v>8707</v>
      </c>
      <c r="D45" s="288">
        <f t="shared" si="0"/>
        <v>923283</v>
      </c>
      <c r="E45"/>
      <c r="F45" s="288">
        <v>705867</v>
      </c>
    </row>
    <row r="46" spans="1:6" ht="14.1" customHeight="1">
      <c r="A46" s="18" t="s">
        <v>145</v>
      </c>
      <c r="B46" s="19">
        <v>11502007</v>
      </c>
      <c r="C46" s="19">
        <v>328826</v>
      </c>
      <c r="D46" s="19">
        <f t="shared" si="0"/>
        <v>11830833</v>
      </c>
      <c r="E46"/>
      <c r="F46" s="19">
        <v>11856692</v>
      </c>
    </row>
    <row r="47" spans="1:6" ht="5.0999999999999996" customHeight="1">
      <c r="A47" s="20"/>
      <c r="B47" s="21"/>
      <c r="C47" s="21"/>
      <c r="D47" s="21"/>
      <c r="E47"/>
      <c r="F47" s="21"/>
    </row>
    <row r="48" spans="1:6" ht="14.1" customHeight="1">
      <c r="A48" s="289" t="s">
        <v>146</v>
      </c>
      <c r="B48" s="290">
        <f>SUM(B11:B46)</f>
        <v>91036973</v>
      </c>
      <c r="C48" s="290">
        <f>SUM(C11:C46)</f>
        <v>5494755</v>
      </c>
      <c r="D48" s="290">
        <f>SUM(D11:D46)</f>
        <v>96531728</v>
      </c>
      <c r="E48"/>
      <c r="F48" s="290">
        <f>SUM(F11:F46)</f>
        <v>67571224</v>
      </c>
    </row>
    <row r="49" spans="1:6" ht="5.0999999999999996" customHeight="1">
      <c r="A49" s="20" t="s">
        <v>8</v>
      </c>
      <c r="B49" s="21"/>
      <c r="C49" s="21"/>
      <c r="D49" s="21"/>
      <c r="E49"/>
      <c r="F49" s="21"/>
    </row>
    <row r="50" spans="1:6" ht="14.1" customHeight="1">
      <c r="A50" s="18" t="s">
        <v>147</v>
      </c>
      <c r="B50" s="19">
        <v>0</v>
      </c>
      <c r="C50" s="19">
        <v>0</v>
      </c>
      <c r="D50" s="19">
        <f>SUM(B50:C50)</f>
        <v>0</v>
      </c>
      <c r="E50"/>
      <c r="F50" s="19">
        <v>198436</v>
      </c>
    </row>
    <row r="51" spans="1:6" ht="14.1" customHeight="1">
      <c r="A51" s="287" t="s">
        <v>643</v>
      </c>
      <c r="B51" s="288">
        <v>121188</v>
      </c>
      <c r="C51" s="288">
        <v>133</v>
      </c>
      <c r="D51" s="288">
        <f>SUM(B51:C51)</f>
        <v>121321</v>
      </c>
      <c r="E51"/>
      <c r="F51" s="288">
        <v>2462085</v>
      </c>
    </row>
    <row r="52" spans="1:6" ht="50.1" customHeight="1">
      <c r="A52" s="22"/>
      <c r="B52" s="22"/>
      <c r="C52" s="22"/>
      <c r="D52" s="22"/>
      <c r="E52" s="22"/>
      <c r="F52" s="22"/>
    </row>
    <row r="53" spans="1:6" ht="13.5" customHeight="1">
      <c r="A53" s="417" t="s">
        <v>357</v>
      </c>
      <c r="B53" s="183"/>
      <c r="C53" s="183"/>
      <c r="D53" s="183"/>
      <c r="E53" s="183"/>
    </row>
    <row r="54" spans="1:6">
      <c r="A54" s="417" t="s">
        <v>358</v>
      </c>
    </row>
  </sheetData>
  <mergeCells count="6">
    <mergeCell ref="F7:F9"/>
    <mergeCell ref="B2:E2"/>
    <mergeCell ref="B3:E3"/>
    <mergeCell ref="B8:B9"/>
    <mergeCell ref="C8:C9"/>
    <mergeCell ref="D8:D9"/>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42.xml><?xml version="1.0" encoding="utf-8"?>
<worksheet xmlns="http://schemas.openxmlformats.org/spreadsheetml/2006/main" xmlns:r="http://schemas.openxmlformats.org/officeDocument/2006/relationships">
  <sheetPr codeName="Sheet41">
    <pageSetUpPr fitToPage="1"/>
  </sheetPr>
  <dimension ref="A1:E55"/>
  <sheetViews>
    <sheetView showGridLines="0" showZeros="0" workbookViewId="0"/>
  </sheetViews>
  <sheetFormatPr defaultColWidth="19.83203125" defaultRowHeight="12"/>
  <cols>
    <col min="1" max="1" width="32.83203125" style="1" customWidth="1"/>
    <col min="2" max="4" width="18.83203125" style="1" customWidth="1"/>
    <col min="5" max="5" width="44.83203125" style="1" customWidth="1"/>
    <col min="6" max="16384" width="19.83203125" style="1"/>
  </cols>
  <sheetData>
    <row r="1" spans="1:5" ht="6.95" customHeight="1">
      <c r="A1" s="6"/>
      <c r="B1" s="6"/>
    </row>
    <row r="2" spans="1:5" ht="15.95" customHeight="1">
      <c r="A2" s="133"/>
      <c r="B2" s="730" t="str">
        <f>"CAPITAL FUND "&amp;FALLYR&amp;"/"&amp;SPRINGYR&amp;" ACTUAL"</f>
        <v>CAPITAL FUND 2014/2015 ACTUAL</v>
      </c>
      <c r="C2" s="730"/>
      <c r="D2" s="730"/>
      <c r="E2" s="230" t="s">
        <v>257</v>
      </c>
    </row>
    <row r="3" spans="1:5" ht="15.95" customHeight="1">
      <c r="A3" s="546"/>
      <c r="B3" s="725" t="s">
        <v>275</v>
      </c>
      <c r="C3" s="725"/>
      <c r="D3" s="725"/>
      <c r="E3" s="225"/>
    </row>
    <row r="4" spans="1:5" ht="15.95" customHeight="1">
      <c r="C4" s="7"/>
      <c r="D4" s="7"/>
    </row>
    <row r="5" spans="1:5" ht="15.95" customHeight="1">
      <c r="B5" s="443"/>
      <c r="C5" s="444"/>
      <c r="D5" s="444"/>
    </row>
    <row r="6" spans="1:5" ht="15.95" customHeight="1">
      <c r="B6" s="738" t="s">
        <v>570</v>
      </c>
      <c r="C6" s="734" t="s">
        <v>271</v>
      </c>
      <c r="D6" s="735"/>
    </row>
    <row r="7" spans="1:5" ht="15.95" customHeight="1">
      <c r="B7" s="739"/>
      <c r="C7" s="743" t="s">
        <v>572</v>
      </c>
      <c r="D7" s="411"/>
    </row>
    <row r="8" spans="1:5" ht="15.95" customHeight="1">
      <c r="A8" s="406"/>
      <c r="B8" s="739"/>
      <c r="C8" s="743"/>
      <c r="D8" s="741" t="s">
        <v>571</v>
      </c>
    </row>
    <row r="9" spans="1:5" ht="15.95" customHeight="1">
      <c r="A9" s="407" t="s">
        <v>43</v>
      </c>
      <c r="B9" s="740"/>
      <c r="C9" s="744"/>
      <c r="D9" s="742"/>
    </row>
    <row r="10" spans="1:5" ht="5.0999999999999996" customHeight="1">
      <c r="A10" s="5"/>
      <c r="B10" s="206"/>
      <c r="C10" s="206"/>
    </row>
    <row r="11" spans="1:5" ht="14.1" customHeight="1">
      <c r="A11" s="287" t="s">
        <v>111</v>
      </c>
      <c r="B11" s="422">
        <v>4034686</v>
      </c>
      <c r="C11" s="420">
        <v>3269728</v>
      </c>
      <c r="D11" s="288">
        <v>764958</v>
      </c>
    </row>
    <row r="12" spans="1:5" ht="14.1" customHeight="1">
      <c r="A12" s="18" t="s">
        <v>112</v>
      </c>
      <c r="B12" s="423">
        <v>10665608</v>
      </c>
      <c r="C12" s="421">
        <v>5666805</v>
      </c>
      <c r="D12" s="19">
        <v>4998803</v>
      </c>
    </row>
    <row r="13" spans="1:5" ht="14.1" customHeight="1">
      <c r="A13" s="287" t="s">
        <v>113</v>
      </c>
      <c r="B13" s="422">
        <v>12711074</v>
      </c>
      <c r="C13" s="420">
        <v>8857035</v>
      </c>
      <c r="D13" s="288">
        <v>3854039</v>
      </c>
    </row>
    <row r="14" spans="1:5" ht="14.1" customHeight="1">
      <c r="A14" s="18" t="s">
        <v>365</v>
      </c>
      <c r="B14" s="423">
        <v>30118150</v>
      </c>
      <c r="C14" s="421">
        <v>29053150</v>
      </c>
      <c r="D14" s="19">
        <v>1065000</v>
      </c>
    </row>
    <row r="15" spans="1:5" ht="14.1" customHeight="1">
      <c r="A15" s="287" t="s">
        <v>114</v>
      </c>
      <c r="B15" s="422">
        <v>6549838</v>
      </c>
      <c r="C15" s="420">
        <v>4756048</v>
      </c>
      <c r="D15" s="288">
        <v>1793790</v>
      </c>
    </row>
    <row r="16" spans="1:5" ht="14.1" customHeight="1">
      <c r="A16" s="18" t="s">
        <v>115</v>
      </c>
      <c r="B16" s="423">
        <v>1668893</v>
      </c>
      <c r="C16" s="421">
        <v>1504780</v>
      </c>
      <c r="D16" s="19">
        <v>164113</v>
      </c>
    </row>
    <row r="17" spans="1:4" ht="14.1" customHeight="1">
      <c r="A17" s="287" t="s">
        <v>116</v>
      </c>
      <c r="B17" s="422">
        <v>4983297</v>
      </c>
      <c r="C17" s="420">
        <v>4128734</v>
      </c>
      <c r="D17" s="288">
        <v>854563</v>
      </c>
    </row>
    <row r="18" spans="1:4" ht="14.1" customHeight="1">
      <c r="A18" s="18" t="s">
        <v>117</v>
      </c>
      <c r="B18" s="423">
        <v>22134703</v>
      </c>
      <c r="C18" s="421">
        <v>20891844</v>
      </c>
      <c r="D18" s="19">
        <v>1242859</v>
      </c>
    </row>
    <row r="19" spans="1:4" ht="14.1" customHeight="1">
      <c r="A19" s="287" t="s">
        <v>118</v>
      </c>
      <c r="B19" s="422">
        <v>18507769</v>
      </c>
      <c r="C19" s="420">
        <v>18294862</v>
      </c>
      <c r="D19" s="288">
        <v>212907</v>
      </c>
    </row>
    <row r="20" spans="1:4" ht="14.1" customHeight="1">
      <c r="A20" s="18" t="s">
        <v>119</v>
      </c>
      <c r="B20" s="423">
        <v>17941881</v>
      </c>
      <c r="C20" s="421">
        <v>17941881</v>
      </c>
      <c r="D20" s="36">
        <v>0</v>
      </c>
    </row>
    <row r="21" spans="1:4" ht="14.1" customHeight="1">
      <c r="A21" s="287" t="s">
        <v>120</v>
      </c>
      <c r="B21" s="422">
        <v>2978903</v>
      </c>
      <c r="C21" s="420">
        <v>2978903</v>
      </c>
      <c r="D21" s="288">
        <v>0</v>
      </c>
    </row>
    <row r="22" spans="1:4" ht="14.1" customHeight="1">
      <c r="A22" s="18" t="s">
        <v>121</v>
      </c>
      <c r="B22" s="423">
        <v>1664260</v>
      </c>
      <c r="C22" s="421">
        <v>1664260</v>
      </c>
      <c r="D22" s="19">
        <v>0</v>
      </c>
    </row>
    <row r="23" spans="1:4" ht="14.1" customHeight="1">
      <c r="A23" s="287" t="s">
        <v>122</v>
      </c>
      <c r="B23" s="422">
        <v>3722977</v>
      </c>
      <c r="C23" s="420">
        <v>2532295</v>
      </c>
      <c r="D23" s="288">
        <v>1190682</v>
      </c>
    </row>
    <row r="24" spans="1:4" ht="14.1" customHeight="1">
      <c r="A24" s="18" t="s">
        <v>123</v>
      </c>
      <c r="B24" s="423">
        <v>8606959</v>
      </c>
      <c r="C24" s="421">
        <v>8216333</v>
      </c>
      <c r="D24" s="19">
        <v>390626</v>
      </c>
    </row>
    <row r="25" spans="1:4" ht="14.1" customHeight="1">
      <c r="A25" s="287" t="s">
        <v>124</v>
      </c>
      <c r="B25" s="422">
        <v>22140857</v>
      </c>
      <c r="C25" s="420">
        <v>17154776</v>
      </c>
      <c r="D25" s="288">
        <v>4986081</v>
      </c>
    </row>
    <row r="26" spans="1:4" ht="14.1" customHeight="1">
      <c r="A26" s="18" t="s">
        <v>125</v>
      </c>
      <c r="B26" s="423">
        <v>3186591</v>
      </c>
      <c r="C26" s="421">
        <v>2897751</v>
      </c>
      <c r="D26" s="19">
        <v>288840</v>
      </c>
    </row>
    <row r="27" spans="1:4" ht="14.1" customHeight="1">
      <c r="A27" s="287" t="s">
        <v>126</v>
      </c>
      <c r="B27" s="422">
        <v>7528316</v>
      </c>
      <c r="C27" s="420">
        <v>6481143</v>
      </c>
      <c r="D27" s="288">
        <v>1047173</v>
      </c>
    </row>
    <row r="28" spans="1:4" ht="14.1" customHeight="1">
      <c r="A28" s="18" t="s">
        <v>127</v>
      </c>
      <c r="B28" s="423">
        <v>1873870</v>
      </c>
      <c r="C28" s="421">
        <v>1755074</v>
      </c>
      <c r="D28" s="19">
        <v>118796</v>
      </c>
    </row>
    <row r="29" spans="1:4" ht="14.1" customHeight="1">
      <c r="A29" s="287" t="s">
        <v>128</v>
      </c>
      <c r="B29" s="422">
        <v>22623436</v>
      </c>
      <c r="C29" s="420">
        <v>17404511</v>
      </c>
      <c r="D29" s="288">
        <v>5218925</v>
      </c>
    </row>
    <row r="30" spans="1:4" ht="14.1" customHeight="1">
      <c r="A30" s="18" t="s">
        <v>129</v>
      </c>
      <c r="B30" s="423">
        <v>1701373</v>
      </c>
      <c r="C30" s="421">
        <v>1281149</v>
      </c>
      <c r="D30" s="19">
        <v>420224</v>
      </c>
    </row>
    <row r="31" spans="1:4" ht="14.1" customHeight="1">
      <c r="A31" s="287" t="s">
        <v>130</v>
      </c>
      <c r="B31" s="422">
        <v>4157678</v>
      </c>
      <c r="C31" s="420">
        <v>3657678</v>
      </c>
      <c r="D31" s="288">
        <v>500000</v>
      </c>
    </row>
    <row r="32" spans="1:4" ht="14.1" customHeight="1">
      <c r="A32" s="18" t="s">
        <v>131</v>
      </c>
      <c r="B32" s="423">
        <v>4555519</v>
      </c>
      <c r="C32" s="421">
        <v>4333750</v>
      </c>
      <c r="D32" s="19">
        <v>221769</v>
      </c>
    </row>
    <row r="33" spans="1:4" ht="14.1" customHeight="1">
      <c r="A33" s="287" t="s">
        <v>132</v>
      </c>
      <c r="B33" s="422">
        <v>6218591</v>
      </c>
      <c r="C33" s="420">
        <v>5657751</v>
      </c>
      <c r="D33" s="288">
        <v>560840</v>
      </c>
    </row>
    <row r="34" spans="1:4" ht="14.1" customHeight="1">
      <c r="A34" s="18" t="s">
        <v>133</v>
      </c>
      <c r="B34" s="423">
        <v>6047379</v>
      </c>
      <c r="C34" s="421">
        <v>5830229</v>
      </c>
      <c r="D34" s="19">
        <v>217150</v>
      </c>
    </row>
    <row r="35" spans="1:4" ht="14.1" customHeight="1">
      <c r="A35" s="287" t="s">
        <v>134</v>
      </c>
      <c r="B35" s="422">
        <v>27606015</v>
      </c>
      <c r="C35" s="420">
        <v>22753340</v>
      </c>
      <c r="D35" s="288">
        <v>4852675</v>
      </c>
    </row>
    <row r="36" spans="1:4" ht="14.1" customHeight="1">
      <c r="A36" s="18" t="s">
        <v>135</v>
      </c>
      <c r="B36" s="423">
        <v>6614757</v>
      </c>
      <c r="C36" s="421">
        <v>4272092</v>
      </c>
      <c r="D36" s="19">
        <v>2342665</v>
      </c>
    </row>
    <row r="37" spans="1:4" ht="14.1" customHeight="1">
      <c r="A37" s="287" t="s">
        <v>136</v>
      </c>
      <c r="B37" s="422">
        <v>7960224</v>
      </c>
      <c r="C37" s="420">
        <v>7878179</v>
      </c>
      <c r="D37" s="288">
        <v>82045</v>
      </c>
    </row>
    <row r="38" spans="1:4" ht="14.1" customHeight="1">
      <c r="A38" s="18" t="s">
        <v>137</v>
      </c>
      <c r="B38" s="423">
        <v>40491490</v>
      </c>
      <c r="C38" s="421">
        <v>39393969</v>
      </c>
      <c r="D38" s="19">
        <v>1097521</v>
      </c>
    </row>
    <row r="39" spans="1:4" ht="14.1" customHeight="1">
      <c r="A39" s="287" t="s">
        <v>138</v>
      </c>
      <c r="B39" s="422">
        <v>3558113</v>
      </c>
      <c r="C39" s="420">
        <v>2939361</v>
      </c>
      <c r="D39" s="288">
        <v>618752</v>
      </c>
    </row>
    <row r="40" spans="1:4" ht="14.1" customHeight="1">
      <c r="A40" s="18" t="s">
        <v>139</v>
      </c>
      <c r="B40" s="423">
        <v>32924596</v>
      </c>
      <c r="C40" s="421">
        <v>25098524</v>
      </c>
      <c r="D40" s="19">
        <v>7826072</v>
      </c>
    </row>
    <row r="41" spans="1:4" ht="14.1" customHeight="1">
      <c r="A41" s="287" t="s">
        <v>140</v>
      </c>
      <c r="B41" s="422">
        <v>12872763</v>
      </c>
      <c r="C41" s="420">
        <v>12328334</v>
      </c>
      <c r="D41" s="288">
        <v>544429</v>
      </c>
    </row>
    <row r="42" spans="1:4" ht="14.1" customHeight="1">
      <c r="A42" s="18" t="s">
        <v>141</v>
      </c>
      <c r="B42" s="423">
        <v>5051740</v>
      </c>
      <c r="C42" s="421">
        <v>2768724</v>
      </c>
      <c r="D42" s="19">
        <v>2283016</v>
      </c>
    </row>
    <row r="43" spans="1:4" ht="14.1" customHeight="1">
      <c r="A43" s="287" t="s">
        <v>142</v>
      </c>
      <c r="B43" s="422">
        <v>1054572</v>
      </c>
      <c r="C43" s="420">
        <v>831910</v>
      </c>
      <c r="D43" s="288">
        <v>222662</v>
      </c>
    </row>
    <row r="44" spans="1:4" ht="14.1" customHeight="1">
      <c r="A44" s="18" t="s">
        <v>143</v>
      </c>
      <c r="B44" s="423">
        <v>2934441</v>
      </c>
      <c r="C44" s="421">
        <v>1456515</v>
      </c>
      <c r="D44" s="19">
        <v>1477926</v>
      </c>
    </row>
    <row r="45" spans="1:4" ht="14.1" customHeight="1">
      <c r="A45" s="287" t="s">
        <v>144</v>
      </c>
      <c r="B45" s="422">
        <v>4620390</v>
      </c>
      <c r="C45" s="420">
        <v>4112555</v>
      </c>
      <c r="D45" s="288">
        <v>507835</v>
      </c>
    </row>
    <row r="46" spans="1:4" ht="14.1" customHeight="1">
      <c r="A46" s="18" t="s">
        <v>145</v>
      </c>
      <c r="B46" s="423">
        <v>65745251</v>
      </c>
      <c r="C46" s="421">
        <v>59554085</v>
      </c>
      <c r="D46" s="19">
        <v>6191166</v>
      </c>
    </row>
    <row r="47" spans="1:4" ht="5.0999999999999996" customHeight="1">
      <c r="A47" s="20"/>
      <c r="B47" s="21"/>
      <c r="C47" s="21"/>
      <c r="D47" s="21"/>
    </row>
    <row r="48" spans="1:4" ht="14.1" customHeight="1">
      <c r="A48" s="289" t="s">
        <v>146</v>
      </c>
      <c r="B48" s="425">
        <f>SUM(B11:B46)</f>
        <v>437756960</v>
      </c>
      <c r="C48" s="424">
        <f>SUM(C11:C46)</f>
        <v>379598058</v>
      </c>
      <c r="D48" s="290">
        <f>SUM(D11:D46)</f>
        <v>58158902</v>
      </c>
    </row>
    <row r="49" spans="1:5" ht="5.0999999999999996" customHeight="1">
      <c r="A49" s="20" t="s">
        <v>8</v>
      </c>
      <c r="B49" s="21"/>
      <c r="C49" s="21"/>
      <c r="D49" s="21"/>
    </row>
    <row r="50" spans="1:5" ht="14.1" customHeight="1">
      <c r="A50" s="18" t="s">
        <v>147</v>
      </c>
      <c r="B50" s="423">
        <v>1262465</v>
      </c>
      <c r="C50" s="421">
        <v>1112465</v>
      </c>
      <c r="D50" s="36">
        <v>150000</v>
      </c>
    </row>
    <row r="51" spans="1:5" ht="14.1" customHeight="1">
      <c r="A51" s="287" t="s">
        <v>643</v>
      </c>
      <c r="B51" s="422">
        <v>6939927</v>
      </c>
      <c r="C51" s="420">
        <v>6376612</v>
      </c>
      <c r="D51" s="288">
        <v>563315</v>
      </c>
    </row>
    <row r="52" spans="1:5" ht="50.1" customHeight="1">
      <c r="A52" s="22"/>
      <c r="B52" s="22"/>
      <c r="C52" s="22"/>
      <c r="D52" s="22"/>
      <c r="E52" s="22"/>
    </row>
    <row r="53" spans="1:5" ht="15" customHeight="1">
      <c r="A53" s="736" t="s">
        <v>569</v>
      </c>
      <c r="B53" s="736"/>
      <c r="C53" s="736"/>
      <c r="D53" s="736"/>
      <c r="E53" s="736"/>
    </row>
    <row r="54" spans="1:5">
      <c r="A54" s="737"/>
      <c r="B54" s="737"/>
      <c r="C54" s="737"/>
      <c r="D54" s="737"/>
      <c r="E54" s="737"/>
    </row>
    <row r="55" spans="1:5">
      <c r="A55" s="506" t="s">
        <v>359</v>
      </c>
    </row>
  </sheetData>
  <mergeCells count="7">
    <mergeCell ref="C6:D6"/>
    <mergeCell ref="B2:D2"/>
    <mergeCell ref="B3:D3"/>
    <mergeCell ref="A53:E54"/>
    <mergeCell ref="B6:B9"/>
    <mergeCell ref="D8:D9"/>
    <mergeCell ref="C7:C9"/>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43.xml><?xml version="1.0" encoding="utf-8"?>
<worksheet xmlns="http://schemas.openxmlformats.org/spreadsheetml/2006/main" xmlns:r="http://schemas.openxmlformats.org/officeDocument/2006/relationships">
  <sheetPr codeName="Sheet43"/>
  <dimension ref="A1:H57"/>
  <sheetViews>
    <sheetView showGridLines="0" showZeros="0" workbookViewId="0"/>
  </sheetViews>
  <sheetFormatPr defaultColWidth="15.83203125" defaultRowHeight="12"/>
  <cols>
    <col min="1" max="1" width="29" style="1" customWidth="1"/>
    <col min="2" max="2" width="14.33203125" style="1" customWidth="1"/>
    <col min="3" max="3" width="16.33203125" style="1" customWidth="1"/>
    <col min="4" max="4" width="15.1640625" style="1" customWidth="1"/>
    <col min="5" max="5" width="15" style="1" customWidth="1"/>
    <col min="6" max="6" width="15.1640625" style="1" customWidth="1"/>
    <col min="7" max="7" width="16.6640625" style="1" customWidth="1"/>
    <col min="8" max="16384" width="15.83203125" style="1"/>
  </cols>
  <sheetData>
    <row r="1" spans="1:7" ht="6.95" customHeight="1">
      <c r="A1" s="6"/>
    </row>
    <row r="2" spans="1:7" ht="15.95" customHeight="1">
      <c r="A2" s="133"/>
      <c r="B2" s="730" t="str">
        <f>"CAPITAL FUND "&amp;FALLYR&amp;"/"&amp;SPRINGYR&amp;" ACTUAL"</f>
        <v>CAPITAL FUND 2014/2015 ACTUAL</v>
      </c>
      <c r="C2" s="730"/>
      <c r="D2" s="730"/>
      <c r="E2" s="730"/>
      <c r="F2" s="730"/>
      <c r="G2" s="230" t="s">
        <v>259</v>
      </c>
    </row>
    <row r="3" spans="1:7" ht="15.95" customHeight="1">
      <c r="A3" s="546"/>
      <c r="B3" s="725" t="s">
        <v>3</v>
      </c>
      <c r="C3" s="725"/>
      <c r="D3" s="725"/>
      <c r="E3" s="725"/>
      <c r="F3" s="725"/>
      <c r="G3" s="225"/>
    </row>
    <row r="4" spans="1:7" ht="15.95" customHeight="1">
      <c r="B4" s="7"/>
      <c r="C4" s="226"/>
      <c r="D4" s="7"/>
      <c r="E4" s="7"/>
    </row>
    <row r="5" spans="1:7" ht="15.95" customHeight="1">
      <c r="B5" s="7"/>
      <c r="C5" s="7"/>
      <c r="D5" s="7"/>
      <c r="E5" s="7"/>
    </row>
    <row r="6" spans="1:7" ht="15.95" customHeight="1">
      <c r="B6" s="748" t="s">
        <v>278</v>
      </c>
      <c r="C6" s="749"/>
      <c r="D6" s="749"/>
      <c r="E6" s="749"/>
      <c r="F6" s="749"/>
      <c r="G6" s="750"/>
    </row>
    <row r="7" spans="1:7" ht="15.95" customHeight="1">
      <c r="B7" s="426"/>
      <c r="C7" s="454"/>
      <c r="D7" s="751" t="s">
        <v>573</v>
      </c>
      <c r="E7" s="751" t="s">
        <v>574</v>
      </c>
      <c r="F7" s="426"/>
      <c r="G7" s="413"/>
    </row>
    <row r="8" spans="1:7" ht="15.95" customHeight="1">
      <c r="A8" s="406"/>
      <c r="B8" s="746" t="s">
        <v>274</v>
      </c>
      <c r="C8" s="440"/>
      <c r="D8" s="726"/>
      <c r="E8" s="726"/>
      <c r="F8" s="427"/>
      <c r="G8" s="414"/>
    </row>
    <row r="9" spans="1:7" ht="15.95" customHeight="1">
      <c r="A9" s="407" t="s">
        <v>43</v>
      </c>
      <c r="B9" s="747"/>
      <c r="C9" s="428" t="s">
        <v>285</v>
      </c>
      <c r="D9" s="727"/>
      <c r="E9" s="727"/>
      <c r="F9" s="428" t="s">
        <v>369</v>
      </c>
      <c r="G9" s="302" t="s">
        <v>32</v>
      </c>
    </row>
    <row r="10" spans="1:7" ht="5.0999999999999996" customHeight="1">
      <c r="A10" s="5"/>
      <c r="B10" s="206"/>
      <c r="C10" s="206"/>
      <c r="D10" s="206"/>
      <c r="E10" s="206"/>
      <c r="F10" s="206"/>
      <c r="G10" s="206"/>
    </row>
    <row r="11" spans="1:7" ht="14.1" customHeight="1">
      <c r="A11" s="287" t="s">
        <v>111</v>
      </c>
      <c r="B11" s="288">
        <v>0</v>
      </c>
      <c r="C11" s="288">
        <v>308503</v>
      </c>
      <c r="D11" s="288">
        <v>16812</v>
      </c>
      <c r="E11" s="288">
        <v>11837</v>
      </c>
      <c r="F11" s="288">
        <v>142157</v>
      </c>
      <c r="G11" s="288">
        <f>SUM(B11:F11)</f>
        <v>479309</v>
      </c>
    </row>
    <row r="12" spans="1:7" ht="14.1" customHeight="1">
      <c r="A12" s="18" t="s">
        <v>112</v>
      </c>
      <c r="B12" s="19">
        <v>36000</v>
      </c>
      <c r="C12" s="19">
        <v>1051635</v>
      </c>
      <c r="D12" s="19">
        <v>677439</v>
      </c>
      <c r="E12" s="19">
        <v>231602</v>
      </c>
      <c r="F12" s="19">
        <v>279902</v>
      </c>
      <c r="G12" s="19">
        <f>SUM(B12:F12)</f>
        <v>2276578</v>
      </c>
    </row>
    <row r="13" spans="1:7" ht="14.1" customHeight="1">
      <c r="A13" s="287" t="s">
        <v>113</v>
      </c>
      <c r="B13" s="288">
        <v>0</v>
      </c>
      <c r="C13" s="288">
        <v>9458139</v>
      </c>
      <c r="D13" s="288">
        <v>258411</v>
      </c>
      <c r="E13" s="288">
        <v>0</v>
      </c>
      <c r="F13" s="288">
        <v>529866</v>
      </c>
      <c r="G13" s="288">
        <f t="shared" ref="G13:G46" si="0">SUM(B13:F13)</f>
        <v>10246416</v>
      </c>
    </row>
    <row r="14" spans="1:7" ht="14.1" customHeight="1">
      <c r="A14" s="18" t="s">
        <v>365</v>
      </c>
      <c r="B14" s="19">
        <v>78749</v>
      </c>
      <c r="C14" s="19">
        <v>18544068</v>
      </c>
      <c r="D14" s="19">
        <v>241398</v>
      </c>
      <c r="E14" s="19">
        <v>346841</v>
      </c>
      <c r="F14" s="19">
        <v>92498</v>
      </c>
      <c r="G14" s="19">
        <f t="shared" si="0"/>
        <v>19303554</v>
      </c>
    </row>
    <row r="15" spans="1:7" ht="14.1" customHeight="1">
      <c r="A15" s="287" t="s">
        <v>114</v>
      </c>
      <c r="B15" s="288">
        <v>51688</v>
      </c>
      <c r="C15" s="288">
        <v>1320455</v>
      </c>
      <c r="D15" s="288">
        <v>163772</v>
      </c>
      <c r="E15" s="288">
        <v>0</v>
      </c>
      <c r="F15" s="288">
        <v>316963</v>
      </c>
      <c r="G15" s="288">
        <f t="shared" si="0"/>
        <v>1852878</v>
      </c>
    </row>
    <row r="16" spans="1:7" ht="14.1" customHeight="1">
      <c r="A16" s="18" t="s">
        <v>115</v>
      </c>
      <c r="B16" s="19">
        <v>77402</v>
      </c>
      <c r="C16" s="19">
        <v>25208</v>
      </c>
      <c r="D16" s="19">
        <v>122531</v>
      </c>
      <c r="E16" s="19">
        <v>0</v>
      </c>
      <c r="F16" s="19">
        <v>0</v>
      </c>
      <c r="G16" s="19">
        <f t="shared" si="0"/>
        <v>225141</v>
      </c>
    </row>
    <row r="17" spans="1:7" ht="14.1" customHeight="1">
      <c r="A17" s="287" t="s">
        <v>116</v>
      </c>
      <c r="B17" s="288">
        <v>35000</v>
      </c>
      <c r="C17" s="288">
        <v>2973604</v>
      </c>
      <c r="D17" s="288">
        <v>240454</v>
      </c>
      <c r="E17" s="288">
        <v>0</v>
      </c>
      <c r="F17" s="288">
        <v>236148</v>
      </c>
      <c r="G17" s="288">
        <f t="shared" si="0"/>
        <v>3485206</v>
      </c>
    </row>
    <row r="18" spans="1:7" ht="14.1" customHeight="1">
      <c r="A18" s="18" t="s">
        <v>117</v>
      </c>
      <c r="B18" s="19">
        <v>0</v>
      </c>
      <c r="C18" s="19">
        <v>14340372</v>
      </c>
      <c r="D18" s="19">
        <v>164761</v>
      </c>
      <c r="E18" s="19">
        <v>0</v>
      </c>
      <c r="F18" s="19">
        <v>916632</v>
      </c>
      <c r="G18" s="19">
        <f t="shared" si="0"/>
        <v>15421765</v>
      </c>
    </row>
    <row r="19" spans="1:7" ht="14.1" customHeight="1">
      <c r="A19" s="287" t="s">
        <v>118</v>
      </c>
      <c r="B19" s="288">
        <v>84190</v>
      </c>
      <c r="C19" s="288">
        <v>3302013</v>
      </c>
      <c r="D19" s="288">
        <v>47188</v>
      </c>
      <c r="E19" s="288">
        <v>27400</v>
      </c>
      <c r="F19" s="288">
        <v>100428</v>
      </c>
      <c r="G19" s="288">
        <f t="shared" si="0"/>
        <v>3561219</v>
      </c>
    </row>
    <row r="20" spans="1:7" ht="14.1" customHeight="1">
      <c r="A20" s="18" t="s">
        <v>119</v>
      </c>
      <c r="B20" s="19">
        <v>103903</v>
      </c>
      <c r="C20" s="19">
        <v>4825331</v>
      </c>
      <c r="D20" s="19">
        <v>591296</v>
      </c>
      <c r="E20" s="19">
        <v>2177816</v>
      </c>
      <c r="F20" s="19">
        <v>840105</v>
      </c>
      <c r="G20" s="19">
        <f t="shared" si="0"/>
        <v>8538451</v>
      </c>
    </row>
    <row r="21" spans="1:7" ht="14.1" customHeight="1">
      <c r="A21" s="287" t="s">
        <v>120</v>
      </c>
      <c r="B21" s="288">
        <v>0</v>
      </c>
      <c r="C21" s="288">
        <v>6343155</v>
      </c>
      <c r="D21" s="288">
        <v>26838</v>
      </c>
      <c r="E21" s="288">
        <v>2216531</v>
      </c>
      <c r="F21" s="288">
        <v>26783</v>
      </c>
      <c r="G21" s="288">
        <f t="shared" si="0"/>
        <v>8613307</v>
      </c>
    </row>
    <row r="22" spans="1:7" ht="14.1" customHeight="1">
      <c r="A22" s="18" t="s">
        <v>121</v>
      </c>
      <c r="B22" s="19">
        <v>0</v>
      </c>
      <c r="C22" s="19">
        <v>2953330</v>
      </c>
      <c r="D22" s="19">
        <v>12271</v>
      </c>
      <c r="E22" s="19">
        <v>6633</v>
      </c>
      <c r="F22" s="19">
        <v>224618</v>
      </c>
      <c r="G22" s="19">
        <f t="shared" si="0"/>
        <v>3196852</v>
      </c>
    </row>
    <row r="23" spans="1:7" ht="14.1" customHeight="1">
      <c r="A23" s="287" t="s">
        <v>122</v>
      </c>
      <c r="B23" s="288">
        <v>0</v>
      </c>
      <c r="C23" s="288">
        <v>30005</v>
      </c>
      <c r="D23" s="288">
        <v>108988</v>
      </c>
      <c r="E23" s="288">
        <v>0</v>
      </c>
      <c r="F23" s="288">
        <v>187762</v>
      </c>
      <c r="G23" s="288">
        <f t="shared" si="0"/>
        <v>326755</v>
      </c>
    </row>
    <row r="24" spans="1:7" ht="14.1" customHeight="1">
      <c r="A24" s="18" t="s">
        <v>123</v>
      </c>
      <c r="B24" s="19">
        <v>175717</v>
      </c>
      <c r="C24" s="19">
        <v>4235895</v>
      </c>
      <c r="D24" s="19">
        <v>243375</v>
      </c>
      <c r="E24" s="19">
        <v>504357</v>
      </c>
      <c r="F24" s="19">
        <v>557406</v>
      </c>
      <c r="G24" s="19">
        <f t="shared" si="0"/>
        <v>5716750</v>
      </c>
    </row>
    <row r="25" spans="1:7" ht="14.1" customHeight="1">
      <c r="A25" s="287" t="s">
        <v>124</v>
      </c>
      <c r="B25" s="288">
        <v>0</v>
      </c>
      <c r="C25" s="288">
        <v>6929077</v>
      </c>
      <c r="D25" s="288">
        <v>241904</v>
      </c>
      <c r="E25" s="288">
        <v>440041</v>
      </c>
      <c r="F25" s="288">
        <v>434068</v>
      </c>
      <c r="G25" s="288">
        <f t="shared" si="0"/>
        <v>8045090</v>
      </c>
    </row>
    <row r="26" spans="1:7" ht="14.1" customHeight="1">
      <c r="A26" s="18" t="s">
        <v>125</v>
      </c>
      <c r="B26" s="19">
        <v>0</v>
      </c>
      <c r="C26" s="19">
        <v>2421258</v>
      </c>
      <c r="D26" s="19">
        <v>102238</v>
      </c>
      <c r="E26" s="19">
        <v>0</v>
      </c>
      <c r="F26" s="19">
        <v>495278</v>
      </c>
      <c r="G26" s="19">
        <f t="shared" si="0"/>
        <v>3018774</v>
      </c>
    </row>
    <row r="27" spans="1:7" ht="14.1" customHeight="1">
      <c r="A27" s="287" t="s">
        <v>126</v>
      </c>
      <c r="B27" s="288">
        <v>98138</v>
      </c>
      <c r="C27" s="288">
        <v>1139313</v>
      </c>
      <c r="D27" s="288">
        <v>163108</v>
      </c>
      <c r="E27" s="288">
        <v>32798</v>
      </c>
      <c r="F27" s="288">
        <v>0</v>
      </c>
      <c r="G27" s="288">
        <f t="shared" si="0"/>
        <v>1433357</v>
      </c>
    </row>
    <row r="28" spans="1:7" ht="14.1" customHeight="1">
      <c r="A28" s="18" t="s">
        <v>127</v>
      </c>
      <c r="B28" s="19">
        <v>0</v>
      </c>
      <c r="C28" s="19">
        <v>2822153</v>
      </c>
      <c r="D28" s="19">
        <v>82609</v>
      </c>
      <c r="E28" s="19">
        <v>0</v>
      </c>
      <c r="F28" s="19">
        <v>183418</v>
      </c>
      <c r="G28" s="19">
        <f t="shared" si="0"/>
        <v>3088180</v>
      </c>
    </row>
    <row r="29" spans="1:7" ht="14.1" customHeight="1">
      <c r="A29" s="287" t="s">
        <v>128</v>
      </c>
      <c r="B29" s="288">
        <v>364272</v>
      </c>
      <c r="C29" s="288">
        <v>10255434</v>
      </c>
      <c r="D29" s="288">
        <v>1400723</v>
      </c>
      <c r="E29" s="288">
        <v>48934</v>
      </c>
      <c r="F29" s="288">
        <v>439919</v>
      </c>
      <c r="G29" s="288">
        <f t="shared" si="0"/>
        <v>12509282</v>
      </c>
    </row>
    <row r="30" spans="1:7" ht="14.1" customHeight="1">
      <c r="A30" s="18" t="s">
        <v>129</v>
      </c>
      <c r="B30" s="19">
        <v>0</v>
      </c>
      <c r="C30" s="19">
        <v>359943</v>
      </c>
      <c r="D30" s="19">
        <v>95824</v>
      </c>
      <c r="E30" s="19">
        <v>0</v>
      </c>
      <c r="F30" s="19">
        <v>0</v>
      </c>
      <c r="G30" s="19">
        <f t="shared" si="0"/>
        <v>455767</v>
      </c>
    </row>
    <row r="31" spans="1:7" ht="14.1" customHeight="1">
      <c r="A31" s="287" t="s">
        <v>130</v>
      </c>
      <c r="B31" s="288">
        <v>419821</v>
      </c>
      <c r="C31" s="288">
        <v>44926</v>
      </c>
      <c r="D31" s="288">
        <v>55775</v>
      </c>
      <c r="E31" s="288">
        <v>0</v>
      </c>
      <c r="F31" s="288">
        <v>109701</v>
      </c>
      <c r="G31" s="288">
        <f t="shared" si="0"/>
        <v>630223</v>
      </c>
    </row>
    <row r="32" spans="1:7" ht="14.1" customHeight="1">
      <c r="A32" s="18" t="s">
        <v>131</v>
      </c>
      <c r="B32" s="19">
        <v>0</v>
      </c>
      <c r="C32" s="19">
        <v>745831</v>
      </c>
      <c r="D32" s="19">
        <v>111425</v>
      </c>
      <c r="E32" s="19">
        <v>0</v>
      </c>
      <c r="F32" s="19">
        <v>318389</v>
      </c>
      <c r="G32" s="19">
        <f t="shared" si="0"/>
        <v>1175645</v>
      </c>
    </row>
    <row r="33" spans="1:8" ht="14.1" customHeight="1">
      <c r="A33" s="287" t="s">
        <v>132</v>
      </c>
      <c r="B33" s="288">
        <v>0</v>
      </c>
      <c r="C33" s="288">
        <v>1726024</v>
      </c>
      <c r="D33" s="288">
        <v>18098</v>
      </c>
      <c r="E33" s="288">
        <v>0</v>
      </c>
      <c r="F33" s="288">
        <v>440781</v>
      </c>
      <c r="G33" s="288">
        <f t="shared" si="0"/>
        <v>2184903</v>
      </c>
    </row>
    <row r="34" spans="1:8" ht="14.1" customHeight="1">
      <c r="A34" s="18" t="s">
        <v>133</v>
      </c>
      <c r="B34" s="19">
        <v>0</v>
      </c>
      <c r="C34" s="19">
        <v>583571</v>
      </c>
      <c r="D34" s="19">
        <v>52234</v>
      </c>
      <c r="E34" s="19">
        <v>0</v>
      </c>
      <c r="F34" s="19">
        <v>312963</v>
      </c>
      <c r="G34" s="19">
        <f t="shared" si="0"/>
        <v>948768</v>
      </c>
    </row>
    <row r="35" spans="1:8" ht="14.1" customHeight="1">
      <c r="A35" s="287" t="s">
        <v>134</v>
      </c>
      <c r="B35" s="288">
        <v>213469</v>
      </c>
      <c r="C35" s="288">
        <v>6397915</v>
      </c>
      <c r="D35" s="288">
        <v>260146</v>
      </c>
      <c r="E35" s="288">
        <v>1022757</v>
      </c>
      <c r="F35" s="288">
        <v>536518</v>
      </c>
      <c r="G35" s="288">
        <f t="shared" si="0"/>
        <v>8430805</v>
      </c>
    </row>
    <row r="36" spans="1:8" ht="14.1" customHeight="1">
      <c r="A36" s="18" t="s">
        <v>135</v>
      </c>
      <c r="B36" s="19">
        <v>0</v>
      </c>
      <c r="C36" s="19">
        <v>250198</v>
      </c>
      <c r="D36" s="19">
        <v>352800</v>
      </c>
      <c r="E36" s="19">
        <v>330303</v>
      </c>
      <c r="F36" s="19">
        <v>342384</v>
      </c>
      <c r="G36" s="19">
        <f t="shared" si="0"/>
        <v>1275685</v>
      </c>
    </row>
    <row r="37" spans="1:8" ht="14.1" customHeight="1">
      <c r="A37" s="287" t="s">
        <v>136</v>
      </c>
      <c r="B37" s="288">
        <v>108174</v>
      </c>
      <c r="C37" s="288">
        <v>1157048</v>
      </c>
      <c r="D37" s="288">
        <v>0</v>
      </c>
      <c r="E37" s="288">
        <v>1016808</v>
      </c>
      <c r="F37" s="288">
        <v>448587</v>
      </c>
      <c r="G37" s="288">
        <f t="shared" si="0"/>
        <v>2730617</v>
      </c>
    </row>
    <row r="38" spans="1:8" ht="14.1" customHeight="1">
      <c r="A38" s="18" t="s">
        <v>137</v>
      </c>
      <c r="B38" s="19">
        <v>3082323</v>
      </c>
      <c r="C38" s="19">
        <v>18981956</v>
      </c>
      <c r="D38" s="19">
        <v>279330</v>
      </c>
      <c r="E38" s="19">
        <v>173304</v>
      </c>
      <c r="F38" s="19">
        <v>494386</v>
      </c>
      <c r="G38" s="19">
        <f t="shared" si="0"/>
        <v>23011299</v>
      </c>
    </row>
    <row r="39" spans="1:8" ht="14.1" customHeight="1">
      <c r="A39" s="287" t="s">
        <v>138</v>
      </c>
      <c r="B39" s="288">
        <v>0</v>
      </c>
      <c r="C39" s="288">
        <v>1161999</v>
      </c>
      <c r="D39" s="288">
        <v>9562</v>
      </c>
      <c r="E39" s="288">
        <v>49339</v>
      </c>
      <c r="F39" s="288">
        <v>185381</v>
      </c>
      <c r="G39" s="288">
        <f t="shared" si="0"/>
        <v>1406281</v>
      </c>
    </row>
    <row r="40" spans="1:8" ht="14.1" customHeight="1">
      <c r="A40" s="18" t="s">
        <v>139</v>
      </c>
      <c r="B40" s="19">
        <v>999109</v>
      </c>
      <c r="C40" s="19">
        <v>6062355</v>
      </c>
      <c r="D40" s="19">
        <v>252171</v>
      </c>
      <c r="E40" s="19">
        <v>20012</v>
      </c>
      <c r="F40" s="19">
        <v>69727</v>
      </c>
      <c r="G40" s="19">
        <f t="shared" si="0"/>
        <v>7403374</v>
      </c>
    </row>
    <row r="41" spans="1:8" ht="14.1" customHeight="1">
      <c r="A41" s="287" t="s">
        <v>140</v>
      </c>
      <c r="B41" s="288">
        <v>0</v>
      </c>
      <c r="C41" s="288">
        <v>4344412</v>
      </c>
      <c r="D41" s="288">
        <v>68614</v>
      </c>
      <c r="E41" s="288">
        <v>674483</v>
      </c>
      <c r="F41" s="288">
        <v>545781</v>
      </c>
      <c r="G41" s="288">
        <f t="shared" si="0"/>
        <v>5633290</v>
      </c>
    </row>
    <row r="42" spans="1:8" ht="14.1" customHeight="1">
      <c r="A42" s="18" t="s">
        <v>141</v>
      </c>
      <c r="B42" s="19">
        <v>236679</v>
      </c>
      <c r="C42" s="19">
        <v>2034681</v>
      </c>
      <c r="D42" s="19">
        <v>174683</v>
      </c>
      <c r="E42" s="19">
        <v>58305</v>
      </c>
      <c r="F42" s="19">
        <v>277090</v>
      </c>
      <c r="G42" s="19">
        <f t="shared" si="0"/>
        <v>2781438</v>
      </c>
    </row>
    <row r="43" spans="1:8" ht="14.1" customHeight="1">
      <c r="A43" s="287" t="s">
        <v>142</v>
      </c>
      <c r="B43" s="288">
        <v>0</v>
      </c>
      <c r="C43" s="288">
        <v>374574</v>
      </c>
      <c r="D43" s="288">
        <v>18620</v>
      </c>
      <c r="E43" s="288">
        <v>12056</v>
      </c>
      <c r="F43" s="288">
        <v>174214</v>
      </c>
      <c r="G43" s="288">
        <f t="shared" si="0"/>
        <v>579464</v>
      </c>
    </row>
    <row r="44" spans="1:8" ht="14.1" customHeight="1">
      <c r="A44" s="18" t="s">
        <v>143</v>
      </c>
      <c r="B44" s="19">
        <v>0</v>
      </c>
      <c r="C44" s="19">
        <v>1525165</v>
      </c>
      <c r="D44" s="19">
        <v>11935</v>
      </c>
      <c r="E44" s="19">
        <v>92443</v>
      </c>
      <c r="F44" s="19">
        <v>180647</v>
      </c>
      <c r="G44" s="19">
        <f t="shared" si="0"/>
        <v>1810190</v>
      </c>
    </row>
    <row r="45" spans="1:8" ht="14.1" customHeight="1">
      <c r="A45" s="287" t="s">
        <v>144</v>
      </c>
      <c r="B45" s="288">
        <v>1003430</v>
      </c>
      <c r="C45" s="288">
        <v>264379</v>
      </c>
      <c r="D45" s="288">
        <v>142896</v>
      </c>
      <c r="E45" s="288">
        <v>104736</v>
      </c>
      <c r="F45" s="288">
        <v>48055</v>
      </c>
      <c r="G45" s="288">
        <f t="shared" si="0"/>
        <v>1563496</v>
      </c>
    </row>
    <row r="46" spans="1:8" ht="14.1" customHeight="1">
      <c r="A46" s="18" t="s">
        <v>145</v>
      </c>
      <c r="B46" s="19">
        <v>232410</v>
      </c>
      <c r="C46" s="19">
        <v>22512234</v>
      </c>
      <c r="D46" s="19">
        <v>676673</v>
      </c>
      <c r="E46" s="19">
        <v>851972</v>
      </c>
      <c r="F46" s="19">
        <v>2363581</v>
      </c>
      <c r="G46" s="19">
        <f t="shared" si="0"/>
        <v>26636870</v>
      </c>
    </row>
    <row r="47" spans="1:8" ht="5.0999999999999996" customHeight="1">
      <c r="A47" s="20"/>
      <c r="B47" s="21"/>
      <c r="C47" s="21"/>
      <c r="D47" s="21"/>
      <c r="E47" s="21"/>
      <c r="F47" s="21"/>
      <c r="G47" s="21"/>
    </row>
    <row r="48" spans="1:8" ht="14.1" customHeight="1">
      <c r="A48" s="289" t="s">
        <v>146</v>
      </c>
      <c r="B48" s="290">
        <f t="shared" ref="B48:G48" si="1">SUM(B11:B46)</f>
        <v>7400474</v>
      </c>
      <c r="C48" s="290">
        <f t="shared" si="1"/>
        <v>161806159</v>
      </c>
      <c r="D48" s="290">
        <f t="shared" si="1"/>
        <v>7486902</v>
      </c>
      <c r="E48" s="290">
        <f t="shared" si="1"/>
        <v>10451308</v>
      </c>
      <c r="F48" s="290">
        <f t="shared" si="1"/>
        <v>12852136</v>
      </c>
      <c r="G48" s="290">
        <f t="shared" si="1"/>
        <v>199996979</v>
      </c>
      <c r="H48" s="514">
        <v>0</v>
      </c>
    </row>
    <row r="49" spans="1:7" ht="5.0999999999999996" customHeight="1">
      <c r="A49" s="20" t="s">
        <v>8</v>
      </c>
      <c r="B49" s="21"/>
      <c r="C49" s="21"/>
      <c r="D49" s="21"/>
      <c r="E49" s="21"/>
      <c r="F49" s="21"/>
      <c r="G49" s="21"/>
    </row>
    <row r="50" spans="1:7" ht="14.1" customHeight="1">
      <c r="A50" s="18" t="s">
        <v>147</v>
      </c>
      <c r="B50" s="19">
        <v>0</v>
      </c>
      <c r="C50" s="19">
        <v>0</v>
      </c>
      <c r="D50" s="19">
        <v>0</v>
      </c>
      <c r="E50" s="19">
        <v>0</v>
      </c>
      <c r="F50" s="19">
        <v>0</v>
      </c>
      <c r="G50" s="19">
        <f>SUM(B50:F50)</f>
        <v>0</v>
      </c>
    </row>
    <row r="51" spans="1:7" ht="14.1" customHeight="1">
      <c r="A51" s="287" t="s">
        <v>643</v>
      </c>
      <c r="B51" s="288">
        <v>0</v>
      </c>
      <c r="C51" s="288">
        <v>953556</v>
      </c>
      <c r="D51" s="288">
        <v>1106291</v>
      </c>
      <c r="E51" s="288">
        <v>78685</v>
      </c>
      <c r="F51" s="288">
        <v>0</v>
      </c>
      <c r="G51" s="288">
        <f>SUM(B51:F51)</f>
        <v>2138532</v>
      </c>
    </row>
    <row r="52" spans="1:7" ht="50.1" customHeight="1">
      <c r="A52" s="22"/>
      <c r="B52" s="22"/>
      <c r="C52" s="22"/>
      <c r="D52" s="22"/>
      <c r="E52" s="22"/>
      <c r="F52" s="22"/>
      <c r="G52" s="22"/>
    </row>
    <row r="53" spans="1:7" ht="15" customHeight="1">
      <c r="A53" s="417" t="s">
        <v>360</v>
      </c>
    </row>
    <row r="54" spans="1:7">
      <c r="A54" s="745" t="s">
        <v>575</v>
      </c>
      <c r="B54" s="745"/>
      <c r="C54" s="745"/>
      <c r="D54" s="745"/>
      <c r="E54" s="745"/>
      <c r="F54" s="745"/>
      <c r="G54" s="745"/>
    </row>
    <row r="55" spans="1:7">
      <c r="A55" s="745"/>
      <c r="B55" s="745"/>
      <c r="C55" s="745"/>
      <c r="D55" s="745"/>
      <c r="E55" s="745"/>
      <c r="F55" s="745"/>
      <c r="G55" s="745"/>
    </row>
    <row r="56" spans="1:7">
      <c r="A56" s="437" t="s">
        <v>437</v>
      </c>
    </row>
    <row r="57" spans="1:7">
      <c r="A57" s="507" t="s">
        <v>361</v>
      </c>
    </row>
  </sheetData>
  <mergeCells count="7">
    <mergeCell ref="A54:G55"/>
    <mergeCell ref="B8:B9"/>
    <mergeCell ref="B2:F2"/>
    <mergeCell ref="B3:F3"/>
    <mergeCell ref="B6:G6"/>
    <mergeCell ref="D7:D9"/>
    <mergeCell ref="E7:E9"/>
  </mergeCells>
  <phoneticPr fontId="6" type="noConversion"/>
  <pageMargins left="0.51181102362204722" right="0.51181102362204722" top="0.59055118110236227" bottom="0.19685039370078741" header="0.31496062992125984" footer="0.51181102362204722"/>
  <pageSetup scale="90" orientation="portrait" r:id="rId1"/>
  <headerFooter alignWithMargins="0">
    <oddHeader>&amp;C&amp;"Arial,Regular"&amp;11&amp;A</oddHeader>
  </headerFooter>
</worksheet>
</file>

<file path=xl/worksheets/sheet44.xml><?xml version="1.0" encoding="utf-8"?>
<worksheet xmlns="http://schemas.openxmlformats.org/spreadsheetml/2006/main" xmlns:r="http://schemas.openxmlformats.org/officeDocument/2006/relationships">
  <sheetPr codeName="Sheet57">
    <pageSetUpPr fitToPage="1"/>
  </sheetPr>
  <dimension ref="A1:H55"/>
  <sheetViews>
    <sheetView showGridLines="0" showZeros="0" workbookViewId="0"/>
  </sheetViews>
  <sheetFormatPr defaultColWidth="19.83203125" defaultRowHeight="12"/>
  <cols>
    <col min="1" max="1" width="30.83203125" style="1" customWidth="1"/>
    <col min="2" max="3" width="16.83203125" style="1" customWidth="1"/>
    <col min="4" max="4" width="3.83203125" style="1" customWidth="1"/>
    <col min="5" max="5" width="18.83203125" style="1" customWidth="1"/>
    <col min="6" max="7" width="16.83203125" style="1" customWidth="1"/>
    <col min="8" max="8" width="14.33203125" style="1" customWidth="1"/>
    <col min="9" max="16384" width="19.83203125" style="1"/>
  </cols>
  <sheetData>
    <row r="1" spans="1:8" ht="6.95" customHeight="1">
      <c r="A1" s="6"/>
      <c r="B1" s="6"/>
      <c r="C1" s="6"/>
      <c r="D1" s="6"/>
    </row>
    <row r="2" spans="1:8" ht="15.95" customHeight="1">
      <c r="A2" s="752" t="str">
        <f>"SPECIAL PURPOSE FUND "&amp;VALUE('- 66 -'!F9+1)&amp;"/"&amp;VALUE('- 66 -'!F9+2)&amp;" ACTUAL"</f>
        <v>SPECIAL PURPOSE FUND 2014/2015 ACTUAL</v>
      </c>
      <c r="B2" s="752"/>
      <c r="C2" s="752"/>
      <c r="D2" s="752"/>
      <c r="E2" s="752"/>
      <c r="F2" s="453" t="s">
        <v>97</v>
      </c>
      <c r="G2" s="449"/>
      <c r="H2" s="449"/>
    </row>
    <row r="3" spans="1:8" ht="15.95" customHeight="1">
      <c r="A3" s="725" t="s">
        <v>402</v>
      </c>
      <c r="B3" s="725"/>
      <c r="C3" s="725"/>
      <c r="D3" s="725"/>
      <c r="E3" s="725"/>
      <c r="F3" s="725"/>
      <c r="G3" s="725"/>
      <c r="H3" s="725"/>
    </row>
    <row r="4" spans="1:8" ht="15.95" customHeight="1">
      <c r="E4" s="7"/>
      <c r="F4" s="7"/>
      <c r="G4" s="7"/>
    </row>
    <row r="5" spans="1:8" ht="15.95" customHeight="1">
      <c r="B5"/>
      <c r="C5"/>
      <c r="D5"/>
      <c r="E5"/>
      <c r="F5"/>
      <c r="G5"/>
      <c r="H5"/>
    </row>
    <row r="6" spans="1:8" ht="15.95" customHeight="1">
      <c r="B6" s="435"/>
      <c r="C6" s="435"/>
      <c r="D6"/>
      <c r="E6" s="738" t="s">
        <v>577</v>
      </c>
      <c r="F6" s="734" t="s">
        <v>271</v>
      </c>
      <c r="G6" s="735"/>
    </row>
    <row r="7" spans="1:8" ht="15.95" customHeight="1">
      <c r="B7" s="411"/>
      <c r="C7" s="411"/>
      <c r="D7"/>
      <c r="E7" s="739"/>
      <c r="F7" s="743" t="s">
        <v>381</v>
      </c>
      <c r="G7" s="411"/>
    </row>
    <row r="8" spans="1:8" ht="15.95" customHeight="1">
      <c r="A8" s="406"/>
      <c r="B8" s="753" t="s">
        <v>563</v>
      </c>
      <c r="C8" s="753" t="s">
        <v>567</v>
      </c>
      <c r="D8"/>
      <c r="E8" s="739"/>
      <c r="F8" s="743"/>
      <c r="G8" s="741" t="s">
        <v>576</v>
      </c>
    </row>
    <row r="9" spans="1:8" ht="15.95" customHeight="1">
      <c r="A9" s="407" t="s">
        <v>43</v>
      </c>
      <c r="B9" s="754"/>
      <c r="C9" s="754"/>
      <c r="D9"/>
      <c r="E9" s="740"/>
      <c r="F9" s="744"/>
      <c r="G9" s="742"/>
    </row>
    <row r="10" spans="1:8" ht="5.0999999999999996" customHeight="1">
      <c r="A10" s="5"/>
      <c r="B10" s="206"/>
      <c r="C10" s="206"/>
      <c r="D10"/>
      <c r="E10" s="6"/>
      <c r="F10" s="206"/>
    </row>
    <row r="11" spans="1:8" ht="14.1" customHeight="1">
      <c r="A11" s="287" t="s">
        <v>111</v>
      </c>
      <c r="B11" s="420">
        <v>261514</v>
      </c>
      <c r="C11" s="420">
        <v>256133</v>
      </c>
      <c r="D11"/>
      <c r="E11" s="555">
        <v>248545</v>
      </c>
      <c r="F11" s="420">
        <v>248545</v>
      </c>
      <c r="G11" s="420">
        <v>0</v>
      </c>
    </row>
    <row r="12" spans="1:8" ht="14.1" customHeight="1">
      <c r="A12" s="18" t="s">
        <v>112</v>
      </c>
      <c r="B12" s="421">
        <v>555306</v>
      </c>
      <c r="C12" s="421">
        <v>556544</v>
      </c>
      <c r="D12"/>
      <c r="E12" s="556">
        <v>293250</v>
      </c>
      <c r="F12" s="421">
        <v>293250</v>
      </c>
      <c r="G12" s="421">
        <v>0</v>
      </c>
    </row>
    <row r="13" spans="1:8" ht="14.1" customHeight="1">
      <c r="A13" s="287" t="s">
        <v>113</v>
      </c>
      <c r="B13" s="420">
        <v>2625132</v>
      </c>
      <c r="C13" s="420">
        <v>2674594</v>
      </c>
      <c r="D13"/>
      <c r="E13" s="555">
        <v>1753881</v>
      </c>
      <c r="F13" s="420">
        <v>691270</v>
      </c>
      <c r="G13" s="420">
        <v>1062611</v>
      </c>
    </row>
    <row r="14" spans="1:8" ht="14.1" customHeight="1">
      <c r="A14" s="18" t="s">
        <v>365</v>
      </c>
      <c r="B14" s="421">
        <v>1522905</v>
      </c>
      <c r="C14" s="421">
        <v>1566216</v>
      </c>
      <c r="D14"/>
      <c r="E14" s="556">
        <v>759413</v>
      </c>
      <c r="F14" s="421">
        <v>594662</v>
      </c>
      <c r="G14" s="421">
        <v>164751</v>
      </c>
    </row>
    <row r="15" spans="1:8" ht="14.1" customHeight="1">
      <c r="A15" s="287" t="s">
        <v>114</v>
      </c>
      <c r="B15" s="420">
        <v>493282</v>
      </c>
      <c r="C15" s="420">
        <v>509519</v>
      </c>
      <c r="D15"/>
      <c r="E15" s="555">
        <v>337609</v>
      </c>
      <c r="F15" s="420">
        <v>158274</v>
      </c>
      <c r="G15" s="420">
        <v>179335</v>
      </c>
    </row>
    <row r="16" spans="1:8" ht="14.1" customHeight="1">
      <c r="A16" s="18" t="s">
        <v>115</v>
      </c>
      <c r="B16" s="421">
        <v>250276</v>
      </c>
      <c r="C16" s="421">
        <v>258518</v>
      </c>
      <c r="D16"/>
      <c r="E16" s="556">
        <v>36331</v>
      </c>
      <c r="F16" s="421">
        <v>36331</v>
      </c>
      <c r="G16" s="421">
        <v>0</v>
      </c>
    </row>
    <row r="17" spans="1:7" ht="14.1" customHeight="1">
      <c r="A17" s="287" t="s">
        <v>116</v>
      </c>
      <c r="B17" s="420">
        <v>757259</v>
      </c>
      <c r="C17" s="420">
        <v>716380</v>
      </c>
      <c r="D17"/>
      <c r="E17" s="555">
        <v>374676</v>
      </c>
      <c r="F17" s="420">
        <v>279466</v>
      </c>
      <c r="G17" s="420">
        <v>95210</v>
      </c>
    </row>
    <row r="18" spans="1:7" ht="14.1" customHeight="1">
      <c r="A18" s="18" t="s">
        <v>117</v>
      </c>
      <c r="B18" s="421">
        <v>890623</v>
      </c>
      <c r="C18" s="421">
        <v>936891</v>
      </c>
      <c r="D18"/>
      <c r="E18" s="556">
        <v>116345</v>
      </c>
      <c r="F18" s="421">
        <v>116345</v>
      </c>
      <c r="G18" s="421">
        <v>0</v>
      </c>
    </row>
    <row r="19" spans="1:7" ht="14.1" customHeight="1">
      <c r="A19" s="287" t="s">
        <v>118</v>
      </c>
      <c r="B19" s="420">
        <v>134560</v>
      </c>
      <c r="C19" s="420">
        <v>143221</v>
      </c>
      <c r="D19"/>
      <c r="E19" s="555">
        <v>81583</v>
      </c>
      <c r="F19" s="420">
        <v>81583</v>
      </c>
      <c r="G19" s="420">
        <v>0</v>
      </c>
    </row>
    <row r="20" spans="1:7" ht="14.1" customHeight="1">
      <c r="A20" s="18" t="s">
        <v>119</v>
      </c>
      <c r="B20" s="421">
        <v>1830729</v>
      </c>
      <c r="C20" s="421">
        <v>1846950</v>
      </c>
      <c r="D20"/>
      <c r="E20" s="556">
        <v>449462</v>
      </c>
      <c r="F20" s="421">
        <v>449462</v>
      </c>
      <c r="G20" s="421">
        <v>0</v>
      </c>
    </row>
    <row r="21" spans="1:7" ht="14.1" customHeight="1">
      <c r="A21" s="287" t="s">
        <v>120</v>
      </c>
      <c r="B21" s="420">
        <v>363614</v>
      </c>
      <c r="C21" s="420">
        <v>370161</v>
      </c>
      <c r="D21"/>
      <c r="E21" s="555">
        <v>120362</v>
      </c>
      <c r="F21" s="420">
        <v>120362</v>
      </c>
      <c r="G21" s="420">
        <v>0</v>
      </c>
    </row>
    <row r="22" spans="1:7" ht="14.1" customHeight="1">
      <c r="A22" s="18" t="s">
        <v>121</v>
      </c>
      <c r="B22" s="421">
        <v>410669</v>
      </c>
      <c r="C22" s="421">
        <v>386819</v>
      </c>
      <c r="D22"/>
      <c r="E22" s="556">
        <v>229233</v>
      </c>
      <c r="F22" s="421">
        <v>229233</v>
      </c>
      <c r="G22" s="421">
        <v>0</v>
      </c>
    </row>
    <row r="23" spans="1:7" ht="14.1" customHeight="1">
      <c r="A23" s="287" t="s">
        <v>122</v>
      </c>
      <c r="B23" s="420">
        <v>385535</v>
      </c>
      <c r="C23" s="420">
        <v>389126</v>
      </c>
      <c r="D23"/>
      <c r="E23" s="555">
        <v>177793</v>
      </c>
      <c r="F23" s="420">
        <v>157274</v>
      </c>
      <c r="G23" s="420">
        <v>20519</v>
      </c>
    </row>
    <row r="24" spans="1:7" ht="14.1" customHeight="1">
      <c r="A24" s="18" t="s">
        <v>123</v>
      </c>
      <c r="B24" s="421">
        <v>1186847</v>
      </c>
      <c r="C24" s="421">
        <v>1187951</v>
      </c>
      <c r="D24"/>
      <c r="E24" s="556">
        <v>356963</v>
      </c>
      <c r="F24" s="421">
        <v>356963</v>
      </c>
      <c r="G24" s="421">
        <v>0</v>
      </c>
    </row>
    <row r="25" spans="1:7" ht="14.1" customHeight="1">
      <c r="A25" s="287" t="s">
        <v>124</v>
      </c>
      <c r="B25" s="420">
        <v>2442392</v>
      </c>
      <c r="C25" s="420">
        <v>2304168</v>
      </c>
      <c r="D25"/>
      <c r="E25" s="555">
        <v>737251</v>
      </c>
      <c r="F25" s="420">
        <v>737251</v>
      </c>
      <c r="G25" s="420">
        <v>0</v>
      </c>
    </row>
    <row r="26" spans="1:7" ht="14.1" customHeight="1">
      <c r="A26" s="18" t="s">
        <v>125</v>
      </c>
      <c r="B26" s="421">
        <v>847367</v>
      </c>
      <c r="C26" s="421">
        <v>912566</v>
      </c>
      <c r="D26"/>
      <c r="E26" s="556">
        <v>438038</v>
      </c>
      <c r="F26" s="421">
        <v>438038</v>
      </c>
      <c r="G26" s="421">
        <v>0</v>
      </c>
    </row>
    <row r="27" spans="1:7" ht="14.1" customHeight="1">
      <c r="A27" s="287" t="s">
        <v>126</v>
      </c>
      <c r="B27" s="420">
        <v>339209</v>
      </c>
      <c r="C27" s="420">
        <v>341889</v>
      </c>
      <c r="D27"/>
      <c r="E27" s="555">
        <v>112110</v>
      </c>
      <c r="F27" s="420">
        <v>112110</v>
      </c>
      <c r="G27" s="420">
        <v>0</v>
      </c>
    </row>
    <row r="28" spans="1:7" ht="14.1" customHeight="1">
      <c r="A28" s="18" t="s">
        <v>127</v>
      </c>
      <c r="B28" s="421">
        <v>1088163</v>
      </c>
      <c r="C28" s="421">
        <v>1082240</v>
      </c>
      <c r="D28"/>
      <c r="E28" s="556">
        <v>255842</v>
      </c>
      <c r="F28" s="421">
        <v>255842</v>
      </c>
      <c r="G28" s="421">
        <v>0</v>
      </c>
    </row>
    <row r="29" spans="1:7" ht="14.1" customHeight="1">
      <c r="A29" s="287" t="s">
        <v>128</v>
      </c>
      <c r="B29" s="420">
        <v>1081151</v>
      </c>
      <c r="C29" s="420">
        <v>1087149</v>
      </c>
      <c r="D29"/>
      <c r="E29" s="555">
        <v>601023</v>
      </c>
      <c r="F29" s="420">
        <v>601023</v>
      </c>
      <c r="G29" s="420">
        <v>0</v>
      </c>
    </row>
    <row r="30" spans="1:7" ht="14.1" customHeight="1">
      <c r="A30" s="18" t="s">
        <v>129</v>
      </c>
      <c r="B30" s="421">
        <v>314754</v>
      </c>
      <c r="C30" s="421">
        <v>297093</v>
      </c>
      <c r="D30"/>
      <c r="E30" s="556">
        <v>45753</v>
      </c>
      <c r="F30" s="421">
        <v>45753</v>
      </c>
      <c r="G30" s="421">
        <v>0</v>
      </c>
    </row>
    <row r="31" spans="1:7" ht="14.1" customHeight="1">
      <c r="A31" s="287" t="s">
        <v>130</v>
      </c>
      <c r="B31" s="420">
        <v>1789232</v>
      </c>
      <c r="C31" s="420">
        <v>1744397</v>
      </c>
      <c r="D31"/>
      <c r="E31" s="555">
        <v>289539</v>
      </c>
      <c r="F31" s="420">
        <v>289539</v>
      </c>
      <c r="G31" s="420">
        <v>0</v>
      </c>
    </row>
    <row r="32" spans="1:7" ht="14.1" customHeight="1">
      <c r="A32" s="18" t="s">
        <v>131</v>
      </c>
      <c r="B32" s="421">
        <v>546537</v>
      </c>
      <c r="C32" s="421">
        <v>638915</v>
      </c>
      <c r="D32"/>
      <c r="E32" s="556">
        <v>261274</v>
      </c>
      <c r="F32" s="421">
        <v>123364</v>
      </c>
      <c r="G32" s="421">
        <v>137910</v>
      </c>
    </row>
    <row r="33" spans="1:7" ht="14.1" customHeight="1">
      <c r="A33" s="287" t="s">
        <v>132</v>
      </c>
      <c r="B33" s="420">
        <v>582364</v>
      </c>
      <c r="C33" s="420">
        <v>601040</v>
      </c>
      <c r="D33"/>
      <c r="E33" s="555">
        <v>173489</v>
      </c>
      <c r="F33" s="420">
        <v>173489</v>
      </c>
      <c r="G33" s="420">
        <v>0</v>
      </c>
    </row>
    <row r="34" spans="1:7" ht="14.1" customHeight="1">
      <c r="A34" s="18" t="s">
        <v>133</v>
      </c>
      <c r="B34" s="421">
        <v>638376</v>
      </c>
      <c r="C34" s="421">
        <v>630946</v>
      </c>
      <c r="D34"/>
      <c r="E34" s="556">
        <v>163016</v>
      </c>
      <c r="F34" s="421">
        <v>163016</v>
      </c>
      <c r="G34" s="421">
        <v>0</v>
      </c>
    </row>
    <row r="35" spans="1:7" ht="14.1" customHeight="1">
      <c r="A35" s="287" t="s">
        <v>134</v>
      </c>
      <c r="B35" s="420">
        <v>768450</v>
      </c>
      <c r="C35" s="420">
        <v>761885</v>
      </c>
      <c r="D35"/>
      <c r="E35" s="555">
        <v>332468</v>
      </c>
      <c r="F35" s="420">
        <v>332468</v>
      </c>
      <c r="G35" s="420">
        <v>0</v>
      </c>
    </row>
    <row r="36" spans="1:7" ht="14.1" customHeight="1">
      <c r="A36" s="18" t="s">
        <v>135</v>
      </c>
      <c r="B36" s="421">
        <v>585470</v>
      </c>
      <c r="C36" s="421">
        <v>588037</v>
      </c>
      <c r="D36"/>
      <c r="E36" s="556">
        <v>194220</v>
      </c>
      <c r="F36" s="421">
        <v>194220</v>
      </c>
      <c r="G36" s="421">
        <v>0</v>
      </c>
    </row>
    <row r="37" spans="1:7" ht="14.1" customHeight="1">
      <c r="A37" s="287" t="s">
        <v>136</v>
      </c>
      <c r="B37" s="420">
        <v>740923</v>
      </c>
      <c r="C37" s="420">
        <v>780634</v>
      </c>
      <c r="D37"/>
      <c r="E37" s="555">
        <v>329372</v>
      </c>
      <c r="F37" s="420">
        <v>329372</v>
      </c>
      <c r="G37" s="420">
        <v>0</v>
      </c>
    </row>
    <row r="38" spans="1:7" ht="14.1" customHeight="1">
      <c r="A38" s="18" t="s">
        <v>137</v>
      </c>
      <c r="B38" s="421">
        <v>32503</v>
      </c>
      <c r="C38" s="421">
        <v>70791</v>
      </c>
      <c r="D38"/>
      <c r="E38" s="556">
        <v>209520</v>
      </c>
      <c r="F38" s="421">
        <v>209520</v>
      </c>
      <c r="G38" s="421">
        <v>0</v>
      </c>
    </row>
    <row r="39" spans="1:7" ht="14.1" customHeight="1">
      <c r="A39" s="287" t="s">
        <v>138</v>
      </c>
      <c r="B39" s="420">
        <v>476928</v>
      </c>
      <c r="C39" s="420">
        <v>513579</v>
      </c>
      <c r="D39"/>
      <c r="E39" s="555">
        <v>219187</v>
      </c>
      <c r="F39" s="420">
        <v>219187</v>
      </c>
      <c r="G39" s="420">
        <v>0</v>
      </c>
    </row>
    <row r="40" spans="1:7" ht="14.1" customHeight="1">
      <c r="A40" s="18" t="s">
        <v>139</v>
      </c>
      <c r="B40" s="421">
        <v>762135</v>
      </c>
      <c r="C40" s="421">
        <v>815775</v>
      </c>
      <c r="D40"/>
      <c r="E40" s="556">
        <v>388355</v>
      </c>
      <c r="F40" s="421">
        <v>388355</v>
      </c>
      <c r="G40" s="421">
        <v>0</v>
      </c>
    </row>
    <row r="41" spans="1:7" ht="14.1" customHeight="1">
      <c r="A41" s="287" t="s">
        <v>140</v>
      </c>
      <c r="B41" s="420">
        <v>990277</v>
      </c>
      <c r="C41" s="420">
        <v>1067804</v>
      </c>
      <c r="D41"/>
      <c r="E41" s="555">
        <v>515258</v>
      </c>
      <c r="F41" s="420">
        <v>472207</v>
      </c>
      <c r="G41" s="420">
        <v>43051</v>
      </c>
    </row>
    <row r="42" spans="1:7" ht="14.1" customHeight="1">
      <c r="A42" s="18" t="s">
        <v>141</v>
      </c>
      <c r="B42" s="421">
        <v>496579</v>
      </c>
      <c r="C42" s="421">
        <v>498923</v>
      </c>
      <c r="D42"/>
      <c r="E42" s="556">
        <v>131111</v>
      </c>
      <c r="F42" s="421">
        <v>131111</v>
      </c>
      <c r="G42" s="421">
        <v>0</v>
      </c>
    </row>
    <row r="43" spans="1:7" ht="14.1" customHeight="1">
      <c r="A43" s="287" t="s">
        <v>142</v>
      </c>
      <c r="B43" s="420">
        <v>300855</v>
      </c>
      <c r="C43" s="420">
        <v>266073</v>
      </c>
      <c r="D43"/>
      <c r="E43" s="555">
        <v>87072</v>
      </c>
      <c r="F43" s="420">
        <v>87072</v>
      </c>
      <c r="G43" s="420">
        <v>0</v>
      </c>
    </row>
    <row r="44" spans="1:7" ht="14.1" customHeight="1">
      <c r="A44" s="18" t="s">
        <v>143</v>
      </c>
      <c r="B44" s="421">
        <v>285969</v>
      </c>
      <c r="C44" s="421">
        <v>287118</v>
      </c>
      <c r="D44"/>
      <c r="E44" s="556">
        <v>89771</v>
      </c>
      <c r="F44" s="421">
        <v>89771</v>
      </c>
      <c r="G44" s="421">
        <v>0</v>
      </c>
    </row>
    <row r="45" spans="1:7" ht="14.1" customHeight="1">
      <c r="A45" s="287" t="s">
        <v>144</v>
      </c>
      <c r="B45" s="420">
        <v>152395</v>
      </c>
      <c r="C45" s="420">
        <v>150590</v>
      </c>
      <c r="D45"/>
      <c r="E45" s="555">
        <v>19420</v>
      </c>
      <c r="F45" s="420">
        <v>19420</v>
      </c>
      <c r="G45" s="420">
        <v>0</v>
      </c>
    </row>
    <row r="46" spans="1:7" ht="14.1" customHeight="1">
      <c r="A46" s="18" t="s">
        <v>145</v>
      </c>
      <c r="B46" s="421">
        <v>1083303</v>
      </c>
      <c r="C46" s="421">
        <v>1062719</v>
      </c>
      <c r="D46"/>
      <c r="E46" s="556">
        <v>3672863</v>
      </c>
      <c r="F46" s="421">
        <v>44037</v>
      </c>
      <c r="G46" s="421">
        <v>3628826</v>
      </c>
    </row>
    <row r="47" spans="1:7" ht="5.0999999999999996" customHeight="1">
      <c r="A47" s="20"/>
      <c r="B47" s="21"/>
      <c r="C47" s="21"/>
      <c r="D47"/>
      <c r="E47" s="21"/>
      <c r="F47" s="21"/>
      <c r="G47" s="21"/>
    </row>
    <row r="48" spans="1:7" ht="14.1" customHeight="1">
      <c r="A48" s="289" t="s">
        <v>146</v>
      </c>
      <c r="B48" s="424">
        <f>SUM(B11:B46)</f>
        <v>28013583</v>
      </c>
      <c r="C48" s="424">
        <f>SUM(C11:C46)</f>
        <v>28303354</v>
      </c>
      <c r="D48"/>
      <c r="E48" s="424">
        <f>SUM(E11:E46)</f>
        <v>14601398</v>
      </c>
      <c r="F48" s="424">
        <f>SUM(F11:F46)</f>
        <v>9269185</v>
      </c>
      <c r="G48" s="424">
        <f>SUM(G11:G46)</f>
        <v>5332213</v>
      </c>
    </row>
    <row r="49" spans="1:8" ht="5.0999999999999996" customHeight="1">
      <c r="A49" s="20" t="s">
        <v>8</v>
      </c>
      <c r="B49" s="21"/>
      <c r="C49" s="21"/>
      <c r="D49"/>
      <c r="E49" s="21"/>
      <c r="F49" s="21"/>
      <c r="G49" s="21"/>
    </row>
    <row r="50" spans="1:8" ht="14.1" customHeight="1">
      <c r="A50" s="18" t="s">
        <v>147</v>
      </c>
      <c r="B50" s="421">
        <v>86522</v>
      </c>
      <c r="C50" s="421">
        <v>77281</v>
      </c>
      <c r="D50"/>
      <c r="E50" s="556">
        <v>11588</v>
      </c>
      <c r="F50" s="421">
        <v>11588</v>
      </c>
      <c r="G50" s="421">
        <v>0</v>
      </c>
    </row>
    <row r="51" spans="1:8" ht="14.1" customHeight="1">
      <c r="A51" s="287" t="s">
        <v>643</v>
      </c>
      <c r="B51" s="420">
        <v>10676</v>
      </c>
      <c r="C51" s="420">
        <v>59200</v>
      </c>
      <c r="D51"/>
      <c r="E51" s="555">
        <v>55007</v>
      </c>
      <c r="F51" s="420">
        <v>0</v>
      </c>
      <c r="G51" s="420">
        <v>55007</v>
      </c>
    </row>
    <row r="52" spans="1:8" ht="50.1" customHeight="1">
      <c r="A52" s="22"/>
      <c r="B52" s="22"/>
      <c r="C52" s="22"/>
      <c r="D52" s="508"/>
      <c r="E52" s="22"/>
      <c r="F52" s="508"/>
      <c r="G52" s="22"/>
      <c r="H52" s="22"/>
    </row>
    <row r="53" spans="1:8" ht="15" customHeight="1">
      <c r="A53" s="736" t="s">
        <v>578</v>
      </c>
      <c r="B53" s="736"/>
      <c r="C53" s="736"/>
      <c r="D53" s="736"/>
      <c r="E53" s="736"/>
      <c r="F53" s="736"/>
      <c r="G53" s="736"/>
      <c r="H53" s="736"/>
    </row>
    <row r="54" spans="1:8">
      <c r="A54" s="737"/>
      <c r="B54" s="737"/>
      <c r="C54" s="737"/>
      <c r="D54" s="737"/>
      <c r="E54" s="737"/>
      <c r="F54" s="737"/>
      <c r="G54" s="737"/>
      <c r="H54" s="737"/>
    </row>
    <row r="55" spans="1:8">
      <c r="A55" s="737"/>
      <c r="B55" s="737"/>
      <c r="C55" s="737"/>
      <c r="D55" s="737"/>
      <c r="E55" s="737"/>
      <c r="F55" s="737"/>
      <c r="G55" s="737"/>
      <c r="H55" s="737"/>
    </row>
  </sheetData>
  <mergeCells count="9">
    <mergeCell ref="A53:H55"/>
    <mergeCell ref="F6:G6"/>
    <mergeCell ref="A3:H3"/>
    <mergeCell ref="A2:E2"/>
    <mergeCell ref="B8:B9"/>
    <mergeCell ref="C8:C9"/>
    <mergeCell ref="G8:G9"/>
    <mergeCell ref="F7:F9"/>
    <mergeCell ref="E6:E9"/>
  </mergeCells>
  <phoneticPr fontId="6" type="noConversion"/>
  <pageMargins left="0.5" right="0.5" top="0.6" bottom="0.2" header="0.3" footer="0.5"/>
  <pageSetup scale="87" orientation="portrait" r:id="rId1"/>
  <headerFooter alignWithMargins="0">
    <oddHeader>&amp;C&amp;"Arial,Regular"&amp;11&amp;A</oddHeader>
  </headerFooter>
</worksheet>
</file>

<file path=xl/worksheets/sheet45.xml><?xml version="1.0" encoding="utf-8"?>
<worksheet xmlns="http://schemas.openxmlformats.org/spreadsheetml/2006/main" xmlns:r="http://schemas.openxmlformats.org/officeDocument/2006/relationships">
  <sheetPr codeName="Sheet58">
    <pageSetUpPr fitToPage="1"/>
  </sheetPr>
  <dimension ref="A1:E56"/>
  <sheetViews>
    <sheetView showGridLines="0" showZeros="0" workbookViewId="0"/>
  </sheetViews>
  <sheetFormatPr defaultColWidth="19.83203125" defaultRowHeight="12"/>
  <cols>
    <col min="1" max="1" width="31.33203125" style="1" customWidth="1"/>
    <col min="2" max="2" width="22.1640625" style="1" customWidth="1"/>
    <col min="3" max="3" width="32.1640625" style="1" customWidth="1"/>
    <col min="4" max="4" width="24.6640625" style="1" customWidth="1"/>
    <col min="5" max="5" width="22.83203125" style="1" customWidth="1"/>
    <col min="6" max="16384" width="19.83203125" style="1"/>
  </cols>
  <sheetData>
    <row r="1" spans="1:5" ht="6.95" customHeight="1">
      <c r="A1" s="6"/>
      <c r="B1" s="6"/>
    </row>
    <row r="2" spans="1:5" ht="15.95" customHeight="1">
      <c r="A2" s="730" t="str">
        <f>+'- 49 -'!A2:E2</f>
        <v>SPECIAL PURPOSE FUND 2014/2015 ACTUAL</v>
      </c>
      <c r="B2" s="730"/>
      <c r="C2" s="730"/>
      <c r="D2" s="730"/>
      <c r="E2" s="730"/>
    </row>
    <row r="3" spans="1:5" ht="15.95" customHeight="1">
      <c r="A3" s="731" t="s">
        <v>381</v>
      </c>
      <c r="B3" s="731"/>
      <c r="C3" s="731"/>
      <c r="D3" s="731"/>
      <c r="E3" s="731"/>
    </row>
    <row r="4" spans="1:5" ht="15.95" customHeight="1">
      <c r="B4" s="7"/>
      <c r="C4" s="7"/>
      <c r="D4" s="7"/>
      <c r="E4" s="183"/>
    </row>
    <row r="5" spans="1:5" ht="15.95" customHeight="1">
      <c r="B5"/>
      <c r="C5"/>
      <c r="D5"/>
      <c r="E5"/>
    </row>
    <row r="6" spans="1:5" ht="15.95" customHeight="1">
      <c r="B6"/>
      <c r="C6"/>
      <c r="D6"/>
    </row>
    <row r="7" spans="1:5" ht="15.95" customHeight="1">
      <c r="B7" s="512"/>
      <c r="C7" s="734" t="s">
        <v>271</v>
      </c>
      <c r="D7" s="735"/>
    </row>
    <row r="8" spans="1:5" ht="18.75" customHeight="1">
      <c r="A8" s="406"/>
      <c r="B8" s="755" t="s">
        <v>579</v>
      </c>
      <c r="C8" s="757" t="s">
        <v>580</v>
      </c>
      <c r="D8" s="759" t="s">
        <v>645</v>
      </c>
    </row>
    <row r="9" spans="1:5" ht="23.25" customHeight="1">
      <c r="A9" s="407" t="s">
        <v>43</v>
      </c>
      <c r="B9" s="756"/>
      <c r="C9" s="758"/>
      <c r="D9" s="760"/>
    </row>
    <row r="10" spans="1:5" ht="5.0999999999999996" customHeight="1">
      <c r="A10" s="5"/>
      <c r="C10" s="6"/>
      <c r="D10" s="206"/>
    </row>
    <row r="11" spans="1:5" ht="14.1" customHeight="1">
      <c r="A11" s="287" t="s">
        <v>111</v>
      </c>
      <c r="B11" s="422">
        <f t="shared" ref="B11:B46" si="0">C11+D11</f>
        <v>302614</v>
      </c>
      <c r="C11" s="420">
        <f>+'- 49 -'!F11</f>
        <v>248545</v>
      </c>
      <c r="D11" s="420">
        <v>54069</v>
      </c>
    </row>
    <row r="12" spans="1:5" ht="14.1" customHeight="1">
      <c r="A12" s="18" t="s">
        <v>112</v>
      </c>
      <c r="B12" s="423">
        <f t="shared" si="0"/>
        <v>293250</v>
      </c>
      <c r="C12" s="421">
        <f>+'- 49 -'!F12</f>
        <v>293250</v>
      </c>
      <c r="D12" s="421">
        <v>0</v>
      </c>
    </row>
    <row r="13" spans="1:5" ht="14.1" customHeight="1">
      <c r="A13" s="287" t="s">
        <v>113</v>
      </c>
      <c r="B13" s="422">
        <f t="shared" si="0"/>
        <v>965885</v>
      </c>
      <c r="C13" s="420">
        <f>+'- 49 -'!F13</f>
        <v>691270</v>
      </c>
      <c r="D13" s="420">
        <v>274615</v>
      </c>
    </row>
    <row r="14" spans="1:5" ht="14.1" customHeight="1">
      <c r="A14" s="18" t="s">
        <v>148</v>
      </c>
      <c r="B14" s="423">
        <f t="shared" si="0"/>
        <v>836922</v>
      </c>
      <c r="C14" s="421">
        <f>+'- 49 -'!F14</f>
        <v>594662</v>
      </c>
      <c r="D14" s="421">
        <v>242260</v>
      </c>
    </row>
    <row r="15" spans="1:5" ht="14.1" customHeight="1">
      <c r="A15" s="287" t="s">
        <v>114</v>
      </c>
      <c r="B15" s="422">
        <f t="shared" si="0"/>
        <v>190682</v>
      </c>
      <c r="C15" s="420">
        <f>+'- 49 -'!F15</f>
        <v>158274</v>
      </c>
      <c r="D15" s="420">
        <v>32408</v>
      </c>
    </row>
    <row r="16" spans="1:5" ht="14.1" customHeight="1">
      <c r="A16" s="18" t="s">
        <v>115</v>
      </c>
      <c r="B16" s="423">
        <f t="shared" si="0"/>
        <v>176649</v>
      </c>
      <c r="C16" s="421">
        <f>+'- 49 -'!F16</f>
        <v>36331</v>
      </c>
      <c r="D16" s="421">
        <v>140318</v>
      </c>
    </row>
    <row r="17" spans="1:4" ht="14.1" customHeight="1">
      <c r="A17" s="287" t="s">
        <v>116</v>
      </c>
      <c r="B17" s="422">
        <f t="shared" si="0"/>
        <v>297098</v>
      </c>
      <c r="C17" s="420">
        <f>+'- 49 -'!F17</f>
        <v>279466</v>
      </c>
      <c r="D17" s="420">
        <v>17632</v>
      </c>
    </row>
    <row r="18" spans="1:4" ht="14.1" customHeight="1">
      <c r="A18" s="18" t="s">
        <v>117</v>
      </c>
      <c r="B18" s="423">
        <f t="shared" si="0"/>
        <v>456241</v>
      </c>
      <c r="C18" s="421">
        <f>+'- 49 -'!F18</f>
        <v>116345</v>
      </c>
      <c r="D18" s="421">
        <v>339896</v>
      </c>
    </row>
    <row r="19" spans="1:4" ht="14.1" customHeight="1">
      <c r="A19" s="287" t="s">
        <v>118</v>
      </c>
      <c r="B19" s="422">
        <f t="shared" si="0"/>
        <v>81583</v>
      </c>
      <c r="C19" s="420">
        <f>+'- 49 -'!F19</f>
        <v>81583</v>
      </c>
      <c r="D19" s="420">
        <v>0</v>
      </c>
    </row>
    <row r="20" spans="1:4" ht="14.1" customHeight="1">
      <c r="A20" s="18" t="s">
        <v>119</v>
      </c>
      <c r="B20" s="423">
        <f t="shared" si="0"/>
        <v>579574</v>
      </c>
      <c r="C20" s="421">
        <f>+'- 49 -'!F20</f>
        <v>449462</v>
      </c>
      <c r="D20" s="421">
        <v>130112</v>
      </c>
    </row>
    <row r="21" spans="1:4" ht="14.1" customHeight="1">
      <c r="A21" s="287" t="s">
        <v>120</v>
      </c>
      <c r="B21" s="422">
        <f t="shared" si="0"/>
        <v>208456</v>
      </c>
      <c r="C21" s="420">
        <f>+'- 49 -'!F21</f>
        <v>120362</v>
      </c>
      <c r="D21" s="420">
        <v>88094</v>
      </c>
    </row>
    <row r="22" spans="1:4" ht="14.1" customHeight="1">
      <c r="A22" s="18" t="s">
        <v>121</v>
      </c>
      <c r="B22" s="423">
        <f t="shared" si="0"/>
        <v>286540</v>
      </c>
      <c r="C22" s="421">
        <f>+'- 49 -'!F22</f>
        <v>229233</v>
      </c>
      <c r="D22" s="421">
        <v>57307</v>
      </c>
    </row>
    <row r="23" spans="1:4" ht="14.1" customHeight="1">
      <c r="A23" s="287" t="s">
        <v>122</v>
      </c>
      <c r="B23" s="422">
        <f t="shared" si="0"/>
        <v>157274</v>
      </c>
      <c r="C23" s="420">
        <f>+'- 49 -'!F23</f>
        <v>157274</v>
      </c>
      <c r="D23" s="420">
        <v>0</v>
      </c>
    </row>
    <row r="24" spans="1:4" ht="14.1" customHeight="1">
      <c r="A24" s="18" t="s">
        <v>123</v>
      </c>
      <c r="B24" s="423">
        <f t="shared" si="0"/>
        <v>406941</v>
      </c>
      <c r="C24" s="421">
        <f>+'- 49 -'!F24</f>
        <v>356963</v>
      </c>
      <c r="D24" s="421">
        <v>49978</v>
      </c>
    </row>
    <row r="25" spans="1:4" ht="14.1" customHeight="1">
      <c r="A25" s="287" t="s">
        <v>124</v>
      </c>
      <c r="B25" s="422">
        <f t="shared" si="0"/>
        <v>1477484</v>
      </c>
      <c r="C25" s="420">
        <f>+'- 49 -'!F25</f>
        <v>737251</v>
      </c>
      <c r="D25" s="420">
        <v>740233</v>
      </c>
    </row>
    <row r="26" spans="1:4" ht="14.1" customHeight="1">
      <c r="A26" s="18" t="s">
        <v>125</v>
      </c>
      <c r="B26" s="423">
        <f t="shared" si="0"/>
        <v>468203</v>
      </c>
      <c r="C26" s="421">
        <f>+'- 49 -'!F26</f>
        <v>438038</v>
      </c>
      <c r="D26" s="421">
        <v>30165</v>
      </c>
    </row>
    <row r="27" spans="1:4" ht="14.1" customHeight="1">
      <c r="A27" s="287" t="s">
        <v>126</v>
      </c>
      <c r="B27" s="422">
        <f t="shared" si="0"/>
        <v>294249</v>
      </c>
      <c r="C27" s="420">
        <f>+'- 49 -'!F27</f>
        <v>112110</v>
      </c>
      <c r="D27" s="420">
        <v>182139</v>
      </c>
    </row>
    <row r="28" spans="1:4" ht="14.1" customHeight="1">
      <c r="A28" s="18" t="s">
        <v>127</v>
      </c>
      <c r="B28" s="423">
        <f t="shared" si="0"/>
        <v>255842</v>
      </c>
      <c r="C28" s="421">
        <f>+'- 49 -'!F28</f>
        <v>255842</v>
      </c>
      <c r="D28" s="421">
        <v>0</v>
      </c>
    </row>
    <row r="29" spans="1:4" ht="14.1" customHeight="1">
      <c r="A29" s="287" t="s">
        <v>128</v>
      </c>
      <c r="B29" s="422">
        <f t="shared" si="0"/>
        <v>1572780</v>
      </c>
      <c r="C29" s="420">
        <f>+'- 49 -'!F29</f>
        <v>601023</v>
      </c>
      <c r="D29" s="420">
        <v>971757</v>
      </c>
    </row>
    <row r="30" spans="1:4" ht="14.1" customHeight="1">
      <c r="A30" s="18" t="s">
        <v>129</v>
      </c>
      <c r="B30" s="423">
        <f t="shared" si="0"/>
        <v>45753</v>
      </c>
      <c r="C30" s="421">
        <f>+'- 49 -'!F30</f>
        <v>45753</v>
      </c>
      <c r="D30" s="421">
        <v>0</v>
      </c>
    </row>
    <row r="31" spans="1:4" ht="14.1" customHeight="1">
      <c r="A31" s="287" t="s">
        <v>130</v>
      </c>
      <c r="B31" s="422">
        <f t="shared" si="0"/>
        <v>488720</v>
      </c>
      <c r="C31" s="420">
        <f>+'- 49 -'!F31</f>
        <v>289539</v>
      </c>
      <c r="D31" s="420">
        <v>199181</v>
      </c>
    </row>
    <row r="32" spans="1:4" ht="14.1" customHeight="1">
      <c r="A32" s="18" t="s">
        <v>131</v>
      </c>
      <c r="B32" s="423">
        <f t="shared" si="0"/>
        <v>152210</v>
      </c>
      <c r="C32" s="421">
        <f>+'- 49 -'!F32</f>
        <v>123364</v>
      </c>
      <c r="D32" s="421">
        <v>28846</v>
      </c>
    </row>
    <row r="33" spans="1:4" ht="14.1" customHeight="1">
      <c r="A33" s="287" t="s">
        <v>132</v>
      </c>
      <c r="B33" s="422">
        <f t="shared" si="0"/>
        <v>230776</v>
      </c>
      <c r="C33" s="420">
        <f>+'- 49 -'!F33</f>
        <v>173489</v>
      </c>
      <c r="D33" s="420">
        <v>57287</v>
      </c>
    </row>
    <row r="34" spans="1:4" ht="14.1" customHeight="1">
      <c r="A34" s="18" t="s">
        <v>133</v>
      </c>
      <c r="B34" s="423">
        <f t="shared" si="0"/>
        <v>184130</v>
      </c>
      <c r="C34" s="421">
        <f>+'- 49 -'!F34</f>
        <v>163016</v>
      </c>
      <c r="D34" s="421">
        <v>21114</v>
      </c>
    </row>
    <row r="35" spans="1:4" ht="14.1" customHeight="1">
      <c r="A35" s="287" t="s">
        <v>134</v>
      </c>
      <c r="B35" s="422">
        <f t="shared" si="0"/>
        <v>1819481</v>
      </c>
      <c r="C35" s="420">
        <f>+'- 49 -'!F35</f>
        <v>332468</v>
      </c>
      <c r="D35" s="420">
        <v>1487013</v>
      </c>
    </row>
    <row r="36" spans="1:4" ht="14.1" customHeight="1">
      <c r="A36" s="18" t="s">
        <v>135</v>
      </c>
      <c r="B36" s="423">
        <f t="shared" si="0"/>
        <v>194220</v>
      </c>
      <c r="C36" s="421">
        <f>+'- 49 -'!F36</f>
        <v>194220</v>
      </c>
      <c r="D36" s="421">
        <v>0</v>
      </c>
    </row>
    <row r="37" spans="1:4" ht="14.1" customHeight="1">
      <c r="A37" s="287" t="s">
        <v>136</v>
      </c>
      <c r="B37" s="422">
        <f t="shared" si="0"/>
        <v>375349</v>
      </c>
      <c r="C37" s="420">
        <f>+'- 49 -'!F37</f>
        <v>329372</v>
      </c>
      <c r="D37" s="420">
        <v>45977</v>
      </c>
    </row>
    <row r="38" spans="1:4" ht="14.1" customHeight="1">
      <c r="A38" s="18" t="s">
        <v>137</v>
      </c>
      <c r="B38" s="423">
        <f t="shared" si="0"/>
        <v>622447</v>
      </c>
      <c r="C38" s="421">
        <f>+'- 49 -'!F38</f>
        <v>209520</v>
      </c>
      <c r="D38" s="421">
        <v>412927</v>
      </c>
    </row>
    <row r="39" spans="1:4" ht="14.1" customHeight="1">
      <c r="A39" s="287" t="s">
        <v>138</v>
      </c>
      <c r="B39" s="422">
        <f t="shared" si="0"/>
        <v>219187</v>
      </c>
      <c r="C39" s="420">
        <f>+'- 49 -'!F39</f>
        <v>219187</v>
      </c>
      <c r="D39" s="420">
        <v>0</v>
      </c>
    </row>
    <row r="40" spans="1:4" ht="14.1" customHeight="1">
      <c r="A40" s="18" t="s">
        <v>139</v>
      </c>
      <c r="B40" s="423">
        <f t="shared" si="0"/>
        <v>546150</v>
      </c>
      <c r="C40" s="421">
        <f>+'- 49 -'!F40</f>
        <v>388355</v>
      </c>
      <c r="D40" s="421">
        <v>157795</v>
      </c>
    </row>
    <row r="41" spans="1:4" ht="14.1" customHeight="1">
      <c r="A41" s="287" t="s">
        <v>140</v>
      </c>
      <c r="B41" s="422">
        <f t="shared" si="0"/>
        <v>532366</v>
      </c>
      <c r="C41" s="420">
        <f>+'- 49 -'!F41</f>
        <v>472207</v>
      </c>
      <c r="D41" s="420">
        <v>60159</v>
      </c>
    </row>
    <row r="42" spans="1:4" ht="14.1" customHeight="1">
      <c r="A42" s="18" t="s">
        <v>141</v>
      </c>
      <c r="B42" s="423">
        <f t="shared" si="0"/>
        <v>133056</v>
      </c>
      <c r="C42" s="421">
        <f>+'- 49 -'!F42</f>
        <v>131111</v>
      </c>
      <c r="D42" s="421">
        <v>1945</v>
      </c>
    </row>
    <row r="43" spans="1:4" ht="14.1" customHeight="1">
      <c r="A43" s="287" t="s">
        <v>142</v>
      </c>
      <c r="B43" s="422">
        <f t="shared" si="0"/>
        <v>194594</v>
      </c>
      <c r="C43" s="420">
        <f>+'- 49 -'!F43</f>
        <v>87072</v>
      </c>
      <c r="D43" s="420">
        <v>107522</v>
      </c>
    </row>
    <row r="44" spans="1:4" ht="14.1" customHeight="1">
      <c r="A44" s="18" t="s">
        <v>143</v>
      </c>
      <c r="B44" s="423">
        <f t="shared" si="0"/>
        <v>89771</v>
      </c>
      <c r="C44" s="421">
        <f>+'- 49 -'!F44</f>
        <v>89771</v>
      </c>
      <c r="D44" s="421">
        <v>0</v>
      </c>
    </row>
    <row r="45" spans="1:4" ht="14.1" customHeight="1">
      <c r="A45" s="287" t="s">
        <v>144</v>
      </c>
      <c r="B45" s="422">
        <f t="shared" si="0"/>
        <v>92210</v>
      </c>
      <c r="C45" s="420">
        <f>+'- 49 -'!F45</f>
        <v>19420</v>
      </c>
      <c r="D45" s="420">
        <v>72790</v>
      </c>
    </row>
    <row r="46" spans="1:4" ht="14.1" customHeight="1">
      <c r="A46" s="18" t="s">
        <v>145</v>
      </c>
      <c r="B46" s="423">
        <f t="shared" si="0"/>
        <v>2558069</v>
      </c>
      <c r="C46" s="421">
        <f>+'- 49 -'!F46</f>
        <v>44037</v>
      </c>
      <c r="D46" s="421">
        <v>2514032</v>
      </c>
    </row>
    <row r="47" spans="1:4" ht="5.0999999999999996" customHeight="1">
      <c r="A47" s="20"/>
      <c r="B47" s="21"/>
      <c r="C47" s="21"/>
      <c r="D47" s="21"/>
    </row>
    <row r="48" spans="1:4" ht="14.1" customHeight="1">
      <c r="A48" s="289" t="s">
        <v>146</v>
      </c>
      <c r="B48" s="425">
        <f>SUM(B11:B46)</f>
        <v>17786756</v>
      </c>
      <c r="C48" s="424">
        <f>SUM(C11:C46)</f>
        <v>9269185</v>
      </c>
      <c r="D48" s="424">
        <f>SUM(D11:D46)</f>
        <v>8517571</v>
      </c>
    </row>
    <row r="49" spans="1:5" ht="5.0999999999999996" customHeight="1">
      <c r="A49" s="20" t="s">
        <v>8</v>
      </c>
      <c r="B49" s="21"/>
      <c r="C49" s="21"/>
      <c r="D49" s="21"/>
    </row>
    <row r="50" spans="1:5" ht="14.1" customHeight="1">
      <c r="A50" s="18" t="s">
        <v>147</v>
      </c>
      <c r="B50" s="423">
        <f>C50+D50</f>
        <v>11588</v>
      </c>
      <c r="C50" s="421">
        <f>+'- 49 -'!F50</f>
        <v>11588</v>
      </c>
      <c r="D50" s="421">
        <v>0</v>
      </c>
    </row>
    <row r="51" spans="1:5" ht="14.1" customHeight="1">
      <c r="A51" s="287" t="s">
        <v>643</v>
      </c>
      <c r="B51" s="422">
        <f>C51+D51</f>
        <v>0</v>
      </c>
      <c r="C51" s="420">
        <f>+'- 49 -'!F51</f>
        <v>0</v>
      </c>
      <c r="D51" s="420">
        <v>0</v>
      </c>
    </row>
    <row r="52" spans="1:5" ht="50.1" customHeight="1">
      <c r="A52" s="22"/>
      <c r="B52" s="22"/>
      <c r="C52" s="436"/>
      <c r="D52" s="22"/>
      <c r="E52" s="22"/>
    </row>
    <row r="53" spans="1:5" ht="15.75" customHeight="1">
      <c r="A53" s="736" t="s">
        <v>581</v>
      </c>
      <c r="B53" s="736"/>
      <c r="C53" s="736"/>
      <c r="D53" s="736"/>
      <c r="E53" s="736"/>
    </row>
    <row r="54" spans="1:5">
      <c r="A54" s="737"/>
      <c r="B54" s="737"/>
      <c r="C54" s="737"/>
      <c r="D54" s="737"/>
      <c r="E54" s="737"/>
    </row>
    <row r="55" spans="1:5">
      <c r="A55" s="737" t="s">
        <v>582</v>
      </c>
      <c r="B55" s="737"/>
      <c r="C55" s="737"/>
      <c r="D55" s="737"/>
      <c r="E55" s="737"/>
    </row>
    <row r="56" spans="1:5">
      <c r="A56" s="737"/>
      <c r="B56" s="737"/>
      <c r="C56" s="737"/>
      <c r="D56" s="737"/>
      <c r="E56" s="737"/>
    </row>
  </sheetData>
  <mergeCells count="8">
    <mergeCell ref="A53:E54"/>
    <mergeCell ref="A55:E56"/>
    <mergeCell ref="A2:E2"/>
    <mergeCell ref="A3:E3"/>
    <mergeCell ref="C7:D7"/>
    <mergeCell ref="B8:B9"/>
    <mergeCell ref="C8:C9"/>
    <mergeCell ref="D8:D9"/>
  </mergeCells>
  <pageMargins left="0.5" right="0.5" top="0.6" bottom="0.2" header="0.3" footer="0.5"/>
  <pageSetup scale="88" orientation="portrait" r:id="rId1"/>
  <headerFooter alignWithMargins="0">
    <oddHeader>&amp;C&amp;"Arial,Regular"&amp;11&amp;A</oddHeader>
  </headerFooter>
</worksheet>
</file>

<file path=xl/worksheets/sheet46.xml><?xml version="1.0" encoding="utf-8"?>
<worksheet xmlns="http://schemas.openxmlformats.org/spreadsheetml/2006/main" xmlns:r="http://schemas.openxmlformats.org/officeDocument/2006/relationships">
  <sheetPr codeName="Sheet42">
    <pageSetUpPr fitToPage="1"/>
  </sheetPr>
  <dimension ref="A1:D59"/>
  <sheetViews>
    <sheetView showGridLines="0" showZeros="0" workbookViewId="0"/>
  </sheetViews>
  <sheetFormatPr defaultColWidth="15.83203125" defaultRowHeight="12"/>
  <cols>
    <col min="1" max="1" width="35.83203125" style="1" customWidth="1"/>
    <col min="2" max="3" width="25.83203125" style="1" customWidth="1"/>
    <col min="4" max="4" width="45.83203125" style="1" customWidth="1"/>
    <col min="5" max="16384" width="15.83203125" style="1"/>
  </cols>
  <sheetData>
    <row r="1" spans="1:4" ht="6.95" customHeight="1">
      <c r="A1" s="6"/>
    </row>
    <row r="2" spans="1:4" ht="17.100000000000001" customHeight="1">
      <c r="A2" s="227"/>
      <c r="B2" s="228" t="s">
        <v>370</v>
      </c>
      <c r="C2" s="157"/>
      <c r="D2" s="152"/>
    </row>
    <row r="3" spans="1:4" ht="15" customHeight="1">
      <c r="A3" s="545"/>
      <c r="B3" s="232" t="s">
        <v>443</v>
      </c>
      <c r="C3" s="158"/>
      <c r="D3" s="229"/>
    </row>
    <row r="4" spans="1:4" ht="15.95" customHeight="1">
      <c r="A4" s="132"/>
      <c r="B4" s="7"/>
      <c r="C4" s="42"/>
    </row>
    <row r="5" spans="1:4" ht="15.95" customHeight="1">
      <c r="A5" s="1" t="str">
        <f>REPLACE(A4,5,5,"")</f>
        <v/>
      </c>
      <c r="B5" s="7"/>
      <c r="C5" s="7"/>
    </row>
    <row r="6" spans="1:4" ht="15.95" customHeight="1">
      <c r="B6"/>
      <c r="C6"/>
    </row>
    <row r="7" spans="1:4" ht="15.95" customHeight="1">
      <c r="B7" s="763" t="s">
        <v>584</v>
      </c>
      <c r="C7" s="569"/>
    </row>
    <row r="8" spans="1:4" ht="15.95" customHeight="1">
      <c r="A8" s="406"/>
      <c r="B8" s="764"/>
      <c r="C8" s="761" t="s">
        <v>583</v>
      </c>
    </row>
    <row r="9" spans="1:4" ht="15.95" customHeight="1">
      <c r="A9" s="407" t="s">
        <v>43</v>
      </c>
      <c r="B9" s="765"/>
      <c r="C9" s="762"/>
    </row>
    <row r="10" spans="1:4" ht="5.0999999999999996" customHeight="1">
      <c r="A10" s="5"/>
      <c r="B10" s="206"/>
      <c r="C10" s="221">
        <v>1.1390000000000001E-2</v>
      </c>
    </row>
    <row r="11" spans="1:4" ht="14.1" customHeight="1">
      <c r="A11" s="287" t="s">
        <v>111</v>
      </c>
      <c r="B11" s="288">
        <f>'- 53 -'!D11</f>
        <v>132273990</v>
      </c>
      <c r="C11" s="288">
        <f t="shared" ref="C11:C46" si="0">B11*C$10</f>
        <v>1506600.7461000001</v>
      </c>
    </row>
    <row r="12" spans="1:4" ht="14.1" customHeight="1">
      <c r="A12" s="18" t="s">
        <v>112</v>
      </c>
      <c r="B12" s="19">
        <f>'- 53 -'!D12</f>
        <v>163958020</v>
      </c>
      <c r="C12" s="19">
        <f t="shared" si="0"/>
        <v>1867481.8478000001</v>
      </c>
    </row>
    <row r="13" spans="1:4" ht="14.1" customHeight="1">
      <c r="A13" s="287" t="s">
        <v>113</v>
      </c>
      <c r="B13" s="288">
        <f>'- 53 -'!D13</f>
        <v>816560210</v>
      </c>
      <c r="C13" s="288">
        <f t="shared" si="0"/>
        <v>9300620.7919000015</v>
      </c>
    </row>
    <row r="14" spans="1:4" ht="14.1" customHeight="1">
      <c r="A14" s="18" t="s">
        <v>365</v>
      </c>
      <c r="B14" s="19">
        <f>'- 53 -'!D14</f>
        <v>0</v>
      </c>
      <c r="C14" s="19">
        <f t="shared" si="0"/>
        <v>0</v>
      </c>
    </row>
    <row r="15" spans="1:4" ht="14.1" customHeight="1">
      <c r="A15" s="287" t="s">
        <v>114</v>
      </c>
      <c r="B15" s="288">
        <f>'- 53 -'!D15</f>
        <v>109334670</v>
      </c>
      <c r="C15" s="288">
        <f t="shared" si="0"/>
        <v>1245321.8913</v>
      </c>
    </row>
    <row r="16" spans="1:4" ht="14.1" customHeight="1">
      <c r="A16" s="18" t="s">
        <v>115</v>
      </c>
      <c r="B16" s="19">
        <f>'- 53 -'!D16</f>
        <v>32874790</v>
      </c>
      <c r="C16" s="19">
        <f t="shared" si="0"/>
        <v>374443.85810000001</v>
      </c>
    </row>
    <row r="17" spans="1:3" ht="14.1" customHeight="1">
      <c r="A17" s="287" t="s">
        <v>116</v>
      </c>
      <c r="B17" s="288">
        <f>'- 53 -'!D17</f>
        <v>415012660</v>
      </c>
      <c r="C17" s="288">
        <f t="shared" si="0"/>
        <v>4726994.1973999999</v>
      </c>
    </row>
    <row r="18" spans="1:3" ht="14.1" customHeight="1">
      <c r="A18" s="18" t="s">
        <v>117</v>
      </c>
      <c r="B18" s="19">
        <f>'- 53 -'!D18</f>
        <v>67493710</v>
      </c>
      <c r="C18" s="19">
        <f t="shared" si="0"/>
        <v>768753.35690000001</v>
      </c>
    </row>
    <row r="19" spans="1:3" ht="14.1" customHeight="1">
      <c r="A19" s="287" t="s">
        <v>118</v>
      </c>
      <c r="B19" s="288">
        <f>'- 53 -'!D19</f>
        <v>247405680</v>
      </c>
      <c r="C19" s="288">
        <f t="shared" si="0"/>
        <v>2817950.6952000004</v>
      </c>
    </row>
    <row r="20" spans="1:3" ht="14.1" customHeight="1">
      <c r="A20" s="18" t="s">
        <v>119</v>
      </c>
      <c r="B20" s="19">
        <f>'- 53 -'!D20</f>
        <v>338837390</v>
      </c>
      <c r="C20" s="19">
        <f t="shared" si="0"/>
        <v>3859357.8721000003</v>
      </c>
    </row>
    <row r="21" spans="1:3" ht="14.1" customHeight="1">
      <c r="A21" s="287" t="s">
        <v>120</v>
      </c>
      <c r="B21" s="288">
        <f>'- 53 -'!D21</f>
        <v>232737810</v>
      </c>
      <c r="C21" s="288">
        <f t="shared" si="0"/>
        <v>2650883.6559000001</v>
      </c>
    </row>
    <row r="22" spans="1:3" ht="14.1" customHeight="1">
      <c r="A22" s="18" t="s">
        <v>121</v>
      </c>
      <c r="B22" s="19">
        <f>'- 53 -'!D22</f>
        <v>63034680</v>
      </c>
      <c r="C22" s="19">
        <f t="shared" si="0"/>
        <v>717965.00520000001</v>
      </c>
    </row>
    <row r="23" spans="1:3" ht="14.1" customHeight="1">
      <c r="A23" s="287" t="s">
        <v>122</v>
      </c>
      <c r="B23" s="288">
        <f>'- 53 -'!D23</f>
        <v>27385290</v>
      </c>
      <c r="C23" s="288">
        <f t="shared" si="0"/>
        <v>311918.45310000004</v>
      </c>
    </row>
    <row r="24" spans="1:3" ht="14.1" customHeight="1">
      <c r="A24" s="18" t="s">
        <v>123</v>
      </c>
      <c r="B24" s="19">
        <f>'- 53 -'!D24</f>
        <v>216069280</v>
      </c>
      <c r="C24" s="19">
        <f t="shared" si="0"/>
        <v>2461029.0992000001</v>
      </c>
    </row>
    <row r="25" spans="1:3" ht="14.1" customHeight="1">
      <c r="A25" s="287" t="s">
        <v>124</v>
      </c>
      <c r="B25" s="288">
        <f>'- 53 -'!D25</f>
        <v>1110121040</v>
      </c>
      <c r="C25" s="288">
        <f t="shared" si="0"/>
        <v>12644278.6456</v>
      </c>
    </row>
    <row r="26" spans="1:3" ht="14.1" customHeight="1">
      <c r="A26" s="18" t="s">
        <v>125</v>
      </c>
      <c r="B26" s="19">
        <f>'- 53 -'!D26</f>
        <v>123119770</v>
      </c>
      <c r="C26" s="19">
        <f t="shared" si="0"/>
        <v>1402334.1803000001</v>
      </c>
    </row>
    <row r="27" spans="1:3" ht="14.1" customHeight="1">
      <c r="A27" s="287" t="s">
        <v>126</v>
      </c>
      <c r="B27" s="288">
        <f>'- 53 -'!D27</f>
        <v>122521140</v>
      </c>
      <c r="C27" s="288">
        <f t="shared" si="0"/>
        <v>1395515.7846000001</v>
      </c>
    </row>
    <row r="28" spans="1:3" ht="14.1" customHeight="1">
      <c r="A28" s="18" t="s">
        <v>127</v>
      </c>
      <c r="B28" s="19">
        <f>'- 53 -'!D28</f>
        <v>174333830</v>
      </c>
      <c r="C28" s="19">
        <f t="shared" si="0"/>
        <v>1985662.3237000001</v>
      </c>
    </row>
    <row r="29" spans="1:3" ht="14.1" customHeight="1">
      <c r="A29" s="287" t="s">
        <v>128</v>
      </c>
      <c r="B29" s="288">
        <f>'- 53 -'!D29</f>
        <v>1221183820</v>
      </c>
      <c r="C29" s="288">
        <f t="shared" si="0"/>
        <v>13909283.709800001</v>
      </c>
    </row>
    <row r="30" spans="1:3" ht="14.1" customHeight="1">
      <c r="A30" s="18" t="s">
        <v>129</v>
      </c>
      <c r="B30" s="19">
        <f>'- 53 -'!D30</f>
        <v>85613660</v>
      </c>
      <c r="C30" s="19">
        <f t="shared" si="0"/>
        <v>975139.58740000008</v>
      </c>
    </row>
    <row r="31" spans="1:3" ht="14.1" customHeight="1">
      <c r="A31" s="287" t="s">
        <v>130</v>
      </c>
      <c r="B31" s="288">
        <f>'- 53 -'!D31</f>
        <v>310931710</v>
      </c>
      <c r="C31" s="288">
        <f t="shared" si="0"/>
        <v>3541512.1769000003</v>
      </c>
    </row>
    <row r="32" spans="1:3" ht="14.1" customHeight="1">
      <c r="A32" s="18" t="s">
        <v>131</v>
      </c>
      <c r="B32" s="19">
        <f>'- 53 -'!D32</f>
        <v>127524080</v>
      </c>
      <c r="C32" s="19">
        <f t="shared" si="0"/>
        <v>1452499.2712000001</v>
      </c>
    </row>
    <row r="33" spans="1:3" ht="14.1" customHeight="1">
      <c r="A33" s="287" t="s">
        <v>132</v>
      </c>
      <c r="B33" s="288">
        <f>'- 53 -'!D33</f>
        <v>157127140</v>
      </c>
      <c r="C33" s="288">
        <f t="shared" si="0"/>
        <v>1789678.1246000002</v>
      </c>
    </row>
    <row r="34" spans="1:3" ht="14.1" customHeight="1">
      <c r="A34" s="18" t="s">
        <v>133</v>
      </c>
      <c r="B34" s="19">
        <f>'- 53 -'!D34</f>
        <v>216116670</v>
      </c>
      <c r="C34" s="19">
        <f t="shared" si="0"/>
        <v>2461568.8713000002</v>
      </c>
    </row>
    <row r="35" spans="1:3" ht="14.1" customHeight="1">
      <c r="A35" s="287" t="s">
        <v>134</v>
      </c>
      <c r="B35" s="288">
        <f>'- 53 -'!D35</f>
        <v>873576840</v>
      </c>
      <c r="C35" s="288">
        <f t="shared" si="0"/>
        <v>9950040.2076000012</v>
      </c>
    </row>
    <row r="36" spans="1:3" ht="14.1" customHeight="1">
      <c r="A36" s="18" t="s">
        <v>135</v>
      </c>
      <c r="B36" s="19">
        <f>'- 53 -'!D36</f>
        <v>167125050</v>
      </c>
      <c r="C36" s="19">
        <f t="shared" si="0"/>
        <v>1903554.3195000002</v>
      </c>
    </row>
    <row r="37" spans="1:3" ht="14.1" customHeight="1">
      <c r="A37" s="287" t="s">
        <v>136</v>
      </c>
      <c r="B37" s="288">
        <f>'- 53 -'!D37</f>
        <v>162935650</v>
      </c>
      <c r="C37" s="288">
        <f t="shared" si="0"/>
        <v>1855837.0535000002</v>
      </c>
    </row>
    <row r="38" spans="1:3" ht="14.1" customHeight="1">
      <c r="A38" s="18" t="s">
        <v>137</v>
      </c>
      <c r="B38" s="19">
        <f>'- 53 -'!D38</f>
        <v>319488890</v>
      </c>
      <c r="C38" s="19">
        <f t="shared" si="0"/>
        <v>3638978.4571000002</v>
      </c>
    </row>
    <row r="39" spans="1:3" ht="14.1" customHeight="1">
      <c r="A39" s="287" t="s">
        <v>138</v>
      </c>
      <c r="B39" s="288">
        <f>'- 53 -'!D39</f>
        <v>374353950</v>
      </c>
      <c r="C39" s="288">
        <f t="shared" si="0"/>
        <v>4263891.4905000003</v>
      </c>
    </row>
    <row r="40" spans="1:3" ht="14.1" customHeight="1">
      <c r="A40" s="18" t="s">
        <v>139</v>
      </c>
      <c r="B40" s="19">
        <f>'- 53 -'!D40</f>
        <v>1421528950</v>
      </c>
      <c r="C40" s="19">
        <f t="shared" si="0"/>
        <v>16191214.740500001</v>
      </c>
    </row>
    <row r="41" spans="1:3" ht="14.1" customHeight="1">
      <c r="A41" s="287" t="s">
        <v>140</v>
      </c>
      <c r="B41" s="288">
        <f>'- 53 -'!D41</f>
        <v>355014220</v>
      </c>
      <c r="C41" s="288">
        <f t="shared" si="0"/>
        <v>4043611.9658000004</v>
      </c>
    </row>
    <row r="42" spans="1:3" ht="14.1" customHeight="1">
      <c r="A42" s="18" t="s">
        <v>141</v>
      </c>
      <c r="B42" s="19">
        <f>'- 53 -'!D42</f>
        <v>72225690</v>
      </c>
      <c r="C42" s="19">
        <f t="shared" si="0"/>
        <v>822650.6091</v>
      </c>
    </row>
    <row r="43" spans="1:3" ht="14.1" customHeight="1">
      <c r="A43" s="287" t="s">
        <v>142</v>
      </c>
      <c r="B43" s="288">
        <f>'- 53 -'!D43</f>
        <v>57585250</v>
      </c>
      <c r="C43" s="288">
        <f t="shared" si="0"/>
        <v>655895.99750000006</v>
      </c>
    </row>
    <row r="44" spans="1:3" ht="14.1" customHeight="1">
      <c r="A44" s="18" t="s">
        <v>143</v>
      </c>
      <c r="B44" s="19">
        <f>'- 53 -'!D44</f>
        <v>13186850</v>
      </c>
      <c r="C44" s="19">
        <f t="shared" si="0"/>
        <v>150198.22150000001</v>
      </c>
    </row>
    <row r="45" spans="1:3" ht="14.1" customHeight="1">
      <c r="A45" s="287" t="s">
        <v>144</v>
      </c>
      <c r="B45" s="288">
        <f>'- 53 -'!D45</f>
        <v>88439080</v>
      </c>
      <c r="C45" s="288">
        <f t="shared" si="0"/>
        <v>1007321.1212000001</v>
      </c>
    </row>
    <row r="46" spans="1:3" ht="14.1" customHeight="1">
      <c r="A46" s="18" t="s">
        <v>145</v>
      </c>
      <c r="B46" s="19">
        <f>'- 53 -'!D46</f>
        <v>4101084700</v>
      </c>
      <c r="C46" s="19">
        <f t="shared" si="0"/>
        <v>46711354.733000003</v>
      </c>
    </row>
    <row r="47" spans="1:3" ht="6" customHeight="1">
      <c r="A47" s="20"/>
      <c r="B47" s="21"/>
      <c r="C47" s="21"/>
    </row>
    <row r="48" spans="1:3" ht="14.1" customHeight="1">
      <c r="A48" s="289" t="s">
        <v>229</v>
      </c>
      <c r="B48" s="290">
        <f>SUM(B11:B46)</f>
        <v>14518116160</v>
      </c>
      <c r="C48" s="290">
        <f>SUM(C11:C46)</f>
        <v>165361343.06239998</v>
      </c>
    </row>
    <row r="49" spans="1:4" ht="6" customHeight="1">
      <c r="A49" s="20"/>
      <c r="B49" s="21"/>
      <c r="C49" s="21"/>
    </row>
    <row r="50" spans="1:4" ht="14.1" customHeight="1">
      <c r="A50" s="18" t="s">
        <v>230</v>
      </c>
      <c r="B50" s="19">
        <f>'- 53 -'!D50</f>
        <v>3482490</v>
      </c>
      <c r="C50" s="19">
        <v>0</v>
      </c>
    </row>
    <row r="51" spans="1:4" ht="14.1" customHeight="1">
      <c r="A51" s="287" t="s">
        <v>231</v>
      </c>
      <c r="B51" s="288">
        <f>'- 53 -'!D51</f>
        <v>49087090</v>
      </c>
      <c r="C51" s="288">
        <f>B51*C$10</f>
        <v>559101.95510000002</v>
      </c>
    </row>
    <row r="52" spans="1:4" ht="6" customHeight="1">
      <c r="A52" s="129"/>
      <c r="B52" s="151"/>
      <c r="C52" s="151"/>
    </row>
    <row r="53" spans="1:4" ht="14.45" customHeight="1">
      <c r="A53" s="399" t="s">
        <v>146</v>
      </c>
      <c r="B53" s="400">
        <f>SUM(B48,B50:B51)</f>
        <v>14570685740</v>
      </c>
      <c r="C53" s="400">
        <f>SUM(C48,C50:C51)</f>
        <v>165920445.01749998</v>
      </c>
      <c r="D53" s="183"/>
    </row>
    <row r="54" spans="1:4" ht="50.1" customHeight="1">
      <c r="A54" s="222"/>
      <c r="B54" s="222"/>
      <c r="C54" s="222"/>
      <c r="D54" s="22"/>
    </row>
    <row r="55" spans="1:4" ht="14.45" customHeight="1">
      <c r="A55" s="417" t="s">
        <v>438</v>
      </c>
      <c r="B55" s="37"/>
      <c r="C55" s="37"/>
      <c r="D55" s="37"/>
    </row>
    <row r="56" spans="1:4" ht="14.45" customHeight="1">
      <c r="A56" s="24"/>
      <c r="B56" s="37"/>
      <c r="C56" s="37"/>
      <c r="D56" s="37"/>
    </row>
    <row r="57" spans="1:4" ht="14.45" customHeight="1">
      <c r="A57" s="25"/>
      <c r="B57" s="37"/>
      <c r="C57" s="37"/>
      <c r="D57" s="37"/>
    </row>
    <row r="58" spans="1:4" ht="14.45" customHeight="1">
      <c r="B58" s="79"/>
      <c r="C58" s="79"/>
    </row>
    <row r="59" spans="1:4" ht="14.45" customHeight="1"/>
  </sheetData>
  <mergeCells count="2">
    <mergeCell ref="C8:C9"/>
    <mergeCell ref="B7:B9"/>
  </mergeCells>
  <phoneticPr fontId="0" type="noConversion"/>
  <pageMargins left="0.5" right="0.5" top="0.6" bottom="0.2" header="0.3" footer="0.5"/>
  <pageSetup scale="88" orientation="portrait" r:id="rId1"/>
  <headerFooter alignWithMargins="0">
    <oddHeader>&amp;C&amp;"Arial,Regular"&amp;11&amp;A</oddHeader>
  </headerFooter>
</worksheet>
</file>

<file path=xl/worksheets/sheet47.xml><?xml version="1.0" encoding="utf-8"?>
<worksheet xmlns="http://schemas.openxmlformats.org/spreadsheetml/2006/main" xmlns:r="http://schemas.openxmlformats.org/officeDocument/2006/relationships">
  <sheetPr codeName="Sheet62">
    <pageSetUpPr fitToPage="1"/>
  </sheetPr>
  <dimension ref="A1:M57"/>
  <sheetViews>
    <sheetView showGridLines="0" showZeros="0" workbookViewId="0"/>
  </sheetViews>
  <sheetFormatPr defaultColWidth="15.83203125" defaultRowHeight="12"/>
  <cols>
    <col min="1" max="1" width="27.6640625" style="1" customWidth="1"/>
    <col min="2" max="2" width="16.1640625" style="1" bestFit="1" customWidth="1"/>
    <col min="3" max="3" width="15" style="1" bestFit="1" customWidth="1"/>
    <col min="4" max="5" width="16.1640625" style="1" bestFit="1" customWidth="1"/>
    <col min="6" max="6" width="14.5" style="1" customWidth="1"/>
    <col min="7" max="7" width="14.33203125" style="1" customWidth="1"/>
    <col min="8" max="8" width="15.83203125" style="1"/>
    <col min="9" max="9" width="21" style="1" customWidth="1"/>
    <col min="10" max="16384" width="15.83203125" style="1"/>
  </cols>
  <sheetData>
    <row r="1" spans="1:13" ht="6.95" customHeight="1">
      <c r="A1" s="6"/>
    </row>
    <row r="2" spans="1:13" ht="15.95" customHeight="1">
      <c r="A2" s="207" t="s">
        <v>49</v>
      </c>
      <c r="B2" s="223"/>
      <c r="C2" s="223"/>
      <c r="D2" s="223"/>
      <c r="E2" s="223"/>
      <c r="F2" s="223"/>
      <c r="G2" s="223"/>
    </row>
    <row r="3" spans="1:13" ht="15.95" customHeight="1">
      <c r="A3" s="232" t="str">
        <f>TAXYEAR</f>
        <v>FOR THE 2014 TAXATION YEAR (2014 IS A REASSESSMENT YEAR)</v>
      </c>
      <c r="B3" s="224"/>
      <c r="C3" s="224"/>
      <c r="D3" s="224"/>
      <c r="E3" s="234"/>
      <c r="F3" s="234"/>
      <c r="G3" s="224"/>
    </row>
    <row r="4" spans="1:13" ht="15.95" customHeight="1">
      <c r="B4" s="7"/>
      <c r="C4" s="7"/>
      <c r="D4" s="7"/>
      <c r="E4" s="42"/>
      <c r="F4" s="42"/>
      <c r="G4" s="42"/>
    </row>
    <row r="5" spans="1:13" ht="15.95" customHeight="1">
      <c r="B5" s="7"/>
      <c r="C5" s="7"/>
      <c r="D5" s="7"/>
      <c r="E5" s="7"/>
      <c r="F5" s="7"/>
      <c r="G5" s="7"/>
    </row>
    <row r="6" spans="1:13" ht="15.95" customHeight="1">
      <c r="B6" s="205" t="s">
        <v>56</v>
      </c>
      <c r="C6" s="171"/>
      <c r="D6" s="171"/>
      <c r="E6" s="169"/>
      <c r="F6" s="7"/>
      <c r="G6" s="7"/>
      <c r="H6" s="3" t="s">
        <v>65</v>
      </c>
    </row>
    <row r="7" spans="1:13" ht="15.95" customHeight="1">
      <c r="B7" s="766" t="s">
        <v>589</v>
      </c>
      <c r="C7" s="766" t="s">
        <v>588</v>
      </c>
      <c r="D7" s="349"/>
      <c r="E7" s="306"/>
      <c r="F7" s="350"/>
      <c r="G7" s="622" t="s">
        <v>587</v>
      </c>
      <c r="H7" s="3" t="s">
        <v>63</v>
      </c>
    </row>
    <row r="8" spans="1:13" ht="15.95" customHeight="1">
      <c r="A8" s="32"/>
      <c r="B8" s="767"/>
      <c r="C8" s="767"/>
      <c r="D8" s="351" t="s">
        <v>8</v>
      </c>
      <c r="E8" s="352"/>
      <c r="F8" s="720" t="s">
        <v>586</v>
      </c>
      <c r="G8" s="720"/>
      <c r="H8" s="3" t="s">
        <v>105</v>
      </c>
    </row>
    <row r="9" spans="1:13" ht="15.95" customHeight="1">
      <c r="A9" s="235" t="s">
        <v>43</v>
      </c>
      <c r="B9" s="768"/>
      <c r="C9" s="768"/>
      <c r="D9" s="354" t="s">
        <v>69</v>
      </c>
      <c r="E9" s="310" t="s">
        <v>32</v>
      </c>
      <c r="F9" s="623"/>
      <c r="G9" s="721"/>
      <c r="H9" s="3" t="s">
        <v>106</v>
      </c>
    </row>
    <row r="10" spans="1:13" ht="5.0999999999999996" customHeight="1">
      <c r="A10" s="17"/>
      <c r="B10" s="206"/>
      <c r="C10" s="6"/>
      <c r="D10" s="206"/>
      <c r="E10" s="206"/>
      <c r="F10" s="6"/>
      <c r="G10" s="6"/>
    </row>
    <row r="11" spans="1:13" ht="14.1" customHeight="1">
      <c r="A11" s="357" t="s">
        <v>111</v>
      </c>
      <c r="B11" s="355">
        <v>246171580</v>
      </c>
      <c r="C11" s="355">
        <v>193797620</v>
      </c>
      <c r="D11" s="355">
        <v>132273990</v>
      </c>
      <c r="E11" s="355">
        <f t="shared" ref="E11:E46" si="0">SUM(B11:D11)</f>
        <v>572243190</v>
      </c>
      <c r="F11" s="355">
        <f>'- 55 -'!C11</f>
        <v>7548718</v>
      </c>
      <c r="G11" s="356">
        <f>F11/E11*1000</f>
        <v>13.191450998307207</v>
      </c>
      <c r="I11" s="233" t="str">
        <f>A11</f>
        <v xml:space="preserve"> BEAUTIFUL PLAINS</v>
      </c>
      <c r="J11" s="4">
        <f>G11</f>
        <v>13.191450998307207</v>
      </c>
      <c r="M11" s="514"/>
    </row>
    <row r="12" spans="1:13" ht="14.1" customHeight="1">
      <c r="A12" s="236" t="s">
        <v>112</v>
      </c>
      <c r="B12" s="150">
        <v>280258160</v>
      </c>
      <c r="C12" s="150">
        <v>233313040</v>
      </c>
      <c r="D12" s="150">
        <v>163958020</v>
      </c>
      <c r="E12" s="150">
        <f t="shared" si="0"/>
        <v>677529220</v>
      </c>
      <c r="F12" s="150">
        <f>'- 55 -'!C12</f>
        <v>11382491</v>
      </c>
      <c r="G12" s="237">
        <f>F12/E12*1000</f>
        <v>16.800000153498914</v>
      </c>
      <c r="I12" s="233" t="str">
        <f>A12</f>
        <v xml:space="preserve"> BORDER LAND</v>
      </c>
      <c r="J12" s="4">
        <f>G12</f>
        <v>16.800000153498914</v>
      </c>
      <c r="M12" s="514"/>
    </row>
    <row r="13" spans="1:13" ht="14.1" customHeight="1">
      <c r="A13" s="357" t="s">
        <v>113</v>
      </c>
      <c r="B13" s="355">
        <v>1744668360</v>
      </c>
      <c r="C13" s="355">
        <v>61704490</v>
      </c>
      <c r="D13" s="355">
        <v>816560210</v>
      </c>
      <c r="E13" s="355">
        <f t="shared" si="0"/>
        <v>2622933060</v>
      </c>
      <c r="F13" s="355">
        <f>'- 55 -'!C13</f>
        <v>40665635</v>
      </c>
      <c r="G13" s="356">
        <f>F13/E13*1000</f>
        <v>15.503878318572109</v>
      </c>
      <c r="I13" s="233" t="str">
        <f>A13</f>
        <v xml:space="preserve"> BRANDON</v>
      </c>
      <c r="J13" s="4">
        <f>G13</f>
        <v>15.503878318572109</v>
      </c>
      <c r="M13" s="514"/>
    </row>
    <row r="14" spans="1:13" ht="14.1" customHeight="1">
      <c r="A14" s="236" t="s">
        <v>365</v>
      </c>
      <c r="B14" s="150"/>
      <c r="C14" s="150"/>
      <c r="D14" s="150"/>
      <c r="E14" s="150">
        <f t="shared" si="0"/>
        <v>0</v>
      </c>
      <c r="F14" s="150"/>
      <c r="G14" s="237"/>
      <c r="I14" s="233" t="str">
        <f>A15</f>
        <v xml:space="preserve"> EVERGREEN</v>
      </c>
      <c r="J14" s="4">
        <f>G15</f>
        <v>11.445407414871621</v>
      </c>
      <c r="M14" s="514"/>
    </row>
    <row r="15" spans="1:13" ht="14.1" customHeight="1">
      <c r="A15" s="357" t="s">
        <v>114</v>
      </c>
      <c r="B15" s="355">
        <v>648426430</v>
      </c>
      <c r="C15" s="355">
        <v>73563610</v>
      </c>
      <c r="D15" s="355">
        <v>109334670</v>
      </c>
      <c r="E15" s="355">
        <f t="shared" si="0"/>
        <v>831324710</v>
      </c>
      <c r="F15" s="355">
        <f>'- 55 -'!C15</f>
        <v>9514850</v>
      </c>
      <c r="G15" s="356">
        <f>F15/E15*1000</f>
        <v>11.445407414871621</v>
      </c>
      <c r="I15" s="233" t="str">
        <f t="shared" ref="I15:I44" si="1">A16</f>
        <v xml:space="preserve"> FLIN FLON</v>
      </c>
      <c r="J15" s="4">
        <f t="shared" ref="J15:J44" si="2">G16</f>
        <v>19.759731717131807</v>
      </c>
      <c r="M15" s="514"/>
    </row>
    <row r="16" spans="1:13" ht="14.1" customHeight="1">
      <c r="A16" s="236" t="s">
        <v>115</v>
      </c>
      <c r="B16" s="150">
        <v>86184620</v>
      </c>
      <c r="C16" s="150">
        <v>0</v>
      </c>
      <c r="D16" s="150">
        <v>32874790</v>
      </c>
      <c r="E16" s="150">
        <f t="shared" si="0"/>
        <v>119059410</v>
      </c>
      <c r="F16" s="150">
        <f>'- 55 -'!C16</f>
        <v>3888172</v>
      </c>
      <c r="G16" s="237">
        <f>(F16-H16)/E16*1000</f>
        <v>19.759731717131807</v>
      </c>
      <c r="H16" s="1">
        <v>1535590</v>
      </c>
      <c r="I16" s="233" t="str">
        <f t="shared" si="1"/>
        <v xml:space="preserve"> FORT LA BOSSE</v>
      </c>
      <c r="J16" s="4">
        <f t="shared" si="2"/>
        <v>9.7989453264793145</v>
      </c>
      <c r="M16" s="514"/>
    </row>
    <row r="17" spans="1:13" ht="14.1" customHeight="1">
      <c r="A17" s="357" t="s">
        <v>116</v>
      </c>
      <c r="B17" s="355">
        <v>250282160</v>
      </c>
      <c r="C17" s="355">
        <v>138599450</v>
      </c>
      <c r="D17" s="355">
        <v>415012660</v>
      </c>
      <c r="E17" s="355">
        <f t="shared" si="0"/>
        <v>803894270</v>
      </c>
      <c r="F17" s="355">
        <f>'- 55 -'!C17</f>
        <v>7877316</v>
      </c>
      <c r="G17" s="356">
        <f>F17/E17*1000</f>
        <v>9.7989453264793145</v>
      </c>
      <c r="H17" s="446"/>
      <c r="I17" s="233" t="str">
        <f t="shared" si="1"/>
        <v xml:space="preserve"> FRONTIER</v>
      </c>
      <c r="J17" s="4">
        <f t="shared" si="2"/>
        <v>15.399089808959722</v>
      </c>
      <c r="M17" s="514"/>
    </row>
    <row r="18" spans="1:13" ht="14.1" customHeight="1">
      <c r="A18" s="236" t="s">
        <v>117</v>
      </c>
      <c r="B18" s="150">
        <v>126560490</v>
      </c>
      <c r="C18" s="150">
        <v>19085670</v>
      </c>
      <c r="D18" s="150">
        <v>67493710</v>
      </c>
      <c r="E18" s="150">
        <f t="shared" si="0"/>
        <v>213139870</v>
      </c>
      <c r="F18" s="150">
        <f>'- 55 -'!C18</f>
        <v>3282160</v>
      </c>
      <c r="G18" s="237">
        <f>(F18-H18)/E18*1000</f>
        <v>15.399089808959722</v>
      </c>
      <c r="I18" s="233" t="str">
        <f t="shared" si="1"/>
        <v xml:space="preserve"> GARDEN VALLEY</v>
      </c>
      <c r="J18" s="4">
        <f t="shared" si="2"/>
        <v>18.048591468952221</v>
      </c>
      <c r="M18" s="514"/>
    </row>
    <row r="19" spans="1:13" ht="14.1" customHeight="1">
      <c r="A19" s="357" t="s">
        <v>118</v>
      </c>
      <c r="B19" s="355">
        <v>496022910</v>
      </c>
      <c r="C19" s="355">
        <v>168675550</v>
      </c>
      <c r="D19" s="355">
        <v>247405680</v>
      </c>
      <c r="E19" s="355">
        <f t="shared" si="0"/>
        <v>912104140</v>
      </c>
      <c r="F19" s="355">
        <f>'- 55 -'!C19</f>
        <v>16462195</v>
      </c>
      <c r="G19" s="356">
        <f t="shared" ref="G19:G26" si="3">F19/E19*1000</f>
        <v>18.048591468952221</v>
      </c>
      <c r="I19" s="233" t="str">
        <f t="shared" si="1"/>
        <v xml:space="preserve"> HANOVER</v>
      </c>
      <c r="J19" s="4">
        <f t="shared" si="2"/>
        <v>15.592550945418797</v>
      </c>
      <c r="M19" s="514"/>
    </row>
    <row r="20" spans="1:13" ht="14.1" customHeight="1">
      <c r="A20" s="236" t="s">
        <v>119</v>
      </c>
      <c r="B20" s="150">
        <v>1226461880</v>
      </c>
      <c r="C20" s="150">
        <v>175097160</v>
      </c>
      <c r="D20" s="150">
        <v>338837390</v>
      </c>
      <c r="E20" s="150">
        <f t="shared" si="0"/>
        <v>1740396430</v>
      </c>
      <c r="F20" s="150">
        <f>'- 55 -'!C20</f>
        <v>27137220</v>
      </c>
      <c r="G20" s="237">
        <f t="shared" si="3"/>
        <v>15.592550945418797</v>
      </c>
      <c r="I20" s="233" t="str">
        <f t="shared" si="1"/>
        <v xml:space="preserve"> INTERLAKE</v>
      </c>
      <c r="J20" s="4">
        <f t="shared" si="2"/>
        <v>14.002574922053272</v>
      </c>
      <c r="M20" s="514"/>
    </row>
    <row r="21" spans="1:13" ht="14.1" customHeight="1">
      <c r="A21" s="357" t="s">
        <v>120</v>
      </c>
      <c r="B21" s="355">
        <v>686088710</v>
      </c>
      <c r="C21" s="355">
        <v>170985110</v>
      </c>
      <c r="D21" s="355">
        <v>232737810</v>
      </c>
      <c r="E21" s="355">
        <f t="shared" si="0"/>
        <v>1089811630</v>
      </c>
      <c r="F21" s="355">
        <f>'- 55 -'!C21</f>
        <v>15260169</v>
      </c>
      <c r="G21" s="356">
        <f t="shared" si="3"/>
        <v>14.002574922053272</v>
      </c>
      <c r="I21" s="233" t="str">
        <f t="shared" si="1"/>
        <v xml:space="preserve"> KELSEY</v>
      </c>
      <c r="J21" s="4">
        <f t="shared" si="2"/>
        <v>20.045892611289585</v>
      </c>
      <c r="M21" s="514"/>
    </row>
    <row r="22" spans="1:13" ht="14.1" customHeight="1">
      <c r="A22" s="236" t="s">
        <v>121</v>
      </c>
      <c r="B22" s="150">
        <v>139940720</v>
      </c>
      <c r="C22" s="150">
        <v>13399300</v>
      </c>
      <c r="D22" s="150">
        <v>63034680</v>
      </c>
      <c r="E22" s="150">
        <f t="shared" si="0"/>
        <v>216374700</v>
      </c>
      <c r="F22" s="150">
        <f>'- 55 -'!C22</f>
        <v>4337424</v>
      </c>
      <c r="G22" s="237">
        <f t="shared" si="3"/>
        <v>20.045892611289585</v>
      </c>
      <c r="I22" s="233" t="str">
        <f t="shared" si="1"/>
        <v xml:space="preserve"> LAKESHORE</v>
      </c>
      <c r="J22" s="4">
        <f t="shared" si="2"/>
        <v>18.741523598823758</v>
      </c>
      <c r="M22" s="514"/>
    </row>
    <row r="23" spans="1:13" ht="14.1" customHeight="1">
      <c r="A23" s="357" t="s">
        <v>122</v>
      </c>
      <c r="B23" s="355">
        <v>122125460</v>
      </c>
      <c r="C23" s="355">
        <v>85723220</v>
      </c>
      <c r="D23" s="355">
        <v>27385290</v>
      </c>
      <c r="E23" s="355">
        <f t="shared" si="0"/>
        <v>235233970</v>
      </c>
      <c r="F23" s="355">
        <f>'- 55 -'!C23</f>
        <v>4408643</v>
      </c>
      <c r="G23" s="356">
        <f t="shared" si="3"/>
        <v>18.741523598823758</v>
      </c>
      <c r="H23" s="238"/>
      <c r="I23" s="233" t="str">
        <f t="shared" si="1"/>
        <v xml:space="preserve"> LORD SELKIRK</v>
      </c>
      <c r="J23" s="4">
        <f t="shared" si="2"/>
        <v>14.133029629070325</v>
      </c>
      <c r="M23" s="514"/>
    </row>
    <row r="24" spans="1:13" ht="14.1" customHeight="1">
      <c r="A24" s="236" t="s">
        <v>123</v>
      </c>
      <c r="B24" s="150">
        <v>1483431220</v>
      </c>
      <c r="C24" s="150">
        <v>62608450</v>
      </c>
      <c r="D24" s="150">
        <v>216069280</v>
      </c>
      <c r="E24" s="150">
        <f t="shared" si="0"/>
        <v>1762108950</v>
      </c>
      <c r="F24" s="150">
        <f>'- 55 -'!C24</f>
        <v>24903938</v>
      </c>
      <c r="G24" s="237">
        <f t="shared" si="3"/>
        <v>14.133029629070325</v>
      </c>
      <c r="I24" s="233" t="str">
        <f t="shared" si="1"/>
        <v xml:space="preserve"> LOUIS RIEL</v>
      </c>
      <c r="J24" s="4">
        <f t="shared" si="2"/>
        <v>12.484783995009286</v>
      </c>
      <c r="M24" s="514"/>
    </row>
    <row r="25" spans="1:13" ht="14.1" customHeight="1">
      <c r="A25" s="357" t="s">
        <v>124</v>
      </c>
      <c r="B25" s="355">
        <v>5570568940</v>
      </c>
      <c r="C25" s="355">
        <v>16066170</v>
      </c>
      <c r="D25" s="355">
        <v>1110121040</v>
      </c>
      <c r="E25" s="355">
        <f t="shared" si="0"/>
        <v>6696756150</v>
      </c>
      <c r="F25" s="355">
        <f>'- 55 -'!C25</f>
        <v>83607554</v>
      </c>
      <c r="G25" s="356">
        <f t="shared" si="3"/>
        <v>12.484783995009286</v>
      </c>
      <c r="I25" s="233" t="str">
        <f t="shared" si="1"/>
        <v xml:space="preserve"> MOUNTAIN VIEW</v>
      </c>
      <c r="J25" s="4">
        <f t="shared" si="2"/>
        <v>16.547459983579991</v>
      </c>
      <c r="M25" s="514"/>
    </row>
    <row r="26" spans="1:13" ht="14.1" customHeight="1">
      <c r="A26" s="236" t="s">
        <v>125</v>
      </c>
      <c r="B26" s="150">
        <v>461318740</v>
      </c>
      <c r="C26" s="150">
        <v>245475810</v>
      </c>
      <c r="D26" s="150">
        <v>123119770</v>
      </c>
      <c r="E26" s="150">
        <f t="shared" si="0"/>
        <v>829914320</v>
      </c>
      <c r="F26" s="150">
        <f>'- 55 -'!C26</f>
        <v>13732974</v>
      </c>
      <c r="G26" s="237">
        <f t="shared" si="3"/>
        <v>16.547459983579991</v>
      </c>
      <c r="I26" s="233" t="str">
        <f t="shared" si="1"/>
        <v xml:space="preserve"> MYSTERY LAKE</v>
      </c>
      <c r="J26" s="4">
        <f t="shared" si="2"/>
        <v>17.726462227685616</v>
      </c>
      <c r="M26" s="514"/>
    </row>
    <row r="27" spans="1:13" ht="14.1" customHeight="1">
      <c r="A27" s="357" t="s">
        <v>126</v>
      </c>
      <c r="B27" s="355">
        <v>318295640</v>
      </c>
      <c r="C27" s="355">
        <v>0</v>
      </c>
      <c r="D27" s="355">
        <v>122521140</v>
      </c>
      <c r="E27" s="355">
        <f t="shared" si="0"/>
        <v>440816780</v>
      </c>
      <c r="F27" s="355">
        <f>'- 55 -'!C27</f>
        <v>7814122</v>
      </c>
      <c r="G27" s="356">
        <f t="shared" ref="G27:G34" si="4">F27/E27*1000</f>
        <v>17.726462227685616</v>
      </c>
      <c r="I27" s="233" t="str">
        <f t="shared" si="1"/>
        <v xml:space="preserve"> PARK WEST</v>
      </c>
      <c r="J27" s="4">
        <f t="shared" si="2"/>
        <v>12.784190530898323</v>
      </c>
      <c r="M27" s="514"/>
    </row>
    <row r="28" spans="1:13" ht="14.1" customHeight="1">
      <c r="A28" s="236" t="s">
        <v>127</v>
      </c>
      <c r="B28" s="150">
        <v>213334180</v>
      </c>
      <c r="C28" s="150">
        <v>255331950</v>
      </c>
      <c r="D28" s="150">
        <v>174333830</v>
      </c>
      <c r="E28" s="150">
        <f t="shared" si="0"/>
        <v>642999960</v>
      </c>
      <c r="F28" s="150">
        <f>'- 55 -'!C28</f>
        <v>8220234</v>
      </c>
      <c r="G28" s="237">
        <f t="shared" si="4"/>
        <v>12.784190530898323</v>
      </c>
      <c r="I28" s="233" t="str">
        <f t="shared" si="1"/>
        <v xml:space="preserve"> PEMBINA TRAILS</v>
      </c>
      <c r="J28" s="4">
        <f t="shared" si="2"/>
        <v>12.149599950433091</v>
      </c>
      <c r="M28" s="514"/>
    </row>
    <row r="29" spans="1:13" ht="14.1" customHeight="1">
      <c r="A29" s="357" t="s">
        <v>128</v>
      </c>
      <c r="B29" s="355">
        <v>5533643430</v>
      </c>
      <c r="C29" s="355">
        <v>18078470</v>
      </c>
      <c r="D29" s="355">
        <v>1221183820</v>
      </c>
      <c r="E29" s="355">
        <f t="shared" si="0"/>
        <v>6772905720</v>
      </c>
      <c r="F29" s="355">
        <f>'- 55 -'!C29</f>
        <v>82288095</v>
      </c>
      <c r="G29" s="356">
        <f t="shared" si="4"/>
        <v>12.149599950433091</v>
      </c>
      <c r="I29" s="233" t="str">
        <f t="shared" si="1"/>
        <v xml:space="preserve"> PINE CREEK</v>
      </c>
      <c r="J29" s="4">
        <f t="shared" si="2"/>
        <v>14.145540122933898</v>
      </c>
      <c r="M29" s="514"/>
    </row>
    <row r="30" spans="1:13" ht="14.1" customHeight="1">
      <c r="A30" s="236" t="s">
        <v>129</v>
      </c>
      <c r="B30" s="150">
        <v>122344630</v>
      </c>
      <c r="C30" s="150">
        <v>162725470</v>
      </c>
      <c r="D30" s="150">
        <v>85613660</v>
      </c>
      <c r="E30" s="150">
        <f t="shared" si="0"/>
        <v>370683760</v>
      </c>
      <c r="F30" s="150">
        <f>'- 55 -'!C30</f>
        <v>5243522</v>
      </c>
      <c r="G30" s="237">
        <f t="shared" si="4"/>
        <v>14.145540122933898</v>
      </c>
      <c r="I30" s="233" t="str">
        <f t="shared" si="1"/>
        <v xml:space="preserve"> PORTAGE LA PRAIRIE</v>
      </c>
      <c r="J30" s="4">
        <f t="shared" si="2"/>
        <v>14.53646802063893</v>
      </c>
      <c r="M30" s="514"/>
    </row>
    <row r="31" spans="1:13" ht="14.1" customHeight="1">
      <c r="A31" s="357" t="s">
        <v>130</v>
      </c>
      <c r="B31" s="355">
        <v>490228710</v>
      </c>
      <c r="C31" s="355">
        <v>226268800</v>
      </c>
      <c r="D31" s="355">
        <v>310931710</v>
      </c>
      <c r="E31" s="355">
        <f t="shared" si="0"/>
        <v>1027429220</v>
      </c>
      <c r="F31" s="355">
        <f>'- 55 -'!C31</f>
        <v>14935192</v>
      </c>
      <c r="G31" s="356">
        <f t="shared" si="4"/>
        <v>14.53646802063893</v>
      </c>
      <c r="I31" s="233" t="str">
        <f t="shared" si="1"/>
        <v xml:space="preserve"> PRAIRIE ROSE</v>
      </c>
      <c r="J31" s="4">
        <f t="shared" si="2"/>
        <v>12.937327383458204</v>
      </c>
      <c r="M31" s="514"/>
    </row>
    <row r="32" spans="1:13" ht="14.1" customHeight="1">
      <c r="A32" s="236" t="s">
        <v>131</v>
      </c>
      <c r="B32" s="150">
        <v>416699220</v>
      </c>
      <c r="C32" s="150">
        <v>405921010</v>
      </c>
      <c r="D32" s="150">
        <v>127524080</v>
      </c>
      <c r="E32" s="150">
        <f t="shared" si="0"/>
        <v>950144310</v>
      </c>
      <c r="F32" s="150">
        <f>'- 55 -'!C32</f>
        <v>12292328</v>
      </c>
      <c r="G32" s="237">
        <f t="shared" si="4"/>
        <v>12.937327383458204</v>
      </c>
      <c r="I32" s="233" t="str">
        <f t="shared" si="1"/>
        <v xml:space="preserve"> PRAIRIE SPIRIT</v>
      </c>
      <c r="J32" s="4">
        <f t="shared" si="2"/>
        <v>14.126698638773998</v>
      </c>
      <c r="M32" s="514"/>
    </row>
    <row r="33" spans="1:13" ht="14.1" customHeight="1">
      <c r="A33" s="357" t="s">
        <v>132</v>
      </c>
      <c r="B33" s="355">
        <v>255885140</v>
      </c>
      <c r="C33" s="355">
        <v>494122170</v>
      </c>
      <c r="D33" s="355">
        <v>157127140</v>
      </c>
      <c r="E33" s="355">
        <f t="shared" si="0"/>
        <v>907134450</v>
      </c>
      <c r="F33" s="355">
        <f>'- 55 -'!C33</f>
        <v>12814815</v>
      </c>
      <c r="G33" s="356">
        <f t="shared" si="4"/>
        <v>14.126698638773998</v>
      </c>
      <c r="I33" s="233" t="str">
        <f t="shared" si="1"/>
        <v xml:space="preserve"> RED RIVER VALLEY</v>
      </c>
      <c r="J33" s="4">
        <f t="shared" si="2"/>
        <v>15.359471480886524</v>
      </c>
      <c r="M33" s="514"/>
    </row>
    <row r="34" spans="1:13" ht="14.1" customHeight="1">
      <c r="A34" s="236" t="s">
        <v>133</v>
      </c>
      <c r="B34" s="150">
        <v>425098790</v>
      </c>
      <c r="C34" s="150">
        <v>325864040</v>
      </c>
      <c r="D34" s="150">
        <v>216116670</v>
      </c>
      <c r="E34" s="150">
        <f t="shared" si="0"/>
        <v>967079500</v>
      </c>
      <c r="F34" s="150">
        <f>'- 55 -'!C34</f>
        <v>14853830</v>
      </c>
      <c r="G34" s="237">
        <f t="shared" si="4"/>
        <v>15.359471480886524</v>
      </c>
      <c r="I34" s="233" t="str">
        <f t="shared" si="1"/>
        <v xml:space="preserve"> RIVER EAST TRANSCONA</v>
      </c>
      <c r="J34" s="4">
        <f t="shared" si="2"/>
        <v>13.297131264911027</v>
      </c>
      <c r="M34" s="514"/>
    </row>
    <row r="35" spans="1:13" ht="14.1" customHeight="1">
      <c r="A35" s="357" t="s">
        <v>134</v>
      </c>
      <c r="B35" s="355">
        <v>4805790710</v>
      </c>
      <c r="C35" s="355">
        <v>14233460</v>
      </c>
      <c r="D35" s="355">
        <v>873576840</v>
      </c>
      <c r="E35" s="355">
        <f t="shared" si="0"/>
        <v>5693601010</v>
      </c>
      <c r="F35" s="355">
        <f>'- 55 -'!C35</f>
        <v>75708560</v>
      </c>
      <c r="G35" s="356">
        <f t="shared" ref="G35:G46" si="5">F35/E35*1000</f>
        <v>13.297131264911027</v>
      </c>
      <c r="I35" s="233" t="str">
        <f t="shared" si="1"/>
        <v xml:space="preserve"> ROLLING RIVER</v>
      </c>
      <c r="J35" s="4">
        <f t="shared" si="2"/>
        <v>13.258150836731502</v>
      </c>
      <c r="M35" s="514"/>
    </row>
    <row r="36" spans="1:13" ht="14.1" customHeight="1">
      <c r="A36" s="236" t="s">
        <v>135</v>
      </c>
      <c r="B36" s="150">
        <v>395286210</v>
      </c>
      <c r="C36" s="150">
        <v>171611540</v>
      </c>
      <c r="D36" s="150">
        <v>167125050</v>
      </c>
      <c r="E36" s="150">
        <f t="shared" si="0"/>
        <v>734022800</v>
      </c>
      <c r="F36" s="150">
        <f>'- 55 -'!C36</f>
        <v>9731785</v>
      </c>
      <c r="G36" s="237">
        <f t="shared" si="5"/>
        <v>13.258150836731502</v>
      </c>
      <c r="I36" s="233" t="str">
        <f t="shared" si="1"/>
        <v xml:space="preserve"> SEINE RIVER</v>
      </c>
      <c r="J36" s="4">
        <f t="shared" si="2"/>
        <v>14.499335449878744</v>
      </c>
      <c r="M36" s="514"/>
    </row>
    <row r="37" spans="1:13" ht="14.1" customHeight="1">
      <c r="A37" s="357" t="s">
        <v>136</v>
      </c>
      <c r="B37" s="355">
        <v>1147867580</v>
      </c>
      <c r="C37" s="355">
        <v>107073270</v>
      </c>
      <c r="D37" s="355">
        <v>162935650</v>
      </c>
      <c r="E37" s="355">
        <f t="shared" si="0"/>
        <v>1417876500</v>
      </c>
      <c r="F37" s="355">
        <f>'- 55 -'!C37</f>
        <v>20558267</v>
      </c>
      <c r="G37" s="356">
        <f t="shared" si="5"/>
        <v>14.499335449878744</v>
      </c>
      <c r="I37" s="233" t="str">
        <f t="shared" si="1"/>
        <v xml:space="preserve"> SEVEN OAKS</v>
      </c>
      <c r="J37" s="4">
        <f t="shared" si="2"/>
        <v>14.933318426763881</v>
      </c>
      <c r="M37" s="514"/>
    </row>
    <row r="38" spans="1:13" ht="14.1" customHeight="1">
      <c r="A38" s="236" t="s">
        <v>137</v>
      </c>
      <c r="B38" s="150">
        <v>2649269950</v>
      </c>
      <c r="C38" s="150">
        <v>12477060</v>
      </c>
      <c r="D38" s="150">
        <v>319488890</v>
      </c>
      <c r="E38" s="150">
        <f t="shared" si="0"/>
        <v>2981235900</v>
      </c>
      <c r="F38" s="150">
        <f>'- 55 -'!C38</f>
        <v>44519745</v>
      </c>
      <c r="G38" s="237">
        <f t="shared" si="5"/>
        <v>14.933318426763881</v>
      </c>
      <c r="I38" s="233" t="str">
        <f t="shared" si="1"/>
        <v xml:space="preserve"> SOUTHWEST HORIZON</v>
      </c>
      <c r="J38" s="4">
        <f t="shared" si="2"/>
        <v>11.307003974110645</v>
      </c>
      <c r="M38" s="514"/>
    </row>
    <row r="39" spans="1:13" ht="14.1" customHeight="1">
      <c r="A39" s="357" t="s">
        <v>138</v>
      </c>
      <c r="B39" s="355">
        <v>247943410</v>
      </c>
      <c r="C39" s="355">
        <v>309755200</v>
      </c>
      <c r="D39" s="355">
        <v>374353950</v>
      </c>
      <c r="E39" s="355">
        <f t="shared" si="0"/>
        <v>932052560</v>
      </c>
      <c r="F39" s="355">
        <f>'- 55 -'!C39</f>
        <v>10538722</v>
      </c>
      <c r="G39" s="356">
        <f t="shared" si="5"/>
        <v>11.307003974110645</v>
      </c>
      <c r="I39" s="233" t="str">
        <f t="shared" si="1"/>
        <v xml:space="preserve"> ST. JAMES-ASSINIBOIA</v>
      </c>
      <c r="J39" s="4">
        <f t="shared" si="2"/>
        <v>12.150705147562073</v>
      </c>
      <c r="M39" s="514"/>
    </row>
    <row r="40" spans="1:13" ht="14.1" customHeight="1">
      <c r="A40" s="236" t="s">
        <v>139</v>
      </c>
      <c r="B40" s="150">
        <v>2752776340</v>
      </c>
      <c r="C40" s="150">
        <v>15935390</v>
      </c>
      <c r="D40" s="150">
        <v>1421528950</v>
      </c>
      <c r="E40" s="150">
        <f t="shared" si="0"/>
        <v>4190240680</v>
      </c>
      <c r="F40" s="150">
        <f>'- 55 -'!C40</f>
        <v>50914379</v>
      </c>
      <c r="G40" s="237">
        <f t="shared" si="5"/>
        <v>12.150705147562073</v>
      </c>
      <c r="I40" s="233" t="str">
        <f t="shared" si="1"/>
        <v xml:space="preserve"> SUNRISE</v>
      </c>
      <c r="J40" s="4">
        <f t="shared" si="2"/>
        <v>13.778411867481402</v>
      </c>
      <c r="M40" s="514"/>
    </row>
    <row r="41" spans="1:13" ht="14.1" customHeight="1">
      <c r="A41" s="357" t="s">
        <v>140</v>
      </c>
      <c r="B41" s="355">
        <v>1595429110</v>
      </c>
      <c r="C41" s="355">
        <v>184403580</v>
      </c>
      <c r="D41" s="355">
        <v>355014220</v>
      </c>
      <c r="E41" s="355">
        <f t="shared" si="0"/>
        <v>2134846910</v>
      </c>
      <c r="F41" s="355">
        <f>'- 55 -'!C41</f>
        <v>29414800</v>
      </c>
      <c r="G41" s="356">
        <f t="shared" si="5"/>
        <v>13.778411867481402</v>
      </c>
      <c r="I41" s="233" t="str">
        <f t="shared" si="1"/>
        <v xml:space="preserve"> SWAN VALLEY</v>
      </c>
      <c r="J41" s="4">
        <f t="shared" si="2"/>
        <v>16.303344583292652</v>
      </c>
      <c r="M41" s="514"/>
    </row>
    <row r="42" spans="1:13" ht="14.1" customHeight="1">
      <c r="A42" s="236" t="s">
        <v>141</v>
      </c>
      <c r="B42" s="150">
        <v>187083430</v>
      </c>
      <c r="C42" s="150">
        <v>149972360</v>
      </c>
      <c r="D42" s="150">
        <v>72225690</v>
      </c>
      <c r="E42" s="150">
        <f t="shared" si="0"/>
        <v>409281480</v>
      </c>
      <c r="F42" s="150">
        <f>'- 55 -'!C42</f>
        <v>6672657</v>
      </c>
      <c r="G42" s="237">
        <f t="shared" si="5"/>
        <v>16.303344583292652</v>
      </c>
      <c r="I42" s="233" t="str">
        <f t="shared" si="1"/>
        <v xml:space="preserve"> TURTLE MOUNTAIN</v>
      </c>
      <c r="J42" s="4">
        <f t="shared" si="2"/>
        <v>14.551783702463959</v>
      </c>
      <c r="M42" s="514"/>
    </row>
    <row r="43" spans="1:13" ht="14.1" customHeight="1">
      <c r="A43" s="357" t="s">
        <v>142</v>
      </c>
      <c r="B43" s="355">
        <v>189082680</v>
      </c>
      <c r="C43" s="355">
        <v>161038240</v>
      </c>
      <c r="D43" s="355">
        <v>57585250</v>
      </c>
      <c r="E43" s="355">
        <f t="shared" si="0"/>
        <v>407706170</v>
      </c>
      <c r="F43" s="355">
        <f>'- 55 -'!C43</f>
        <v>5932852</v>
      </c>
      <c r="G43" s="356">
        <f t="shared" si="5"/>
        <v>14.551783702463959</v>
      </c>
      <c r="I43" s="233" t="str">
        <f t="shared" si="1"/>
        <v xml:space="preserve"> TURTLE RIVER</v>
      </c>
      <c r="J43" s="4">
        <f t="shared" si="2"/>
        <v>18.699481204322574</v>
      </c>
      <c r="M43" s="514"/>
    </row>
    <row r="44" spans="1:13" ht="14.1" customHeight="1">
      <c r="A44" s="236" t="s">
        <v>143</v>
      </c>
      <c r="B44" s="150">
        <v>77442890</v>
      </c>
      <c r="C44" s="150">
        <v>74148040</v>
      </c>
      <c r="D44" s="150">
        <v>13186850</v>
      </c>
      <c r="E44" s="150">
        <f t="shared" si="0"/>
        <v>164777780</v>
      </c>
      <c r="F44" s="150">
        <f>'- 55 -'!C44</f>
        <v>3081259</v>
      </c>
      <c r="G44" s="237">
        <f t="shared" si="5"/>
        <v>18.699481204322574</v>
      </c>
      <c r="I44" s="233" t="str">
        <f t="shared" si="1"/>
        <v xml:space="preserve"> WESTERN</v>
      </c>
      <c r="J44" s="4">
        <f t="shared" si="2"/>
        <v>17.058503766076356</v>
      </c>
      <c r="M44" s="514"/>
    </row>
    <row r="45" spans="1:13" ht="14.1" customHeight="1">
      <c r="A45" s="357" t="s">
        <v>144</v>
      </c>
      <c r="B45" s="355">
        <v>281515410</v>
      </c>
      <c r="C45" s="355">
        <v>65385860</v>
      </c>
      <c r="D45" s="355">
        <v>88439080</v>
      </c>
      <c r="E45" s="355">
        <f t="shared" si="0"/>
        <v>435340350</v>
      </c>
      <c r="F45" s="355">
        <f>'- 55 -'!C45</f>
        <v>7426255</v>
      </c>
      <c r="G45" s="356">
        <f t="shared" si="5"/>
        <v>17.058503766076356</v>
      </c>
      <c r="I45" s="233" t="str">
        <f>A46</f>
        <v xml:space="preserve"> WINNIPEG</v>
      </c>
      <c r="J45" s="4">
        <f>G46</f>
        <v>15.04641358769644</v>
      </c>
      <c r="M45" s="514"/>
    </row>
    <row r="46" spans="1:13" ht="14.1" customHeight="1">
      <c r="A46" s="236" t="s">
        <v>145</v>
      </c>
      <c r="B46" s="150">
        <v>6401894890</v>
      </c>
      <c r="C46" s="150">
        <v>4780620</v>
      </c>
      <c r="D46" s="150">
        <v>4101084700</v>
      </c>
      <c r="E46" s="150">
        <f t="shared" si="0"/>
        <v>10507760210</v>
      </c>
      <c r="F46" s="150">
        <f>'- 55 -'!C46</f>
        <v>158104106</v>
      </c>
      <c r="G46" s="237">
        <f t="shared" si="5"/>
        <v>15.04641358769644</v>
      </c>
      <c r="M46" s="514"/>
    </row>
    <row r="47" spans="1:13" ht="5.0999999999999996" customHeight="1">
      <c r="A47" s="129"/>
      <c r="B47" s="151"/>
      <c r="C47" s="151"/>
      <c r="D47" s="151"/>
      <c r="E47" s="151"/>
      <c r="F47" s="151"/>
      <c r="G47" s="239"/>
      <c r="M47" s="514"/>
    </row>
    <row r="48" spans="1:13" ht="14.1" customHeight="1">
      <c r="A48" s="358" t="s">
        <v>229</v>
      </c>
      <c r="B48" s="359">
        <f>SUM(B11:B46)</f>
        <v>42075422730</v>
      </c>
      <c r="C48" s="359">
        <f>SUM(C11:C46)</f>
        <v>4817221180</v>
      </c>
      <c r="D48" s="359">
        <f>SUM(D11:D46)</f>
        <v>14518116160</v>
      </c>
      <c r="E48" s="359">
        <f>SUM(E11:E46)</f>
        <v>61410760070</v>
      </c>
      <c r="F48" s="359">
        <f>SUM(F11:F46)</f>
        <v>855074984</v>
      </c>
      <c r="G48" s="360">
        <f>F48/E48*1000</f>
        <v>13.923862577589491</v>
      </c>
      <c r="M48" s="514"/>
    </row>
    <row r="49" spans="1:10" ht="5.0999999999999996" customHeight="1">
      <c r="A49" s="129"/>
      <c r="B49" s="151"/>
      <c r="C49" s="151"/>
      <c r="D49" s="151"/>
      <c r="E49" s="151"/>
      <c r="F49" s="151"/>
      <c r="G49" s="151"/>
    </row>
    <row r="50" spans="1:10" ht="14.1" customHeight="1">
      <c r="A50" s="236" t="s">
        <v>230</v>
      </c>
      <c r="B50" s="150">
        <v>61994750</v>
      </c>
      <c r="C50" s="150">
        <v>383760</v>
      </c>
      <c r="D50" s="150">
        <v>3482490</v>
      </c>
      <c r="E50" s="150">
        <f>SUM(B50:D50)</f>
        <v>65861000</v>
      </c>
      <c r="F50" s="151"/>
      <c r="G50" s="151"/>
    </row>
    <row r="51" spans="1:10" ht="14.1" customHeight="1">
      <c r="A51" s="357" t="s">
        <v>231</v>
      </c>
      <c r="B51" s="355">
        <v>16614060</v>
      </c>
      <c r="C51" s="355">
        <v>13567190</v>
      </c>
      <c r="D51" s="355">
        <v>49087090</v>
      </c>
      <c r="E51" s="355">
        <f>SUM(B51:D51)</f>
        <v>79268340</v>
      </c>
      <c r="F51" s="151"/>
      <c r="G51" s="240"/>
    </row>
    <row r="52" spans="1:10" ht="5.0999999999999996" customHeight="1">
      <c r="A52" s="129"/>
      <c r="B52" s="151"/>
      <c r="C52" s="151"/>
      <c r="D52" s="151"/>
      <c r="E52" s="151"/>
      <c r="F52" s="151"/>
      <c r="G52" s="151"/>
    </row>
    <row r="53" spans="1:10" ht="14.1" customHeight="1">
      <c r="A53" s="358" t="s">
        <v>146</v>
      </c>
      <c r="B53" s="359">
        <f>SUM(B48,B50:B51)</f>
        <v>42154031540</v>
      </c>
      <c r="C53" s="359">
        <f>SUM(C48,C50:C51)</f>
        <v>4831172130</v>
      </c>
      <c r="D53" s="359">
        <f>SUM(D48,D50:D51)</f>
        <v>14570685740</v>
      </c>
      <c r="E53" s="359">
        <f>SUM(E48,E50:E51)</f>
        <v>61555889410</v>
      </c>
      <c r="F53" s="151"/>
      <c r="G53" s="240"/>
    </row>
    <row r="54" spans="1:10" ht="50.1" customHeight="1">
      <c r="A54" s="22"/>
      <c r="B54" s="22"/>
      <c r="C54" s="22"/>
      <c r="D54" s="22"/>
      <c r="E54" s="22"/>
      <c r="F54" s="22"/>
      <c r="G54" s="22"/>
    </row>
    <row r="55" spans="1:10" ht="15" customHeight="1">
      <c r="A55" s="607" t="s">
        <v>585</v>
      </c>
      <c r="B55" s="607"/>
      <c r="C55" s="607"/>
      <c r="D55" s="607"/>
      <c r="E55" s="607"/>
      <c r="F55" s="607"/>
      <c r="G55" s="607"/>
      <c r="H55" s="37"/>
      <c r="I55" s="37"/>
      <c r="J55" s="37"/>
    </row>
    <row r="56" spans="1:10" ht="12" customHeight="1">
      <c r="A56" s="608"/>
      <c r="B56" s="608"/>
      <c r="C56" s="608"/>
      <c r="D56" s="608"/>
      <c r="E56" s="608"/>
      <c r="F56" s="608"/>
      <c r="G56" s="608"/>
      <c r="H56" s="37"/>
      <c r="I56" s="37"/>
      <c r="J56" s="37"/>
    </row>
    <row r="57" spans="1:10" ht="12" customHeight="1">
      <c r="A57" s="1" t="s">
        <v>362</v>
      </c>
      <c r="B57" s="37"/>
      <c r="C57" s="37"/>
      <c r="D57" s="37"/>
      <c r="E57" s="37"/>
      <c r="F57" s="37"/>
      <c r="G57" s="37"/>
      <c r="H57" s="37"/>
      <c r="I57" s="37"/>
      <c r="J57" s="37"/>
    </row>
  </sheetData>
  <mergeCells count="5">
    <mergeCell ref="A55:G56"/>
    <mergeCell ref="F8:F9"/>
    <mergeCell ref="G7:G9"/>
    <mergeCell ref="C7:C9"/>
    <mergeCell ref="B7:B9"/>
  </mergeCells>
  <phoneticPr fontId="0" type="noConversion"/>
  <pageMargins left="0.5" right="0.5" top="0.6" bottom="0.2" header="0.3" footer="0.5"/>
  <pageSetup scale="95" orientation="portrait" r:id="rId1"/>
  <headerFooter alignWithMargins="0">
    <oddHeader>&amp;C&amp;"Arial,Regular"&amp;11&amp;A</oddHeader>
  </headerFooter>
  <legacyDrawing r:id="rId2"/>
</worksheet>
</file>

<file path=xl/worksheets/sheet48.xml><?xml version="1.0" encoding="utf-8"?>
<worksheet xmlns="http://schemas.openxmlformats.org/spreadsheetml/2006/main" xmlns:r="http://schemas.openxmlformats.org/officeDocument/2006/relationships">
  <sheetPr codeName="Sheet56">
    <pageSetUpPr fitToPage="1"/>
  </sheetPr>
  <dimension ref="A1:F58"/>
  <sheetViews>
    <sheetView showGridLines="0" showZeros="0" workbookViewId="0"/>
  </sheetViews>
  <sheetFormatPr defaultColWidth="13.6640625" defaultRowHeight="12"/>
  <cols>
    <col min="1" max="1" width="37.5" style="1" customWidth="1"/>
    <col min="2" max="2" width="22" style="1" customWidth="1"/>
    <col min="3" max="4" width="22.5" style="1" customWidth="1"/>
    <col min="5" max="5" width="14.33203125" style="1" customWidth="1"/>
    <col min="6" max="6" width="19.6640625" style="1" customWidth="1"/>
    <col min="7" max="16384" width="13.6640625" style="1"/>
  </cols>
  <sheetData>
    <row r="1" spans="1:6" ht="6.95" customHeight="1">
      <c r="A1" s="513"/>
      <c r="B1" s="22"/>
      <c r="C1" s="22"/>
      <c r="D1" s="22"/>
      <c r="E1" s="22"/>
      <c r="F1" s="22"/>
    </row>
    <row r="2" spans="1:6" ht="15.95" customHeight="1">
      <c r="A2" s="724" t="s">
        <v>332</v>
      </c>
      <c r="B2" s="724"/>
      <c r="C2" s="724"/>
      <c r="D2" s="724"/>
      <c r="E2" s="724"/>
      <c r="F2" s="724"/>
    </row>
    <row r="3" spans="1:6" ht="21" customHeight="1">
      <c r="A3" s="232" t="str">
        <f>+'- 53 -'!A3</f>
        <v>FOR THE 2014 TAXATION YEAR (2014 IS A REASSESSMENT YEAR)</v>
      </c>
      <c r="B3" s="224"/>
      <c r="C3" s="224"/>
      <c r="D3" s="224"/>
      <c r="E3" s="234"/>
      <c r="F3" s="234"/>
    </row>
    <row r="4" spans="1:6" ht="14.25" customHeight="1">
      <c r="B4" s="7"/>
      <c r="C4" s="7"/>
      <c r="D4" s="7"/>
    </row>
    <row r="5" spans="1:6" ht="15.95" customHeight="1">
      <c r="B5" s="7"/>
      <c r="C5" s="7"/>
      <c r="D5" s="7"/>
    </row>
    <row r="6" spans="1:6" ht="15.95" customHeight="1">
      <c r="B6" s="486"/>
      <c r="C6" s="486"/>
      <c r="D6" s="486"/>
    </row>
    <row r="7" spans="1:6" ht="15.95" customHeight="1">
      <c r="B7" s="488"/>
      <c r="C7" s="489"/>
      <c r="D7" s="490"/>
    </row>
    <row r="8" spans="1:6" ht="15.95" customHeight="1">
      <c r="A8" s="15"/>
      <c r="B8" s="771" t="s">
        <v>592</v>
      </c>
      <c r="C8" s="769" t="s">
        <v>591</v>
      </c>
      <c r="D8" s="769" t="s">
        <v>590</v>
      </c>
    </row>
    <row r="9" spans="1:6" ht="15.95" customHeight="1">
      <c r="A9" s="16" t="s">
        <v>43</v>
      </c>
      <c r="B9" s="772"/>
      <c r="C9" s="770"/>
      <c r="D9" s="770"/>
    </row>
    <row r="10" spans="1:6" ht="5.0999999999999996" customHeight="1">
      <c r="A10" s="17"/>
      <c r="B10" s="206"/>
      <c r="C10" s="206"/>
      <c r="D10" s="206"/>
    </row>
    <row r="11" spans="1:6" ht="14.1" customHeight="1">
      <c r="A11" s="357" t="s">
        <v>111</v>
      </c>
      <c r="B11" s="355">
        <f>+Data!W11</f>
        <v>8053049</v>
      </c>
      <c r="C11" s="355">
        <v>504331</v>
      </c>
      <c r="D11" s="355">
        <f>+Data!X11</f>
        <v>7548718</v>
      </c>
    </row>
    <row r="12" spans="1:6" ht="14.1" customHeight="1">
      <c r="A12" s="236" t="s">
        <v>112</v>
      </c>
      <c r="B12" s="150">
        <f>+Data!W12</f>
        <v>14119446</v>
      </c>
      <c r="C12" s="150">
        <v>2736955</v>
      </c>
      <c r="D12" s="150">
        <f>+Data!X12</f>
        <v>11382491</v>
      </c>
    </row>
    <row r="13" spans="1:6" ht="14.1" customHeight="1">
      <c r="A13" s="357" t="s">
        <v>113</v>
      </c>
      <c r="B13" s="355">
        <f>+Data!W13</f>
        <v>42513648</v>
      </c>
      <c r="C13" s="355">
        <v>1848000</v>
      </c>
      <c r="D13" s="355">
        <f>+Data!X13</f>
        <v>40665635</v>
      </c>
    </row>
    <row r="14" spans="1:6" ht="14.1" customHeight="1">
      <c r="A14" s="236" t="s">
        <v>365</v>
      </c>
      <c r="B14" s="150">
        <f>+Data!W14</f>
        <v>0</v>
      </c>
      <c r="C14" s="150">
        <v>0</v>
      </c>
      <c r="D14" s="150">
        <f>+Data!X14</f>
        <v>0</v>
      </c>
    </row>
    <row r="15" spans="1:6" ht="14.1" customHeight="1">
      <c r="A15" s="357" t="s">
        <v>114</v>
      </c>
      <c r="B15" s="355">
        <f>+Data!W15</f>
        <v>11110167</v>
      </c>
      <c r="C15" s="355">
        <v>1595317</v>
      </c>
      <c r="D15" s="355">
        <f>+Data!X15</f>
        <v>9514850</v>
      </c>
    </row>
    <row r="16" spans="1:6" ht="14.1" customHeight="1">
      <c r="A16" s="236" t="s">
        <v>115</v>
      </c>
      <c r="B16" s="150">
        <f>+Data!W16</f>
        <v>4640885</v>
      </c>
      <c r="C16" s="150">
        <v>752713</v>
      </c>
      <c r="D16" s="150">
        <f>+Data!X16</f>
        <v>3888172</v>
      </c>
    </row>
    <row r="17" spans="1:4" ht="14.1" customHeight="1">
      <c r="A17" s="357" t="s">
        <v>116</v>
      </c>
      <c r="B17" s="355">
        <f>+Data!W17</f>
        <v>8365101</v>
      </c>
      <c r="C17" s="355">
        <v>487785</v>
      </c>
      <c r="D17" s="355">
        <f>+Data!X17</f>
        <v>7877316</v>
      </c>
    </row>
    <row r="18" spans="1:4" ht="14.1" customHeight="1">
      <c r="A18" s="236" t="s">
        <v>117</v>
      </c>
      <c r="B18" s="150">
        <f>+Data!W18</f>
        <v>3600634</v>
      </c>
      <c r="C18" s="150">
        <v>318474</v>
      </c>
      <c r="D18" s="150">
        <f>+Data!X18</f>
        <v>3282160</v>
      </c>
    </row>
    <row r="19" spans="1:4" ht="14.1" customHeight="1">
      <c r="A19" s="357" t="s">
        <v>118</v>
      </c>
      <c r="B19" s="355">
        <f>+Data!W19</f>
        <v>17108368</v>
      </c>
      <c r="C19" s="355">
        <v>646173</v>
      </c>
      <c r="D19" s="355">
        <f>+Data!X19</f>
        <v>16462195</v>
      </c>
    </row>
    <row r="20" spans="1:4" ht="14.1" customHeight="1">
      <c r="A20" s="236" t="s">
        <v>119</v>
      </c>
      <c r="B20" s="150">
        <f>+Data!W20</f>
        <v>28645346</v>
      </c>
      <c r="C20" s="150">
        <v>1508126</v>
      </c>
      <c r="D20" s="150">
        <f>+Data!X20</f>
        <v>27137220</v>
      </c>
    </row>
    <row r="21" spans="1:4" ht="14.1" customHeight="1">
      <c r="A21" s="357" t="s">
        <v>120</v>
      </c>
      <c r="B21" s="355">
        <f>+Data!W21</f>
        <v>16549720</v>
      </c>
      <c r="C21" s="355">
        <v>1289551</v>
      </c>
      <c r="D21" s="355">
        <f>+Data!X21</f>
        <v>15260169</v>
      </c>
    </row>
    <row r="22" spans="1:4" ht="14.1" customHeight="1">
      <c r="A22" s="236" t="s">
        <v>121</v>
      </c>
      <c r="B22" s="150">
        <f>+Data!W22</f>
        <v>4646831</v>
      </c>
      <c r="C22" s="150">
        <v>309407</v>
      </c>
      <c r="D22" s="150">
        <f>+Data!X22</f>
        <v>4337424</v>
      </c>
    </row>
    <row r="23" spans="1:4" ht="14.1" customHeight="1">
      <c r="A23" s="357" t="s">
        <v>122</v>
      </c>
      <c r="B23" s="355">
        <f>+Data!W23</f>
        <v>4848716</v>
      </c>
      <c r="C23" s="355">
        <v>440073</v>
      </c>
      <c r="D23" s="355">
        <f>+Data!X23</f>
        <v>4408643</v>
      </c>
    </row>
    <row r="24" spans="1:4" ht="14.1" customHeight="1">
      <c r="A24" s="236" t="s">
        <v>123</v>
      </c>
      <c r="B24" s="150">
        <f>+Data!W24</f>
        <v>27596841</v>
      </c>
      <c r="C24" s="150">
        <v>2692903</v>
      </c>
      <c r="D24" s="150">
        <f>+Data!X24</f>
        <v>24903938</v>
      </c>
    </row>
    <row r="25" spans="1:4" ht="14.1" customHeight="1">
      <c r="A25" s="357" t="s">
        <v>124</v>
      </c>
      <c r="B25" s="355">
        <f>+Data!W25</f>
        <v>90148557</v>
      </c>
      <c r="C25" s="355">
        <v>6541003</v>
      </c>
      <c r="D25" s="355">
        <f>+Data!X25</f>
        <v>83607554</v>
      </c>
    </row>
    <row r="26" spans="1:4" ht="14.1" customHeight="1">
      <c r="A26" s="236" t="s">
        <v>125</v>
      </c>
      <c r="B26" s="150">
        <f>+Data!W26</f>
        <v>14423334</v>
      </c>
      <c r="C26" s="150">
        <v>690360</v>
      </c>
      <c r="D26" s="150">
        <f>+Data!X26</f>
        <v>13732974</v>
      </c>
    </row>
    <row r="27" spans="1:4" ht="14.1" customHeight="1">
      <c r="A27" s="357" t="s">
        <v>126</v>
      </c>
      <c r="B27" s="355">
        <f>+Data!W27</f>
        <v>8900172</v>
      </c>
      <c r="C27" s="355">
        <v>1086050</v>
      </c>
      <c r="D27" s="355">
        <f>+Data!X27</f>
        <v>7814122</v>
      </c>
    </row>
    <row r="28" spans="1:4" ht="14.1" customHeight="1">
      <c r="A28" s="236" t="s">
        <v>127</v>
      </c>
      <c r="B28" s="150">
        <f>+Data!W28</f>
        <v>9037587</v>
      </c>
      <c r="C28" s="150">
        <v>817353</v>
      </c>
      <c r="D28" s="150">
        <f>+Data!X28</f>
        <v>8220234</v>
      </c>
    </row>
    <row r="29" spans="1:4" ht="14.1" customHeight="1">
      <c r="A29" s="357" t="s">
        <v>128</v>
      </c>
      <c r="B29" s="355">
        <f>+Data!W29</f>
        <v>87147784</v>
      </c>
      <c r="C29" s="355">
        <v>4859689</v>
      </c>
      <c r="D29" s="355">
        <f>+Data!X29</f>
        <v>82288095</v>
      </c>
    </row>
    <row r="30" spans="1:4" ht="14.1" customHeight="1">
      <c r="A30" s="236" t="s">
        <v>129</v>
      </c>
      <c r="B30" s="150">
        <f>+Data!W30</f>
        <v>5575737</v>
      </c>
      <c r="C30" s="150">
        <v>332215</v>
      </c>
      <c r="D30" s="150">
        <f>+Data!X30</f>
        <v>5243522</v>
      </c>
    </row>
    <row r="31" spans="1:4" ht="14.1" customHeight="1">
      <c r="A31" s="357" t="s">
        <v>130</v>
      </c>
      <c r="B31" s="355">
        <f>+Data!W31</f>
        <v>15458228</v>
      </c>
      <c r="C31" s="355">
        <v>523036</v>
      </c>
      <c r="D31" s="355">
        <f>+Data!X31</f>
        <v>14935192</v>
      </c>
    </row>
    <row r="32" spans="1:4" ht="14.1" customHeight="1">
      <c r="A32" s="236" t="s">
        <v>131</v>
      </c>
      <c r="B32" s="150">
        <f>+Data!W32</f>
        <v>13445437</v>
      </c>
      <c r="C32" s="150">
        <v>1153109</v>
      </c>
      <c r="D32" s="150">
        <f>+Data!X32</f>
        <v>12292328</v>
      </c>
    </row>
    <row r="33" spans="1:4" ht="14.1" customHeight="1">
      <c r="A33" s="357" t="s">
        <v>132</v>
      </c>
      <c r="B33" s="355">
        <f>+Data!W33</f>
        <v>13708800</v>
      </c>
      <c r="C33" s="355">
        <v>893985</v>
      </c>
      <c r="D33" s="355">
        <f>+Data!X33</f>
        <v>12814815</v>
      </c>
    </row>
    <row r="34" spans="1:4" ht="14.1" customHeight="1">
      <c r="A34" s="236" t="s">
        <v>133</v>
      </c>
      <c r="B34" s="150">
        <f>+Data!W34</f>
        <v>15723706</v>
      </c>
      <c r="C34" s="150">
        <v>869876</v>
      </c>
      <c r="D34" s="150">
        <f>+Data!X34</f>
        <v>14853830</v>
      </c>
    </row>
    <row r="35" spans="1:4" ht="14.1" customHeight="1">
      <c r="A35" s="357" t="s">
        <v>134</v>
      </c>
      <c r="B35" s="355">
        <f>+Data!W35</f>
        <v>77199083</v>
      </c>
      <c r="C35" s="355">
        <v>1490523</v>
      </c>
      <c r="D35" s="355">
        <f>+Data!X35</f>
        <v>75708560</v>
      </c>
    </row>
    <row r="36" spans="1:4" ht="14.1" customHeight="1">
      <c r="A36" s="236" t="s">
        <v>135</v>
      </c>
      <c r="B36" s="150">
        <f>+Data!W36</f>
        <v>10495676</v>
      </c>
      <c r="C36" s="150">
        <v>763891</v>
      </c>
      <c r="D36" s="150">
        <f>+Data!X36</f>
        <v>9731785</v>
      </c>
    </row>
    <row r="37" spans="1:4" ht="14.1" customHeight="1">
      <c r="A37" s="357" t="s">
        <v>136</v>
      </c>
      <c r="B37" s="355">
        <f>+Data!W37</f>
        <v>23137361</v>
      </c>
      <c r="C37" s="355">
        <v>2579094</v>
      </c>
      <c r="D37" s="355">
        <f>+Data!X37</f>
        <v>20558267</v>
      </c>
    </row>
    <row r="38" spans="1:4" ht="14.1" customHeight="1">
      <c r="A38" s="236" t="s">
        <v>137</v>
      </c>
      <c r="B38" s="150">
        <f>+Data!W38</f>
        <v>49883579</v>
      </c>
      <c r="C38" s="150">
        <v>5363834</v>
      </c>
      <c r="D38" s="150">
        <f>+Data!X38</f>
        <v>44519745</v>
      </c>
    </row>
    <row r="39" spans="1:4" ht="14.1" customHeight="1">
      <c r="A39" s="357" t="s">
        <v>138</v>
      </c>
      <c r="B39" s="355">
        <f>+Data!W39</f>
        <v>11297178</v>
      </c>
      <c r="C39" s="355">
        <v>758456</v>
      </c>
      <c r="D39" s="355">
        <f>+Data!X39</f>
        <v>10538722</v>
      </c>
    </row>
    <row r="40" spans="1:4" ht="14.1" customHeight="1">
      <c r="A40" s="236" t="s">
        <v>139</v>
      </c>
      <c r="B40" s="150">
        <f>+Data!W40</f>
        <v>54394902</v>
      </c>
      <c r="C40" s="150">
        <v>3480523</v>
      </c>
      <c r="D40" s="150">
        <f>+Data!X40</f>
        <v>50914379</v>
      </c>
    </row>
    <row r="41" spans="1:4" ht="14.1" customHeight="1">
      <c r="A41" s="357" t="s">
        <v>140</v>
      </c>
      <c r="B41" s="355">
        <f>+Data!W41</f>
        <v>32394497</v>
      </c>
      <c r="C41" s="355">
        <v>2979697</v>
      </c>
      <c r="D41" s="355">
        <f>+Data!X41</f>
        <v>29414800</v>
      </c>
    </row>
    <row r="42" spans="1:4" ht="14.1" customHeight="1">
      <c r="A42" s="236" t="s">
        <v>141</v>
      </c>
      <c r="B42" s="150">
        <f>+Data!W42</f>
        <v>7729154</v>
      </c>
      <c r="C42" s="150">
        <v>1056497</v>
      </c>
      <c r="D42" s="150">
        <f>+Data!X42</f>
        <v>6672657</v>
      </c>
    </row>
    <row r="43" spans="1:4" ht="14.1" customHeight="1">
      <c r="A43" s="357" t="s">
        <v>142</v>
      </c>
      <c r="B43" s="355">
        <f>+Data!W43</f>
        <v>5932852</v>
      </c>
      <c r="C43" s="355">
        <v>0</v>
      </c>
      <c r="D43" s="355">
        <f>+Data!X43</f>
        <v>5932852</v>
      </c>
    </row>
    <row r="44" spans="1:4" ht="14.1" customHeight="1">
      <c r="A44" s="236" t="s">
        <v>143</v>
      </c>
      <c r="B44" s="150">
        <f>+Data!W44</f>
        <v>3550178</v>
      </c>
      <c r="C44" s="150">
        <v>468919</v>
      </c>
      <c r="D44" s="150">
        <f>+Data!X44</f>
        <v>3081259</v>
      </c>
    </row>
    <row r="45" spans="1:4" ht="14.1" customHeight="1">
      <c r="A45" s="357" t="s">
        <v>144</v>
      </c>
      <c r="B45" s="355">
        <f>+Data!W45</f>
        <v>7426255</v>
      </c>
      <c r="C45" s="355">
        <v>0</v>
      </c>
      <c r="D45" s="355">
        <f>+Data!X45</f>
        <v>7426255</v>
      </c>
    </row>
    <row r="46" spans="1:4" ht="14.1" customHeight="1">
      <c r="A46" s="236" t="s">
        <v>145</v>
      </c>
      <c r="B46" s="150">
        <f>+Data!W46</f>
        <v>167684502</v>
      </c>
      <c r="C46" s="150">
        <v>9580396</v>
      </c>
      <c r="D46" s="150">
        <f>+Data!X46</f>
        <v>158104106</v>
      </c>
    </row>
    <row r="47" spans="1:4" ht="5.0999999999999996" customHeight="1">
      <c r="A47" s="129"/>
      <c r="B47" s="151"/>
      <c r="C47" s="151"/>
      <c r="D47" s="151"/>
    </row>
    <row r="48" spans="1:4" ht="14.1" customHeight="1">
      <c r="A48" s="358" t="s">
        <v>146</v>
      </c>
      <c r="B48" s="359">
        <f>SUM(B11:B47)</f>
        <v>916493311</v>
      </c>
      <c r="C48" s="359">
        <f t="shared" ref="C48" si="0">SUM(C11:C46)</f>
        <v>61418314</v>
      </c>
      <c r="D48" s="359">
        <f>SUM(D11:D47)</f>
        <v>855074984</v>
      </c>
    </row>
    <row r="49" spans="1:6" s="183" customFormat="1" ht="53.25" customHeight="1">
      <c r="A49" s="487"/>
      <c r="B49" s="487"/>
      <c r="C49" s="487"/>
      <c r="D49" s="487"/>
      <c r="E49" s="22"/>
      <c r="F49" s="22"/>
    </row>
    <row r="50" spans="1:6" s="183" customFormat="1" ht="15" customHeight="1">
      <c r="A50" s="773" t="s">
        <v>593</v>
      </c>
      <c r="B50" s="773"/>
      <c r="C50" s="773"/>
      <c r="D50" s="773"/>
      <c r="E50" s="773"/>
      <c r="F50" s="773"/>
    </row>
    <row r="51" spans="1:6" ht="12" customHeight="1">
      <c r="A51" s="774"/>
      <c r="B51" s="774"/>
      <c r="C51" s="774"/>
      <c r="D51" s="774"/>
      <c r="E51" s="774"/>
      <c r="F51" s="774"/>
    </row>
    <row r="52" spans="1:6" ht="11.25" customHeight="1">
      <c r="A52" s="774"/>
      <c r="B52" s="774"/>
      <c r="C52" s="774"/>
      <c r="D52" s="774"/>
      <c r="E52" s="774"/>
      <c r="F52" s="774"/>
    </row>
    <row r="53" spans="1:6" ht="14.45" customHeight="1"/>
    <row r="54" spans="1:6" ht="14.45" customHeight="1"/>
    <row r="55" spans="1:6" ht="14.45" customHeight="1"/>
    <row r="56" spans="1:6" ht="14.45" customHeight="1"/>
    <row r="57" spans="1:6" ht="14.45" customHeight="1"/>
    <row r="58" spans="1:6" ht="14.45" customHeight="1"/>
  </sheetData>
  <mergeCells count="5">
    <mergeCell ref="A2:F2"/>
    <mergeCell ref="D8:D9"/>
    <mergeCell ref="C8:C9"/>
    <mergeCell ref="B8:B9"/>
    <mergeCell ref="A50:F52"/>
  </mergeCells>
  <phoneticPr fontId="0" type="noConversion"/>
  <printOptions horizontalCentered="1"/>
  <pageMargins left="0.5" right="0.511811023622047" top="0.59055118110236204" bottom="0" header="0.31496062992126" footer="0"/>
  <pageSetup scale="85" orientation="portrait" r:id="rId1"/>
  <headerFooter alignWithMargins="0">
    <oddHeader>&amp;C&amp;"Arial,Regular"&amp;11 &amp;A</oddHeader>
  </headerFooter>
</worksheet>
</file>

<file path=xl/worksheets/sheet49.xml><?xml version="1.0" encoding="utf-8"?>
<worksheet xmlns="http://schemas.openxmlformats.org/spreadsheetml/2006/main" xmlns:r="http://schemas.openxmlformats.org/officeDocument/2006/relationships">
  <sheetPr codeName="Sheet64">
    <pageSetUpPr fitToPage="1"/>
  </sheetPr>
  <dimension ref="A1:F52"/>
  <sheetViews>
    <sheetView showGridLines="0" showZeros="0" workbookViewId="0"/>
  </sheetViews>
  <sheetFormatPr defaultColWidth="15.83203125" defaultRowHeight="12"/>
  <cols>
    <col min="1" max="1" width="35.83203125" style="1" customWidth="1"/>
    <col min="2" max="3" width="21.83203125" style="1" customWidth="1"/>
    <col min="4" max="4" width="23.83203125" style="1" customWidth="1"/>
    <col min="5" max="5" width="2.83203125" style="1" customWidth="1"/>
    <col min="6" max="6" width="27.83203125" style="1" customWidth="1"/>
    <col min="7" max="19" width="15.83203125" style="1"/>
    <col min="20" max="20" width="21" style="1" bestFit="1" customWidth="1"/>
    <col min="21" max="21" width="15" style="1" bestFit="1" customWidth="1"/>
    <col min="22" max="16384" width="15.83203125" style="1"/>
  </cols>
  <sheetData>
    <row r="1" spans="1:6" ht="6.95" customHeight="1">
      <c r="A1" s="6"/>
    </row>
    <row r="2" spans="1:6" ht="15.95" customHeight="1">
      <c r="A2" s="402"/>
      <c r="B2" s="207" t="s">
        <v>226</v>
      </c>
      <c r="C2" s="208"/>
      <c r="D2" s="208"/>
      <c r="E2" s="209"/>
      <c r="F2" s="209"/>
    </row>
    <row r="3" spans="1:6" ht="15.95" customHeight="1">
      <c r="A3" s="544"/>
      <c r="B3" s="394" t="str">
        <f>TAXYEAR</f>
        <v>FOR THE 2014 TAXATION YEAR (2014 IS A REASSESSMENT YEAR)</v>
      </c>
      <c r="C3" s="393"/>
      <c r="D3" s="393"/>
      <c r="E3" s="401"/>
      <c r="F3" s="401"/>
    </row>
    <row r="4" spans="1:6" ht="15.95" customHeight="1">
      <c r="B4"/>
      <c r="C4" s="7"/>
      <c r="D4" s="7"/>
      <c r="E4" s="7"/>
      <c r="F4" s="7"/>
    </row>
    <row r="5" spans="1:6" ht="15.95" customHeight="1">
      <c r="B5"/>
      <c r="C5" s="7"/>
      <c r="D5" s="7"/>
      <c r="E5" s="7"/>
      <c r="F5" s="7"/>
    </row>
    <row r="6" spans="1:6" ht="15.95" customHeight="1">
      <c r="B6"/>
      <c r="C6" s="7"/>
      <c r="D6" s="7"/>
      <c r="E6" s="7"/>
      <c r="F6" s="7"/>
    </row>
    <row r="7" spans="1:6" ht="15.95" customHeight="1">
      <c r="B7" s="751" t="s">
        <v>594</v>
      </c>
      <c r="C7" s="561"/>
      <c r="D7" s="361"/>
      <c r="E7" s="7"/>
      <c r="F7" s="622" t="s">
        <v>595</v>
      </c>
    </row>
    <row r="8" spans="1:6" ht="15.95" customHeight="1">
      <c r="A8" s="571"/>
      <c r="B8" s="723"/>
      <c r="C8" s="570"/>
      <c r="D8" s="362"/>
      <c r="E8" s="7"/>
      <c r="F8" s="720"/>
    </row>
    <row r="9" spans="1:6" ht="15.95" customHeight="1">
      <c r="A9" s="572" t="s">
        <v>43</v>
      </c>
      <c r="B9" s="628"/>
      <c r="C9" s="302" t="s">
        <v>70</v>
      </c>
      <c r="D9" s="310" t="s">
        <v>32</v>
      </c>
      <c r="E9" s="7"/>
      <c r="F9" s="721"/>
    </row>
    <row r="10" spans="1:6" ht="5.0999999999999996" customHeight="1">
      <c r="A10" s="17"/>
      <c r="B10" s="206">
        <v>38577</v>
      </c>
      <c r="C10" s="206"/>
      <c r="D10" s="206"/>
      <c r="E10" s="206"/>
      <c r="F10" s="206"/>
    </row>
    <row r="11" spans="1:6" ht="14.1" customHeight="1">
      <c r="A11" s="357" t="s">
        <v>111</v>
      </c>
      <c r="B11" s="355">
        <f>'- 51 -'!C11</f>
        <v>1506600.7461000001</v>
      </c>
      <c r="C11" s="355">
        <f>+Data!X11</f>
        <v>7548718</v>
      </c>
      <c r="D11" s="355">
        <f t="shared" ref="D11:D46" si="0">SUM(B11,C11)</f>
        <v>9055318.746100001</v>
      </c>
      <c r="F11" s="355">
        <f>+Data!U11</f>
        <v>388093</v>
      </c>
    </row>
    <row r="12" spans="1:6" ht="14.1" customHeight="1">
      <c r="A12" s="236" t="s">
        <v>112</v>
      </c>
      <c r="B12" s="150">
        <f>'- 51 -'!C12</f>
        <v>1867481.8478000001</v>
      </c>
      <c r="C12" s="150">
        <f>+Data!X12</f>
        <v>11382491</v>
      </c>
      <c r="D12" s="150">
        <f t="shared" si="0"/>
        <v>13249972.8478</v>
      </c>
      <c r="F12" s="150">
        <f>+Data!U12</f>
        <v>311740</v>
      </c>
    </row>
    <row r="13" spans="1:6" ht="14.1" customHeight="1">
      <c r="A13" s="357" t="s">
        <v>113</v>
      </c>
      <c r="B13" s="355">
        <f>'- 51 -'!C13</f>
        <v>9300620.7919000015</v>
      </c>
      <c r="C13" s="355">
        <f>+Data!X13</f>
        <v>40665635</v>
      </c>
      <c r="D13" s="355">
        <f t="shared" si="0"/>
        <v>49966255.791900001</v>
      </c>
      <c r="F13" s="355">
        <f>+Data!U13</f>
        <v>330615</v>
      </c>
    </row>
    <row r="14" spans="1:6" ht="14.1" customHeight="1">
      <c r="A14" s="236" t="s">
        <v>365</v>
      </c>
      <c r="B14" s="150">
        <f>'- 51 -'!C14</f>
        <v>0</v>
      </c>
      <c r="C14" s="150">
        <f>+Data!X14</f>
        <v>0</v>
      </c>
      <c r="D14" s="150">
        <f t="shared" si="0"/>
        <v>0</v>
      </c>
      <c r="F14" s="150">
        <f>+Data!U14</f>
        <v>380268</v>
      </c>
    </row>
    <row r="15" spans="1:6" ht="14.1" customHeight="1">
      <c r="A15" s="357" t="s">
        <v>114</v>
      </c>
      <c r="B15" s="355">
        <f>'- 51 -'!C15</f>
        <v>1245321.8913</v>
      </c>
      <c r="C15" s="355">
        <f>+Data!X15</f>
        <v>9514850</v>
      </c>
      <c r="D15" s="355">
        <f t="shared" si="0"/>
        <v>10760171.8913</v>
      </c>
      <c r="F15" s="355">
        <f>+Data!U15</f>
        <v>559099</v>
      </c>
    </row>
    <row r="16" spans="1:6" ht="14.1" customHeight="1">
      <c r="A16" s="236" t="s">
        <v>115</v>
      </c>
      <c r="B16" s="150">
        <f>'- 51 -'!C16</f>
        <v>374443.85810000001</v>
      </c>
      <c r="C16" s="150">
        <f>+Data!X16</f>
        <v>3888172</v>
      </c>
      <c r="D16" s="150">
        <f t="shared" si="0"/>
        <v>4262615.8580999998</v>
      </c>
      <c r="F16" s="150">
        <f>+Data!U16</f>
        <v>171711</v>
      </c>
    </row>
    <row r="17" spans="1:6" ht="14.1" customHeight="1">
      <c r="A17" s="357" t="s">
        <v>116</v>
      </c>
      <c r="B17" s="355">
        <f>'- 51 -'!C17</f>
        <v>4726994.1973999999</v>
      </c>
      <c r="C17" s="355">
        <f>+Data!X17</f>
        <v>7877316</v>
      </c>
      <c r="D17" s="355">
        <f t="shared" si="0"/>
        <v>12604310.1974</v>
      </c>
      <c r="F17" s="355">
        <f>+Data!U17</f>
        <v>633237</v>
      </c>
    </row>
    <row r="18" spans="1:6" ht="14.1" customHeight="1">
      <c r="A18" s="236" t="s">
        <v>117</v>
      </c>
      <c r="B18" s="150">
        <f>'- 51 -'!C18</f>
        <v>768753.35690000001</v>
      </c>
      <c r="C18" s="150">
        <f>+Data!X18</f>
        <v>3282160</v>
      </c>
      <c r="D18" s="150">
        <f t="shared" si="0"/>
        <v>4050913.3569</v>
      </c>
      <c r="F18" s="150">
        <f>+Data!U18</f>
        <v>84950</v>
      </c>
    </row>
    <row r="19" spans="1:6" ht="14.1" customHeight="1">
      <c r="A19" s="357" t="s">
        <v>118</v>
      </c>
      <c r="B19" s="355">
        <f>'- 51 -'!C19</f>
        <v>2817950.6952000004</v>
      </c>
      <c r="C19" s="355">
        <f>+Data!X19</f>
        <v>16462195</v>
      </c>
      <c r="D19" s="355">
        <f t="shared" si="0"/>
        <v>19280145.6952</v>
      </c>
      <c r="F19" s="355">
        <f>+Data!U19</f>
        <v>219610</v>
      </c>
    </row>
    <row r="20" spans="1:6" ht="14.1" customHeight="1">
      <c r="A20" s="236" t="s">
        <v>119</v>
      </c>
      <c r="B20" s="150">
        <f>'- 51 -'!C20</f>
        <v>3859357.8721000003</v>
      </c>
      <c r="C20" s="150">
        <f>+Data!X20</f>
        <v>27137220</v>
      </c>
      <c r="D20" s="150">
        <f t="shared" si="0"/>
        <v>30996577.872099999</v>
      </c>
      <c r="F20" s="150">
        <f>+Data!U20</f>
        <v>228503</v>
      </c>
    </row>
    <row r="21" spans="1:6" ht="14.1" customHeight="1">
      <c r="A21" s="357" t="s">
        <v>120</v>
      </c>
      <c r="B21" s="355">
        <f>'- 51 -'!C21</f>
        <v>2650883.6559000001</v>
      </c>
      <c r="C21" s="355">
        <f>+Data!X21</f>
        <v>15260169</v>
      </c>
      <c r="D21" s="355">
        <f t="shared" si="0"/>
        <v>17911052.655900002</v>
      </c>
      <c r="F21" s="355">
        <f>+Data!U21</f>
        <v>382995</v>
      </c>
    </row>
    <row r="22" spans="1:6" ht="14.1" customHeight="1">
      <c r="A22" s="236" t="s">
        <v>121</v>
      </c>
      <c r="B22" s="150">
        <f>'- 51 -'!C22</f>
        <v>717965.00520000001</v>
      </c>
      <c r="C22" s="150">
        <f>+Data!X22</f>
        <v>4337424</v>
      </c>
      <c r="D22" s="150">
        <f t="shared" si="0"/>
        <v>5055389.0052000005</v>
      </c>
      <c r="F22" s="150">
        <f>+Data!U22</f>
        <v>138197</v>
      </c>
    </row>
    <row r="23" spans="1:6" ht="14.1" customHeight="1">
      <c r="A23" s="357" t="s">
        <v>122</v>
      </c>
      <c r="B23" s="355">
        <f>'- 51 -'!C23</f>
        <v>311918.45310000004</v>
      </c>
      <c r="C23" s="355">
        <f>+Data!X23</f>
        <v>4408643</v>
      </c>
      <c r="D23" s="355">
        <f t="shared" si="0"/>
        <v>4720561.4530999996</v>
      </c>
      <c r="F23" s="355">
        <f>+Data!U23</f>
        <v>221961</v>
      </c>
    </row>
    <row r="24" spans="1:6" ht="14.1" customHeight="1">
      <c r="A24" s="236" t="s">
        <v>123</v>
      </c>
      <c r="B24" s="150">
        <f>'- 51 -'!C24</f>
        <v>2461029.0992000001</v>
      </c>
      <c r="C24" s="150">
        <f>+Data!X24</f>
        <v>24903938</v>
      </c>
      <c r="D24" s="150">
        <f t="shared" si="0"/>
        <v>27364967.099199999</v>
      </c>
      <c r="F24" s="150">
        <f>+Data!U24</f>
        <v>419300</v>
      </c>
    </row>
    <row r="25" spans="1:6" ht="14.1" customHeight="1">
      <c r="A25" s="357" t="s">
        <v>124</v>
      </c>
      <c r="B25" s="355">
        <f>'- 51 -'!C25</f>
        <v>12644278.6456</v>
      </c>
      <c r="C25" s="355">
        <f>+Data!X25</f>
        <v>83607554</v>
      </c>
      <c r="D25" s="355">
        <f t="shared" si="0"/>
        <v>96251832.645600006</v>
      </c>
      <c r="F25" s="355">
        <f>+Data!U25</f>
        <v>434989</v>
      </c>
    </row>
    <row r="26" spans="1:6" ht="14.1" customHeight="1">
      <c r="A26" s="236" t="s">
        <v>125</v>
      </c>
      <c r="B26" s="150">
        <f>'- 51 -'!C26</f>
        <v>1402334.1803000001</v>
      </c>
      <c r="C26" s="150">
        <f>+Data!X26</f>
        <v>13732974</v>
      </c>
      <c r="D26" s="150">
        <f t="shared" si="0"/>
        <v>15135308.180300001</v>
      </c>
      <c r="F26" s="150">
        <f>+Data!U26</f>
        <v>288455</v>
      </c>
    </row>
    <row r="27" spans="1:6" ht="14.1" customHeight="1">
      <c r="A27" s="357" t="s">
        <v>126</v>
      </c>
      <c r="B27" s="355">
        <f>'- 51 -'!C27</f>
        <v>1395515.7846000001</v>
      </c>
      <c r="C27" s="355">
        <f>+Data!X27</f>
        <v>7814122</v>
      </c>
      <c r="D27" s="355">
        <f t="shared" si="0"/>
        <v>9209637.7846000008</v>
      </c>
      <c r="F27" s="355">
        <f>+Data!U27</f>
        <v>191460</v>
      </c>
    </row>
    <row r="28" spans="1:6" ht="14.1" customHeight="1">
      <c r="A28" s="236" t="s">
        <v>127</v>
      </c>
      <c r="B28" s="150">
        <f>'- 51 -'!C28</f>
        <v>1985662.3237000001</v>
      </c>
      <c r="C28" s="150">
        <f>+Data!X28</f>
        <v>8220234</v>
      </c>
      <c r="D28" s="150">
        <f t="shared" si="0"/>
        <v>10205896.3237</v>
      </c>
      <c r="F28" s="150">
        <f>+Data!U28</f>
        <v>407407</v>
      </c>
    </row>
    <row r="29" spans="1:6" ht="14.1" customHeight="1">
      <c r="A29" s="357" t="s">
        <v>128</v>
      </c>
      <c r="B29" s="355">
        <f>'- 51 -'!C29</f>
        <v>13909283.709800001</v>
      </c>
      <c r="C29" s="355">
        <f>+Data!X29</f>
        <v>82288095</v>
      </c>
      <c r="D29" s="355">
        <f t="shared" si="0"/>
        <v>96197378.709800005</v>
      </c>
      <c r="F29" s="355">
        <f>+Data!U29</f>
        <v>551445</v>
      </c>
    </row>
    <row r="30" spans="1:6" ht="14.1" customHeight="1">
      <c r="A30" s="236" t="s">
        <v>129</v>
      </c>
      <c r="B30" s="150">
        <f>'- 51 -'!C30</f>
        <v>975139.58740000008</v>
      </c>
      <c r="C30" s="150">
        <f>+Data!X30</f>
        <v>5243522</v>
      </c>
      <c r="D30" s="150">
        <f t="shared" si="0"/>
        <v>6218661.5874000005</v>
      </c>
      <c r="F30" s="150">
        <f>+Data!U30</f>
        <v>343756</v>
      </c>
    </row>
    <row r="31" spans="1:6" ht="14.1" customHeight="1">
      <c r="A31" s="357" t="s">
        <v>130</v>
      </c>
      <c r="B31" s="355">
        <f>'- 51 -'!C31</f>
        <v>3541512.1769000003</v>
      </c>
      <c r="C31" s="355">
        <f>+Data!X31</f>
        <v>14935192</v>
      </c>
      <c r="D31" s="355">
        <f t="shared" si="0"/>
        <v>18476704.176899999</v>
      </c>
      <c r="F31" s="355">
        <f>+Data!U31</f>
        <v>333560</v>
      </c>
    </row>
    <row r="32" spans="1:6" ht="14.1" customHeight="1">
      <c r="A32" s="236" t="s">
        <v>131</v>
      </c>
      <c r="B32" s="150">
        <f>'- 51 -'!C32</f>
        <v>1452499.2712000001</v>
      </c>
      <c r="C32" s="150">
        <f>+Data!X32</f>
        <v>12292328</v>
      </c>
      <c r="D32" s="150">
        <f t="shared" si="0"/>
        <v>13744827.271199999</v>
      </c>
      <c r="F32" s="150">
        <f>+Data!U32</f>
        <v>430405</v>
      </c>
    </row>
    <row r="33" spans="1:6" ht="14.1" customHeight="1">
      <c r="A33" s="357" t="s">
        <v>132</v>
      </c>
      <c r="B33" s="355">
        <f>'- 51 -'!C33</f>
        <v>1789678.1246000002</v>
      </c>
      <c r="C33" s="355">
        <f>+Data!X33</f>
        <v>12814815</v>
      </c>
      <c r="D33" s="355">
        <f t="shared" si="0"/>
        <v>14604493.124600001</v>
      </c>
      <c r="F33" s="355">
        <f>+Data!U33</f>
        <v>405331</v>
      </c>
    </row>
    <row r="34" spans="1:6" ht="14.1" customHeight="1">
      <c r="A34" s="236" t="s">
        <v>133</v>
      </c>
      <c r="B34" s="150">
        <f>'- 51 -'!C34</f>
        <v>2461568.8713000002</v>
      </c>
      <c r="C34" s="150">
        <f>+Data!X34</f>
        <v>14853830</v>
      </c>
      <c r="D34" s="150">
        <f t="shared" si="0"/>
        <v>17315398.871300001</v>
      </c>
      <c r="F34" s="150">
        <f>+Data!U34</f>
        <v>429151</v>
      </c>
    </row>
    <row r="35" spans="1:6" ht="14.1" customHeight="1">
      <c r="A35" s="357" t="s">
        <v>134</v>
      </c>
      <c r="B35" s="355">
        <f>'- 51 -'!C35</f>
        <v>9950040.2076000012</v>
      </c>
      <c r="C35" s="355">
        <f>+Data!X35</f>
        <v>75708560</v>
      </c>
      <c r="D35" s="355">
        <f t="shared" si="0"/>
        <v>85658600.207599998</v>
      </c>
      <c r="F35" s="355">
        <f>+Data!U35</f>
        <v>367541</v>
      </c>
    </row>
    <row r="36" spans="1:6" ht="14.1" customHeight="1">
      <c r="A36" s="236" t="s">
        <v>135</v>
      </c>
      <c r="B36" s="150">
        <f>'- 51 -'!C36</f>
        <v>1903554.3195000002</v>
      </c>
      <c r="C36" s="150">
        <f>+Data!X36</f>
        <v>9731785</v>
      </c>
      <c r="D36" s="150">
        <f t="shared" si="0"/>
        <v>11635339.319499999</v>
      </c>
      <c r="F36" s="150">
        <f>+Data!U36</f>
        <v>465319</v>
      </c>
    </row>
    <row r="37" spans="1:6" ht="14.1" customHeight="1">
      <c r="A37" s="357" t="s">
        <v>136</v>
      </c>
      <c r="B37" s="355">
        <f>'- 51 -'!C37</f>
        <v>1855837.0535000002</v>
      </c>
      <c r="C37" s="355">
        <f>+Data!X37</f>
        <v>20558267</v>
      </c>
      <c r="D37" s="355">
        <f t="shared" si="0"/>
        <v>22414104.0535</v>
      </c>
      <c r="F37" s="355">
        <f>+Data!U37</f>
        <v>269763</v>
      </c>
    </row>
    <row r="38" spans="1:6" ht="14.1" customHeight="1">
      <c r="A38" s="236" t="s">
        <v>137</v>
      </c>
      <c r="B38" s="150">
        <f>'- 51 -'!C38</f>
        <v>3638978.4571000002</v>
      </c>
      <c r="C38" s="150">
        <f>+Data!X38</f>
        <v>44519745</v>
      </c>
      <c r="D38" s="150">
        <f t="shared" si="0"/>
        <v>48158723.457100004</v>
      </c>
      <c r="F38" s="150">
        <f>+Data!U38</f>
        <v>293689</v>
      </c>
    </row>
    <row r="39" spans="1:6" ht="14.1" customHeight="1">
      <c r="A39" s="357" t="s">
        <v>138</v>
      </c>
      <c r="B39" s="355">
        <f>'- 51 -'!C39</f>
        <v>4263891.4905000003</v>
      </c>
      <c r="C39" s="355">
        <f>+Data!X39</f>
        <v>10538722</v>
      </c>
      <c r="D39" s="355">
        <f t="shared" si="0"/>
        <v>14802613.490499999</v>
      </c>
      <c r="F39" s="355">
        <f>+Data!U39</f>
        <v>601208</v>
      </c>
    </row>
    <row r="40" spans="1:6" ht="14.1" customHeight="1">
      <c r="A40" s="236" t="s">
        <v>139</v>
      </c>
      <c r="B40" s="150">
        <f>'- 51 -'!C40</f>
        <v>16191214.740500001</v>
      </c>
      <c r="C40" s="150">
        <f>+Data!X40</f>
        <v>50914379</v>
      </c>
      <c r="D40" s="150">
        <f t="shared" si="0"/>
        <v>67105593.740500003</v>
      </c>
      <c r="F40" s="150">
        <f>+Data!U40</f>
        <v>535756</v>
      </c>
    </row>
    <row r="41" spans="1:6" ht="14.1" customHeight="1">
      <c r="A41" s="357" t="s">
        <v>140</v>
      </c>
      <c r="B41" s="355">
        <f>'- 51 -'!C41</f>
        <v>4043611.9658000004</v>
      </c>
      <c r="C41" s="355">
        <f>+Data!X41</f>
        <v>29414800</v>
      </c>
      <c r="D41" s="355">
        <f t="shared" si="0"/>
        <v>33458411.965800002</v>
      </c>
      <c r="F41" s="355">
        <f>+Data!U41</f>
        <v>452339</v>
      </c>
    </row>
    <row r="42" spans="1:6" ht="14.1" customHeight="1">
      <c r="A42" s="236" t="s">
        <v>141</v>
      </c>
      <c r="B42" s="150">
        <f>'- 51 -'!C42</f>
        <v>822650.6091</v>
      </c>
      <c r="C42" s="150">
        <f>+Data!X42</f>
        <v>6672657</v>
      </c>
      <c r="D42" s="150">
        <f t="shared" si="0"/>
        <v>7495307.6091</v>
      </c>
      <c r="F42" s="150">
        <f>+Data!U42</f>
        <v>292574</v>
      </c>
    </row>
    <row r="43" spans="1:6" ht="14.1" customHeight="1">
      <c r="A43" s="357" t="s">
        <v>142</v>
      </c>
      <c r="B43" s="355">
        <f>'- 51 -'!C43</f>
        <v>655895.99750000006</v>
      </c>
      <c r="C43" s="355">
        <f>+Data!X43</f>
        <v>5932852</v>
      </c>
      <c r="D43" s="355">
        <f t="shared" si="0"/>
        <v>6588747.9975000005</v>
      </c>
      <c r="F43" s="355">
        <f>+Data!U43</f>
        <v>422493</v>
      </c>
    </row>
    <row r="44" spans="1:6" ht="14.1" customHeight="1">
      <c r="A44" s="236" t="s">
        <v>143</v>
      </c>
      <c r="B44" s="150">
        <f>'- 51 -'!C44</f>
        <v>150198.22150000001</v>
      </c>
      <c r="C44" s="150">
        <f>+Data!X44</f>
        <v>3081259</v>
      </c>
      <c r="D44" s="150">
        <f t="shared" si="0"/>
        <v>3231457.2215</v>
      </c>
      <c r="F44" s="150">
        <f>+Data!U44</f>
        <v>209531</v>
      </c>
    </row>
    <row r="45" spans="1:6" ht="14.1" customHeight="1">
      <c r="A45" s="357" t="s">
        <v>144</v>
      </c>
      <c r="B45" s="355">
        <f>'- 51 -'!C45</f>
        <v>1007321.1212000001</v>
      </c>
      <c r="C45" s="355">
        <f>+Data!X45</f>
        <v>7426255</v>
      </c>
      <c r="D45" s="355">
        <f t="shared" si="0"/>
        <v>8433576.1212000009</v>
      </c>
      <c r="F45" s="355">
        <f>+Data!U45</f>
        <v>277782</v>
      </c>
    </row>
    <row r="46" spans="1:6" ht="14.1" customHeight="1">
      <c r="A46" s="236" t="s">
        <v>145</v>
      </c>
      <c r="B46" s="150">
        <f>'- 51 -'!C46</f>
        <v>46711354.733000003</v>
      </c>
      <c r="C46" s="150">
        <f>+Data!X46</f>
        <v>158104106</v>
      </c>
      <c r="D46" s="150">
        <f t="shared" si="0"/>
        <v>204815460.73300001</v>
      </c>
      <c r="F46" s="150">
        <f>+Data!U46</f>
        <v>360068</v>
      </c>
    </row>
    <row r="47" spans="1:6" ht="5.0999999999999996" customHeight="1">
      <c r="A47" s="129"/>
      <c r="B47" s="151"/>
      <c r="C47" s="151"/>
      <c r="D47" s="151"/>
      <c r="F47" s="151"/>
    </row>
    <row r="48" spans="1:6" ht="14.1" customHeight="1">
      <c r="A48" s="358" t="s">
        <v>146</v>
      </c>
      <c r="B48" s="359">
        <f>SUM(B11:B46)</f>
        <v>165361343.06239998</v>
      </c>
      <c r="C48" s="359">
        <f>+Data!X48</f>
        <v>855074984</v>
      </c>
      <c r="D48" s="359">
        <f>SUM(D11:D46)</f>
        <v>1020436327.0624001</v>
      </c>
      <c r="F48" s="359">
        <f>+Data!U48</f>
        <v>371860.10778698581</v>
      </c>
    </row>
    <row r="49" spans="1:6" ht="50.1" customHeight="1">
      <c r="A49" s="243" t="s">
        <v>8</v>
      </c>
      <c r="B49" s="22"/>
      <c r="C49" s="22"/>
      <c r="D49" s="22"/>
      <c r="E49" s="22"/>
      <c r="F49" s="22"/>
    </row>
    <row r="50" spans="1:6" ht="15" customHeight="1">
      <c r="A50" s="595" t="s">
        <v>596</v>
      </c>
      <c r="B50" s="595"/>
      <c r="C50" s="595"/>
      <c r="D50" s="595"/>
      <c r="E50" s="595"/>
      <c r="F50" s="595"/>
    </row>
    <row r="51" spans="1:6" ht="12" customHeight="1">
      <c r="A51" s="596"/>
      <c r="B51" s="596"/>
      <c r="C51" s="596"/>
      <c r="D51" s="596"/>
      <c r="E51" s="596"/>
      <c r="F51" s="596"/>
    </row>
    <row r="52" spans="1:6" ht="12" customHeight="1">
      <c r="A52" s="596"/>
      <c r="B52" s="596"/>
      <c r="C52" s="596"/>
      <c r="D52" s="596"/>
      <c r="E52" s="596"/>
      <c r="F52" s="596"/>
    </row>
  </sheetData>
  <mergeCells count="3">
    <mergeCell ref="B7:B9"/>
    <mergeCell ref="F7:F9"/>
    <mergeCell ref="A50:F52"/>
  </mergeCells>
  <phoneticPr fontId="0" type="noConversion"/>
  <pageMargins left="0.5" right="0.5" top="0.6" bottom="0.2" header="0.3" footer="0.5"/>
  <pageSetup scale="88" orientation="portrait" r:id="rId1"/>
  <headerFooter alignWithMargins="0">
    <oddHeader>&amp;C&amp;"Arial,Regular"&amp;11&amp;A</oddHeader>
  </headerFooter>
</worksheet>
</file>

<file path=xl/worksheets/sheet5.xml><?xml version="1.0" encoding="utf-8"?>
<worksheet xmlns="http://schemas.openxmlformats.org/spreadsheetml/2006/main" xmlns:r="http://schemas.openxmlformats.org/officeDocument/2006/relationships">
  <sheetPr codeName="Sheet4"/>
  <dimension ref="A1:G55"/>
  <sheetViews>
    <sheetView showGridLines="0" showZeros="0" workbookViewId="0"/>
  </sheetViews>
  <sheetFormatPr defaultColWidth="15.83203125" defaultRowHeight="12"/>
  <cols>
    <col min="1" max="1" width="34.83203125" style="1" customWidth="1"/>
    <col min="2" max="3" width="18.83203125" style="1" customWidth="1"/>
    <col min="4" max="4" width="1.83203125" style="1" customWidth="1"/>
    <col min="5" max="6" width="18.83203125" style="1" customWidth="1"/>
    <col min="7" max="7" width="21.1640625" style="1" customWidth="1"/>
    <col min="8" max="16384" width="15.83203125" style="1"/>
  </cols>
  <sheetData>
    <row r="1" spans="1:7" ht="6.95" customHeight="1">
      <c r="A1" s="6"/>
      <c r="B1" s="6"/>
      <c r="C1" s="6"/>
      <c r="D1" s="7"/>
      <c r="E1" s="7"/>
    </row>
    <row r="2" spans="1:7" ht="15.95" customHeight="1">
      <c r="A2" s="62"/>
      <c r="B2" s="8" t="s">
        <v>11</v>
      </c>
      <c r="C2" s="9"/>
      <c r="D2" s="9"/>
      <c r="E2" s="72"/>
      <c r="F2" s="80"/>
      <c r="G2" s="80" t="s">
        <v>13</v>
      </c>
    </row>
    <row r="3" spans="1:7" ht="15.95" customHeight="1">
      <c r="A3" s="547"/>
      <c r="B3" s="10" t="str">
        <f>STATDATE</f>
        <v>ACTUAL SEPTEMBER 30, 2014</v>
      </c>
      <c r="C3" s="11"/>
      <c r="D3" s="11"/>
      <c r="E3" s="74"/>
      <c r="F3" s="74"/>
      <c r="G3" s="74"/>
    </row>
    <row r="4" spans="1:7" ht="15.95" customHeight="1">
      <c r="D4" s="7"/>
      <c r="E4" s="7"/>
    </row>
    <row r="5" spans="1:7" ht="15.95" customHeight="1"/>
    <row r="6" spans="1:7" ht="15.95" customHeight="1">
      <c r="B6" s="495"/>
      <c r="C6" s="496"/>
      <c r="D6" s="183"/>
      <c r="E6" s="415"/>
    </row>
    <row r="7" spans="1:7" ht="15.95" customHeight="1">
      <c r="B7" s="497" t="s">
        <v>338</v>
      </c>
      <c r="C7" s="498"/>
      <c r="D7" s="183"/>
      <c r="E7" s="416" t="s">
        <v>32</v>
      </c>
    </row>
    <row r="8" spans="1:7" ht="15.95" customHeight="1">
      <c r="A8" s="32"/>
      <c r="B8" s="606" t="s">
        <v>479</v>
      </c>
      <c r="C8" s="137"/>
      <c r="D8" s="14"/>
      <c r="E8" s="605" t="s">
        <v>478</v>
      </c>
    </row>
    <row r="9" spans="1:7" ht="15.95" customHeight="1">
      <c r="A9" s="81" t="s">
        <v>43</v>
      </c>
      <c r="B9" s="591"/>
      <c r="C9" s="77" t="s">
        <v>32</v>
      </c>
      <c r="D9" s="83"/>
      <c r="E9" s="586"/>
    </row>
    <row r="10" spans="1:7" ht="5.0999999999999996" customHeight="1">
      <c r="A10" s="5"/>
      <c r="B10" s="84"/>
      <c r="C10" s="5"/>
      <c r="D10" s="85"/>
    </row>
    <row r="11" spans="1:7" ht="14.1" customHeight="1">
      <c r="A11" s="287" t="s">
        <v>111</v>
      </c>
      <c r="B11" s="294">
        <v>0</v>
      </c>
      <c r="C11" s="294">
        <f>SUM('- 6 -'!B11:H11,B11)</f>
        <v>1599</v>
      </c>
      <c r="D11" s="86"/>
      <c r="E11" s="294">
        <f>C11</f>
        <v>1599</v>
      </c>
    </row>
    <row r="12" spans="1:7" ht="14.1" customHeight="1">
      <c r="A12" s="18" t="s">
        <v>112</v>
      </c>
      <c r="B12" s="69">
        <v>166.7</v>
      </c>
      <c r="C12" s="69">
        <f>SUM('- 6 -'!B12:H12,B12)</f>
        <v>2133.7999999999997</v>
      </c>
      <c r="D12" s="86"/>
      <c r="E12" s="69">
        <f t="shared" ref="E12:E46" si="0">C12</f>
        <v>2133.7999999999997</v>
      </c>
    </row>
    <row r="13" spans="1:7" ht="14.1" customHeight="1">
      <c r="A13" s="287" t="s">
        <v>113</v>
      </c>
      <c r="B13" s="294">
        <v>393</v>
      </c>
      <c r="C13" s="294">
        <f>SUM('- 6 -'!B13:H13,B13)</f>
        <v>8056</v>
      </c>
      <c r="D13" s="86"/>
      <c r="E13" s="294">
        <f t="shared" si="0"/>
        <v>8056</v>
      </c>
    </row>
    <row r="14" spans="1:7" ht="14.1" customHeight="1">
      <c r="A14" s="18" t="s">
        <v>365</v>
      </c>
      <c r="B14" s="69">
        <v>0</v>
      </c>
      <c r="C14" s="69">
        <f>SUM('- 6 -'!B14:H14,B14)</f>
        <v>5240</v>
      </c>
      <c r="D14" s="86"/>
      <c r="E14" s="69">
        <f t="shared" si="0"/>
        <v>5240</v>
      </c>
    </row>
    <row r="15" spans="1:7" ht="14.1" customHeight="1">
      <c r="A15" s="287" t="s">
        <v>114</v>
      </c>
      <c r="B15" s="294">
        <v>20</v>
      </c>
      <c r="C15" s="294">
        <f>SUM('- 6 -'!B15:H15,B15)</f>
        <v>1452.5</v>
      </c>
      <c r="D15" s="86"/>
      <c r="E15" s="294">
        <f t="shared" si="0"/>
        <v>1452.5</v>
      </c>
    </row>
    <row r="16" spans="1:7" ht="14.1" customHeight="1">
      <c r="A16" s="18" t="s">
        <v>115</v>
      </c>
      <c r="B16" s="69">
        <v>10</v>
      </c>
      <c r="C16" s="69">
        <f>SUM('- 6 -'!B16:H16,B16)</f>
        <v>913.4</v>
      </c>
      <c r="D16" s="86"/>
      <c r="E16" s="69">
        <f t="shared" si="0"/>
        <v>913.4</v>
      </c>
    </row>
    <row r="17" spans="1:5" ht="14.1" customHeight="1">
      <c r="A17" s="287" t="s">
        <v>116</v>
      </c>
      <c r="B17" s="294">
        <v>27.7</v>
      </c>
      <c r="C17" s="294">
        <f>SUM('- 6 -'!B17:H17,B17)</f>
        <v>1336</v>
      </c>
      <c r="D17" s="86"/>
      <c r="E17" s="294">
        <f t="shared" si="0"/>
        <v>1336</v>
      </c>
    </row>
    <row r="18" spans="1:5" ht="14.1" customHeight="1">
      <c r="A18" s="18" t="s">
        <v>117</v>
      </c>
      <c r="B18" s="69">
        <v>41</v>
      </c>
      <c r="C18" s="69">
        <f>SUM('- 6 -'!B18:H18,B18)</f>
        <v>6068.27</v>
      </c>
      <c r="D18" s="86"/>
      <c r="E18" s="69">
        <f t="shared" si="0"/>
        <v>6068.27</v>
      </c>
    </row>
    <row r="19" spans="1:5" ht="14.1" customHeight="1">
      <c r="A19" s="287" t="s">
        <v>118</v>
      </c>
      <c r="B19" s="294">
        <v>139.9</v>
      </c>
      <c r="C19" s="294">
        <f>SUM('- 6 -'!B19:H19,B19)</f>
        <v>4215.3</v>
      </c>
      <c r="D19" s="86"/>
      <c r="E19" s="294">
        <f t="shared" si="0"/>
        <v>4215.3</v>
      </c>
    </row>
    <row r="20" spans="1:5" ht="14.1" customHeight="1">
      <c r="A20" s="18" t="s">
        <v>119</v>
      </c>
      <c r="B20" s="69">
        <v>431.3</v>
      </c>
      <c r="C20" s="69">
        <f>SUM('- 6 -'!B20:H20,B20)</f>
        <v>7371</v>
      </c>
      <c r="D20" s="86"/>
      <c r="E20" s="69">
        <f t="shared" si="0"/>
        <v>7371</v>
      </c>
    </row>
    <row r="21" spans="1:5" ht="14.1" customHeight="1">
      <c r="A21" s="287" t="s">
        <v>120</v>
      </c>
      <c r="B21" s="294">
        <v>0</v>
      </c>
      <c r="C21" s="294">
        <f>SUM('- 6 -'!B21:H21,B21)</f>
        <v>2677</v>
      </c>
      <c r="D21" s="86"/>
      <c r="E21" s="294">
        <f t="shared" si="0"/>
        <v>2677</v>
      </c>
    </row>
    <row r="22" spans="1:5" ht="14.1" customHeight="1">
      <c r="A22" s="18" t="s">
        <v>121</v>
      </c>
      <c r="B22" s="69">
        <v>0</v>
      </c>
      <c r="C22" s="69">
        <f>SUM('- 6 -'!B22:H22,B22)</f>
        <v>1531.9</v>
      </c>
      <c r="D22" s="86"/>
      <c r="E22" s="69">
        <f t="shared" si="0"/>
        <v>1531.9</v>
      </c>
    </row>
    <row r="23" spans="1:5" ht="14.1" customHeight="1">
      <c r="A23" s="287" t="s">
        <v>122</v>
      </c>
      <c r="B23" s="294">
        <v>23</v>
      </c>
      <c r="C23" s="294">
        <f>SUM('- 6 -'!B23:H23,B23)</f>
        <v>1122</v>
      </c>
      <c r="D23" s="86"/>
      <c r="E23" s="294">
        <f t="shared" si="0"/>
        <v>1122</v>
      </c>
    </row>
    <row r="24" spans="1:5" ht="14.1" customHeight="1">
      <c r="A24" s="18" t="s">
        <v>123</v>
      </c>
      <c r="B24" s="69">
        <v>299.5</v>
      </c>
      <c r="C24" s="69">
        <f>SUM('- 6 -'!B24:H24,B24)</f>
        <v>4047.1</v>
      </c>
      <c r="D24" s="86"/>
      <c r="E24" s="69">
        <f t="shared" si="0"/>
        <v>4047.1</v>
      </c>
    </row>
    <row r="25" spans="1:5" ht="14.1" customHeight="1">
      <c r="A25" s="287" t="s">
        <v>124</v>
      </c>
      <c r="B25" s="294">
        <v>92.1</v>
      </c>
      <c r="C25" s="294">
        <f>SUM('- 6 -'!B25:H25,B25)</f>
        <v>13893.9</v>
      </c>
      <c r="D25" s="86"/>
      <c r="E25" s="294">
        <f t="shared" si="0"/>
        <v>13893.9</v>
      </c>
    </row>
    <row r="26" spans="1:5" ht="14.1" customHeight="1">
      <c r="A26" s="18" t="s">
        <v>125</v>
      </c>
      <c r="B26" s="69">
        <v>119</v>
      </c>
      <c r="C26" s="69">
        <f>SUM('- 6 -'!B26:H26,B26)</f>
        <v>3107.5</v>
      </c>
      <c r="D26" s="86"/>
      <c r="E26" s="69">
        <f t="shared" si="0"/>
        <v>3107.5</v>
      </c>
    </row>
    <row r="27" spans="1:5" ht="14.1" customHeight="1">
      <c r="A27" s="287" t="s">
        <v>126</v>
      </c>
      <c r="B27" s="294">
        <v>123</v>
      </c>
      <c r="C27" s="294">
        <f>SUM('- 6 -'!B27:H27,B27)</f>
        <v>2857.5</v>
      </c>
      <c r="D27" s="86"/>
      <c r="E27" s="294">
        <f t="shared" si="0"/>
        <v>2857.5</v>
      </c>
    </row>
    <row r="28" spans="1:5" ht="14.1" customHeight="1">
      <c r="A28" s="18" t="s">
        <v>127</v>
      </c>
      <c r="B28" s="69">
        <v>0</v>
      </c>
      <c r="C28" s="69">
        <f>SUM('- 6 -'!B28:H28,B28)</f>
        <v>2001</v>
      </c>
      <c r="D28" s="86"/>
      <c r="E28" s="69">
        <f t="shared" si="0"/>
        <v>2001</v>
      </c>
    </row>
    <row r="29" spans="1:5" ht="14.1" customHeight="1">
      <c r="A29" s="287" t="s">
        <v>128</v>
      </c>
      <c r="B29" s="294">
        <v>0</v>
      </c>
      <c r="C29" s="294">
        <f>SUM('- 6 -'!B29:H29,B29)</f>
        <v>12437.2</v>
      </c>
      <c r="D29" s="86"/>
      <c r="E29" s="294">
        <f t="shared" si="0"/>
        <v>12437.2</v>
      </c>
    </row>
    <row r="30" spans="1:5" ht="14.1" customHeight="1">
      <c r="A30" s="18" t="s">
        <v>129</v>
      </c>
      <c r="B30" s="69">
        <v>26.6</v>
      </c>
      <c r="C30" s="69">
        <f>SUM('- 6 -'!B30:H30,B30)</f>
        <v>1043.5</v>
      </c>
      <c r="D30" s="86"/>
      <c r="E30" s="69">
        <f t="shared" si="0"/>
        <v>1043.5</v>
      </c>
    </row>
    <row r="31" spans="1:5" ht="14.1" customHeight="1">
      <c r="A31" s="287" t="s">
        <v>130</v>
      </c>
      <c r="B31" s="294">
        <v>76</v>
      </c>
      <c r="C31" s="294">
        <f>SUM('- 6 -'!B31:H31,B31)</f>
        <v>3248</v>
      </c>
      <c r="D31" s="86"/>
      <c r="E31" s="294">
        <f t="shared" si="0"/>
        <v>3248</v>
      </c>
    </row>
    <row r="32" spans="1:5" ht="14.1" customHeight="1">
      <c r="A32" s="18" t="s">
        <v>131</v>
      </c>
      <c r="B32" s="69">
        <v>39.6</v>
      </c>
      <c r="C32" s="69">
        <f>SUM('- 6 -'!B32:H32,B32)</f>
        <v>2094</v>
      </c>
      <c r="D32" s="86"/>
      <c r="E32" s="69">
        <f t="shared" si="0"/>
        <v>2094</v>
      </c>
    </row>
    <row r="33" spans="1:7" ht="14.1" customHeight="1">
      <c r="A33" s="287" t="s">
        <v>132</v>
      </c>
      <c r="B33" s="294">
        <v>60</v>
      </c>
      <c r="C33" s="294">
        <f>SUM('- 6 -'!B33:H33,B33)</f>
        <v>2006.5</v>
      </c>
      <c r="D33" s="86"/>
      <c r="E33" s="294">
        <f t="shared" si="0"/>
        <v>2006.5</v>
      </c>
    </row>
    <row r="34" spans="1:7" ht="14.1" customHeight="1">
      <c r="A34" s="18" t="s">
        <v>133</v>
      </c>
      <c r="B34" s="69">
        <v>22.85</v>
      </c>
      <c r="C34" s="69">
        <f>SUM('- 6 -'!B34:H34,B34)</f>
        <v>1990.76</v>
      </c>
      <c r="D34" s="86"/>
      <c r="E34" s="69">
        <f t="shared" si="0"/>
        <v>1990.76</v>
      </c>
    </row>
    <row r="35" spans="1:7" ht="14.1" customHeight="1">
      <c r="A35" s="287" t="s">
        <v>134</v>
      </c>
      <c r="B35" s="294">
        <v>762</v>
      </c>
      <c r="C35" s="294">
        <f>SUM('- 6 -'!B35:H35,B35)</f>
        <v>15549</v>
      </c>
      <c r="D35" s="86"/>
      <c r="E35" s="294">
        <f t="shared" si="0"/>
        <v>15549</v>
      </c>
    </row>
    <row r="36" spans="1:7" ht="14.1" customHeight="1">
      <c r="A36" s="18" t="s">
        <v>135</v>
      </c>
      <c r="B36" s="69">
        <v>13.3</v>
      </c>
      <c r="C36" s="69">
        <f>SUM('- 6 -'!B36:H36,B36)</f>
        <v>1649</v>
      </c>
      <c r="D36" s="86"/>
      <c r="E36" s="69">
        <f t="shared" si="0"/>
        <v>1649</v>
      </c>
    </row>
    <row r="37" spans="1:7" ht="14.1" customHeight="1">
      <c r="A37" s="287" t="s">
        <v>136</v>
      </c>
      <c r="B37" s="294">
        <v>0</v>
      </c>
      <c r="C37" s="294">
        <f>SUM('- 6 -'!B37:H37,B37)</f>
        <v>3953</v>
      </c>
      <c r="D37" s="86"/>
      <c r="E37" s="294">
        <f t="shared" si="0"/>
        <v>3953</v>
      </c>
    </row>
    <row r="38" spans="1:7" ht="14.1" customHeight="1">
      <c r="A38" s="18" t="s">
        <v>137</v>
      </c>
      <c r="B38" s="69">
        <v>179.2</v>
      </c>
      <c r="C38" s="69">
        <f>SUM('- 6 -'!B38:H38,B38)</f>
        <v>10535.7</v>
      </c>
      <c r="D38" s="86"/>
      <c r="E38" s="69">
        <f t="shared" si="0"/>
        <v>10535.7</v>
      </c>
    </row>
    <row r="39" spans="1:7" ht="14.1" customHeight="1">
      <c r="A39" s="287" t="s">
        <v>138</v>
      </c>
      <c r="B39" s="294">
        <v>36</v>
      </c>
      <c r="C39" s="294">
        <f>SUM('- 6 -'!B39:H39,B39)</f>
        <v>1546.5</v>
      </c>
      <c r="D39" s="86"/>
      <c r="E39" s="294">
        <f t="shared" si="0"/>
        <v>1546.5</v>
      </c>
    </row>
    <row r="40" spans="1:7" ht="14.1" customHeight="1">
      <c r="A40" s="18" t="s">
        <v>139</v>
      </c>
      <c r="B40" s="69">
        <v>268.60000000000002</v>
      </c>
      <c r="C40" s="69">
        <f>SUM('- 6 -'!B40:H40,B40)</f>
        <v>7884.6</v>
      </c>
      <c r="D40" s="86"/>
      <c r="E40" s="69">
        <f t="shared" si="0"/>
        <v>7884.6</v>
      </c>
    </row>
    <row r="41" spans="1:7" ht="14.1" customHeight="1">
      <c r="A41" s="287" t="s">
        <v>140</v>
      </c>
      <c r="B41" s="294">
        <v>0</v>
      </c>
      <c r="C41" s="294">
        <f>SUM('- 6 -'!B41:H41,B41)</f>
        <v>4355.5</v>
      </c>
      <c r="D41" s="86"/>
      <c r="E41" s="294">
        <f t="shared" si="0"/>
        <v>4355.5</v>
      </c>
    </row>
    <row r="42" spans="1:7" ht="14.1" customHeight="1">
      <c r="A42" s="18" t="s">
        <v>141</v>
      </c>
      <c r="B42" s="69">
        <v>158.69999999999999</v>
      </c>
      <c r="C42" s="69">
        <f>SUM('- 6 -'!B42:H42,B42)</f>
        <v>1409.4</v>
      </c>
      <c r="D42" s="86"/>
      <c r="E42" s="69">
        <f t="shared" si="0"/>
        <v>1409.4</v>
      </c>
    </row>
    <row r="43" spans="1:7" ht="14.1" customHeight="1">
      <c r="A43" s="287" t="s">
        <v>142</v>
      </c>
      <c r="B43" s="294">
        <v>28.13</v>
      </c>
      <c r="C43" s="294">
        <f>SUM('- 6 -'!B43:H43,B43)</f>
        <v>963.23</v>
      </c>
      <c r="D43" s="86"/>
      <c r="E43" s="294">
        <f t="shared" si="0"/>
        <v>963.23</v>
      </c>
    </row>
    <row r="44" spans="1:7" ht="14.1" customHeight="1">
      <c r="A44" s="18" t="s">
        <v>143</v>
      </c>
      <c r="B44" s="69">
        <v>0</v>
      </c>
      <c r="C44" s="69">
        <f>SUM('- 6 -'!B44:H44,B44)</f>
        <v>695</v>
      </c>
      <c r="D44" s="86"/>
      <c r="E44" s="69">
        <f t="shared" si="0"/>
        <v>695</v>
      </c>
    </row>
    <row r="45" spans="1:7" ht="14.1" customHeight="1">
      <c r="A45" s="287" t="s">
        <v>144</v>
      </c>
      <c r="B45" s="294">
        <v>33</v>
      </c>
      <c r="C45" s="294">
        <f>SUM('- 6 -'!B45:H45,B45)</f>
        <v>1607</v>
      </c>
      <c r="D45" s="86"/>
      <c r="E45" s="294">
        <f t="shared" si="0"/>
        <v>1607</v>
      </c>
    </row>
    <row r="46" spans="1:7" ht="14.1" customHeight="1">
      <c r="A46" s="18" t="s">
        <v>145</v>
      </c>
      <c r="B46" s="69">
        <v>704.4</v>
      </c>
      <c r="C46" s="69">
        <f>SUM('- 6 -'!B46:H46,B46)</f>
        <v>29904</v>
      </c>
      <c r="D46" s="86"/>
      <c r="E46" s="69">
        <f t="shared" si="0"/>
        <v>29904</v>
      </c>
    </row>
    <row r="47" spans="1:7" ht="5.0999999999999996" customHeight="1">
      <c r="A47"/>
      <c r="B47"/>
      <c r="C47"/>
      <c r="D47"/>
      <c r="E47"/>
      <c r="F47"/>
      <c r="G47"/>
    </row>
    <row r="48" spans="1:7" ht="14.1" customHeight="1">
      <c r="A48" s="289" t="s">
        <v>146</v>
      </c>
      <c r="B48" s="297">
        <f>SUM(B11:B46)</f>
        <v>4294.579999999999</v>
      </c>
      <c r="C48" s="297">
        <f>SUM(C11:C46)</f>
        <v>172495.06</v>
      </c>
      <c r="D48" s="87"/>
      <c r="E48" s="297">
        <f>SUM(E11:E46)</f>
        <v>172495.06</v>
      </c>
    </row>
    <row r="49" spans="1:7" ht="5.0999999999999996" customHeight="1">
      <c r="A49" s="20" t="s">
        <v>8</v>
      </c>
      <c r="B49" s="70"/>
      <c r="C49" s="70"/>
      <c r="D49" s="85"/>
      <c r="E49" s="70"/>
    </row>
    <row r="50" spans="1:7" ht="14.1" customHeight="1">
      <c r="A50" s="18" t="s">
        <v>147</v>
      </c>
      <c r="B50" s="69">
        <v>0</v>
      </c>
      <c r="C50" s="69">
        <f>SUM('- 6 -'!B50:H50,B50)</f>
        <v>166.4</v>
      </c>
      <c r="D50" s="86"/>
      <c r="E50" s="69">
        <f>C50</f>
        <v>166.4</v>
      </c>
    </row>
    <row r="51" spans="1:7" ht="14.1" customHeight="1">
      <c r="A51" s="287" t="s">
        <v>643</v>
      </c>
      <c r="B51" s="294">
        <v>670</v>
      </c>
      <c r="C51" s="294">
        <f>SUM('- 6 -'!B51:H51,B51)</f>
        <v>743</v>
      </c>
      <c r="D51" s="86"/>
      <c r="E51" s="294">
        <f>C51</f>
        <v>743</v>
      </c>
    </row>
    <row r="52" spans="1:7" ht="50.1" customHeight="1">
      <c r="A52" s="436"/>
      <c r="B52" s="436"/>
      <c r="C52" s="436"/>
      <c r="D52" s="436"/>
      <c r="E52" s="436"/>
      <c r="F52" s="436"/>
      <c r="G52" s="436"/>
    </row>
    <row r="53" spans="1:7">
      <c r="A53" s="607" t="s">
        <v>480</v>
      </c>
      <c r="B53" s="607"/>
      <c r="C53" s="607"/>
      <c r="D53" s="607"/>
      <c r="E53" s="607"/>
      <c r="F53" s="607"/>
      <c r="G53" s="607"/>
    </row>
    <row r="54" spans="1:7">
      <c r="A54" s="608"/>
      <c r="B54" s="608"/>
      <c r="C54" s="608"/>
      <c r="D54" s="608"/>
      <c r="E54" s="608"/>
      <c r="F54" s="608"/>
      <c r="G54" s="608"/>
    </row>
    <row r="55" spans="1:7">
      <c r="A55" s="24"/>
    </row>
  </sheetData>
  <mergeCells count="3">
    <mergeCell ref="E8:E9"/>
    <mergeCell ref="B8:B9"/>
    <mergeCell ref="A53:G54"/>
  </mergeCells>
  <phoneticPr fontId="6" type="noConversion"/>
  <pageMargins left="0.51181102362204722" right="0.51181102362204722" top="0.59055118110236227" bottom="0.19685039370078741" header="0.31496062992125984" footer="0.51181102362204722"/>
  <pageSetup scale="88" orientation="portrait" r:id="rId1"/>
  <headerFooter alignWithMargins="0">
    <oddHeader>&amp;C&amp;"Arial,Regular"&amp;11&amp;A</oddHeader>
  </headerFooter>
</worksheet>
</file>

<file path=xl/worksheets/sheet50.xml><?xml version="1.0" encoding="utf-8"?>
<worksheet xmlns="http://schemas.openxmlformats.org/spreadsheetml/2006/main" xmlns:r="http://schemas.openxmlformats.org/officeDocument/2006/relationships">
  <sheetPr codeName="Sheet45">
    <pageSetUpPr fitToPage="1"/>
  </sheetPr>
  <dimension ref="A1:G54"/>
  <sheetViews>
    <sheetView showGridLines="0" showZeros="0" workbookViewId="0"/>
  </sheetViews>
  <sheetFormatPr defaultColWidth="19.83203125" defaultRowHeight="12"/>
  <cols>
    <col min="1" max="1" width="32.83203125" style="1" customWidth="1"/>
    <col min="2" max="2" width="18.1640625" style="1" customWidth="1"/>
    <col min="3" max="3" width="19.33203125" style="1" customWidth="1"/>
    <col min="4" max="4" width="15" style="1" customWidth="1"/>
    <col min="5" max="6" width="16" style="1" customWidth="1"/>
    <col min="7" max="7" width="15.6640625" style="1" customWidth="1"/>
    <col min="8" max="16384" width="19.83203125" style="1"/>
  </cols>
  <sheetData>
    <row r="1" spans="1:7" ht="6.95" customHeight="1">
      <c r="A1" s="6"/>
      <c r="B1" s="6"/>
      <c r="C1" s="6"/>
      <c r="D1" s="6"/>
      <c r="E1" s="6"/>
      <c r="F1" s="6"/>
      <c r="G1" s="6"/>
    </row>
    <row r="2" spans="1:7" ht="15.95" customHeight="1">
      <c r="A2" s="260"/>
      <c r="B2" s="266" t="str">
        <f>REVYEAR</f>
        <v>ANALYSIS OF OPERATING FUND REVENUE: 2014/2015 ACTUAL</v>
      </c>
      <c r="C2" s="266"/>
      <c r="D2" s="267"/>
      <c r="E2" s="264"/>
      <c r="F2" s="264"/>
      <c r="G2" s="214" t="s">
        <v>99</v>
      </c>
    </row>
    <row r="3" spans="1:7" ht="9.75" customHeight="1">
      <c r="A3" s="542"/>
      <c r="B3" s="6"/>
      <c r="C3" s="6"/>
      <c r="D3" s="6"/>
      <c r="E3" s="6"/>
      <c r="F3" s="6"/>
      <c r="G3" s="6"/>
    </row>
    <row r="4" spans="1:7" ht="15.95" customHeight="1">
      <c r="B4" s="778" t="s">
        <v>601</v>
      </c>
      <c r="C4" s="779"/>
      <c r="D4" s="779"/>
      <c r="E4" s="779"/>
      <c r="F4" s="779"/>
      <c r="G4" s="780"/>
    </row>
    <row r="5" spans="1:7" ht="15.95" customHeight="1">
      <c r="B5" s="781"/>
      <c r="C5" s="782"/>
      <c r="D5" s="782"/>
      <c r="E5" s="782"/>
      <c r="F5" s="782"/>
      <c r="G5" s="783"/>
    </row>
    <row r="6" spans="1:7" ht="15.95" customHeight="1">
      <c r="B6" s="775" t="s">
        <v>52</v>
      </c>
      <c r="C6" s="776"/>
      <c r="D6" s="776"/>
      <c r="E6" s="776"/>
      <c r="F6" s="776"/>
      <c r="G6" s="777"/>
    </row>
    <row r="7" spans="1:7" ht="15.95" customHeight="1">
      <c r="B7" s="219"/>
      <c r="C7" s="784" t="s">
        <v>371</v>
      </c>
      <c r="D7" s="32"/>
      <c r="E7" s="32"/>
      <c r="F7" s="32"/>
      <c r="G7" s="32"/>
    </row>
    <row r="8" spans="1:7" ht="20.25" customHeight="1">
      <c r="A8" s="66"/>
      <c r="B8" s="787" t="s">
        <v>597</v>
      </c>
      <c r="C8" s="785"/>
      <c r="D8" s="538"/>
      <c r="E8" s="789" t="s">
        <v>598</v>
      </c>
      <c r="F8" s="789" t="s">
        <v>599</v>
      </c>
      <c r="G8" s="789" t="s">
        <v>600</v>
      </c>
    </row>
    <row r="9" spans="1:7" ht="13.5">
      <c r="A9" s="34" t="s">
        <v>43</v>
      </c>
      <c r="B9" s="788"/>
      <c r="C9" s="786"/>
      <c r="D9" s="539" t="s">
        <v>396</v>
      </c>
      <c r="E9" s="790"/>
      <c r="F9" s="790"/>
      <c r="G9" s="790"/>
    </row>
    <row r="10" spans="1:7" ht="5.0999999999999996" customHeight="1">
      <c r="A10" s="5"/>
      <c r="E10" s="6"/>
      <c r="F10" s="6"/>
      <c r="G10" s="6"/>
    </row>
    <row r="11" spans="1:7" ht="14.1" customHeight="1">
      <c r="A11" s="357" t="s">
        <v>111</v>
      </c>
      <c r="B11" s="355">
        <v>2848106</v>
      </c>
      <c r="C11" s="355">
        <v>146107</v>
      </c>
      <c r="D11" s="355">
        <v>170751</v>
      </c>
      <c r="E11" s="355">
        <v>87563</v>
      </c>
      <c r="F11" s="355">
        <v>88680</v>
      </c>
      <c r="G11" s="355">
        <v>135976</v>
      </c>
    </row>
    <row r="12" spans="1:7" ht="14.1" customHeight="1">
      <c r="A12" s="236" t="s">
        <v>112</v>
      </c>
      <c r="B12" s="150">
        <v>3979833</v>
      </c>
      <c r="C12" s="150">
        <v>0</v>
      </c>
      <c r="D12" s="150">
        <v>399966</v>
      </c>
      <c r="E12" s="150">
        <v>61959</v>
      </c>
      <c r="F12" s="150">
        <v>123918</v>
      </c>
      <c r="G12" s="150">
        <v>190008</v>
      </c>
    </row>
    <row r="13" spans="1:7" ht="14.1" customHeight="1">
      <c r="A13" s="357" t="s">
        <v>113</v>
      </c>
      <c r="B13" s="355">
        <v>15278413</v>
      </c>
      <c r="C13" s="355">
        <v>0</v>
      </c>
      <c r="D13" s="355">
        <v>114181</v>
      </c>
      <c r="E13" s="355">
        <v>475525</v>
      </c>
      <c r="F13" s="355">
        <v>475717</v>
      </c>
      <c r="G13" s="355">
        <v>729431</v>
      </c>
    </row>
    <row r="14" spans="1:7" ht="14.1" customHeight="1">
      <c r="A14" s="236" t="s">
        <v>365</v>
      </c>
      <c r="B14" s="150">
        <v>9526703</v>
      </c>
      <c r="C14" s="150">
        <v>31484</v>
      </c>
      <c r="D14" s="150">
        <v>760837</v>
      </c>
      <c r="E14" s="150">
        <v>296628</v>
      </c>
      <c r="F14" s="150">
        <v>296628</v>
      </c>
      <c r="G14" s="150">
        <v>454830</v>
      </c>
    </row>
    <row r="15" spans="1:7" ht="14.1" customHeight="1">
      <c r="A15" s="357" t="s">
        <v>114</v>
      </c>
      <c r="B15" s="355">
        <v>2857741</v>
      </c>
      <c r="C15" s="355">
        <v>0</v>
      </c>
      <c r="D15" s="355">
        <v>245094</v>
      </c>
      <c r="E15" s="355">
        <v>88980</v>
      </c>
      <c r="F15" s="355">
        <v>88980</v>
      </c>
      <c r="G15" s="355">
        <v>136436</v>
      </c>
    </row>
    <row r="16" spans="1:7" ht="14.1" customHeight="1">
      <c r="A16" s="236" t="s">
        <v>115</v>
      </c>
      <c r="B16" s="150">
        <v>1798662</v>
      </c>
      <c r="C16" s="150">
        <v>35973</v>
      </c>
      <c r="D16" s="150">
        <v>0</v>
      </c>
      <c r="E16" s="150">
        <v>56004</v>
      </c>
      <c r="F16" s="150">
        <v>56004</v>
      </c>
      <c r="G16" s="150">
        <v>85873</v>
      </c>
    </row>
    <row r="17" spans="1:7" ht="14.1" customHeight="1">
      <c r="A17" s="357" t="s">
        <v>116</v>
      </c>
      <c r="B17" s="355">
        <v>2438233</v>
      </c>
      <c r="C17" s="355">
        <v>17172</v>
      </c>
      <c r="D17" s="355">
        <v>281819</v>
      </c>
      <c r="E17" s="355">
        <v>75918</v>
      </c>
      <c r="F17" s="355">
        <v>75918</v>
      </c>
      <c r="G17" s="355">
        <v>116408</v>
      </c>
    </row>
    <row r="18" spans="1:7" ht="14.1" customHeight="1">
      <c r="A18" s="236" t="s">
        <v>117</v>
      </c>
      <c r="B18" s="150">
        <v>4533075</v>
      </c>
      <c r="C18" s="150">
        <v>0</v>
      </c>
      <c r="D18" s="150">
        <v>1004780</v>
      </c>
      <c r="E18" s="150">
        <v>141144</v>
      </c>
      <c r="F18" s="150">
        <v>141144</v>
      </c>
      <c r="G18" s="150">
        <v>216421</v>
      </c>
    </row>
    <row r="19" spans="1:7" ht="14.1" customHeight="1">
      <c r="A19" s="357" t="s">
        <v>118</v>
      </c>
      <c r="B19" s="355">
        <v>8007841</v>
      </c>
      <c r="C19" s="355">
        <v>42390</v>
      </c>
      <c r="D19" s="355">
        <v>188216</v>
      </c>
      <c r="E19" s="355">
        <v>249336</v>
      </c>
      <c r="F19" s="355">
        <v>249336</v>
      </c>
      <c r="G19" s="355">
        <v>382315</v>
      </c>
    </row>
    <row r="20" spans="1:7" ht="14.1" customHeight="1">
      <c r="A20" s="236" t="s">
        <v>119</v>
      </c>
      <c r="B20" s="150">
        <v>14203917</v>
      </c>
      <c r="C20" s="150">
        <v>0</v>
      </c>
      <c r="D20" s="150">
        <v>260331</v>
      </c>
      <c r="E20" s="150">
        <v>442260</v>
      </c>
      <c r="F20" s="150">
        <v>442260</v>
      </c>
      <c r="G20" s="150">
        <v>678132</v>
      </c>
    </row>
    <row r="21" spans="1:7" ht="14.1" customHeight="1">
      <c r="A21" s="357" t="s">
        <v>120</v>
      </c>
      <c r="B21" s="355">
        <v>5202129</v>
      </c>
      <c r="C21" s="355">
        <v>78384</v>
      </c>
      <c r="D21" s="355">
        <v>472740</v>
      </c>
      <c r="E21" s="355">
        <v>173904</v>
      </c>
      <c r="F21" s="355">
        <v>161976</v>
      </c>
      <c r="G21" s="355">
        <v>248363</v>
      </c>
    </row>
    <row r="22" spans="1:7" ht="14.1" customHeight="1">
      <c r="A22" s="236" t="s">
        <v>121</v>
      </c>
      <c r="B22" s="150">
        <v>3021921</v>
      </c>
      <c r="C22" s="150">
        <v>0</v>
      </c>
      <c r="D22" s="150">
        <v>35015</v>
      </c>
      <c r="E22" s="150">
        <v>94092</v>
      </c>
      <c r="F22" s="150">
        <v>94092</v>
      </c>
      <c r="G22" s="150">
        <v>144274</v>
      </c>
    </row>
    <row r="23" spans="1:7" ht="14.1" customHeight="1">
      <c r="A23" s="357" t="s">
        <v>122</v>
      </c>
      <c r="B23" s="355">
        <v>2036068</v>
      </c>
      <c r="C23" s="355">
        <v>0</v>
      </c>
      <c r="D23" s="355">
        <v>387184</v>
      </c>
      <c r="E23" s="355">
        <v>63396</v>
      </c>
      <c r="F23" s="355">
        <v>63396</v>
      </c>
      <c r="G23" s="355">
        <v>97207</v>
      </c>
    </row>
    <row r="24" spans="1:7" ht="14.1" customHeight="1">
      <c r="A24" s="236" t="s">
        <v>123</v>
      </c>
      <c r="B24" s="150">
        <v>7806084</v>
      </c>
      <c r="C24" s="150">
        <v>0</v>
      </c>
      <c r="D24" s="150">
        <v>349323</v>
      </c>
      <c r="E24" s="150">
        <v>243054</v>
      </c>
      <c r="F24" s="150">
        <v>243054</v>
      </c>
      <c r="G24" s="150">
        <v>372683</v>
      </c>
    </row>
    <row r="25" spans="1:7" ht="14.1" customHeight="1">
      <c r="A25" s="357" t="s">
        <v>124</v>
      </c>
      <c r="B25" s="355">
        <v>26115262</v>
      </c>
      <c r="C25" s="355">
        <v>0</v>
      </c>
      <c r="D25" s="355">
        <v>0</v>
      </c>
      <c r="E25" s="355">
        <v>813150</v>
      </c>
      <c r="F25" s="355">
        <v>813150</v>
      </c>
      <c r="G25" s="355">
        <v>1246830</v>
      </c>
    </row>
    <row r="26" spans="1:7" ht="14.1" customHeight="1">
      <c r="A26" s="236" t="s">
        <v>125</v>
      </c>
      <c r="B26" s="150">
        <v>5711628</v>
      </c>
      <c r="C26" s="150">
        <v>0</v>
      </c>
      <c r="D26" s="150">
        <v>570178</v>
      </c>
      <c r="E26" s="150">
        <v>177840</v>
      </c>
      <c r="F26" s="150">
        <v>177840</v>
      </c>
      <c r="G26" s="150">
        <v>272688</v>
      </c>
    </row>
    <row r="27" spans="1:7" ht="14.1" customHeight="1">
      <c r="A27" s="357" t="s">
        <v>126</v>
      </c>
      <c r="B27" s="355">
        <v>5247606</v>
      </c>
      <c r="C27" s="355">
        <v>0</v>
      </c>
      <c r="D27" s="355">
        <v>0</v>
      </c>
      <c r="E27" s="355">
        <v>163392</v>
      </c>
      <c r="F27" s="355">
        <v>163392</v>
      </c>
      <c r="G27" s="355">
        <v>250534</v>
      </c>
    </row>
    <row r="28" spans="1:7" ht="14.1" customHeight="1">
      <c r="A28" s="236" t="s">
        <v>127</v>
      </c>
      <c r="B28" s="150">
        <v>2924415</v>
      </c>
      <c r="C28" s="150">
        <v>33708</v>
      </c>
      <c r="D28" s="150">
        <v>517965</v>
      </c>
      <c r="E28" s="150">
        <v>91056</v>
      </c>
      <c r="F28" s="150">
        <v>91056</v>
      </c>
      <c r="G28" s="150">
        <v>139619</v>
      </c>
    </row>
    <row r="29" spans="1:7" ht="14.1" customHeight="1">
      <c r="A29" s="357" t="s">
        <v>128</v>
      </c>
      <c r="B29" s="355">
        <v>23273728</v>
      </c>
      <c r="C29" s="355">
        <v>0</v>
      </c>
      <c r="D29" s="355">
        <v>0</v>
      </c>
      <c r="E29" s="355">
        <v>724662</v>
      </c>
      <c r="F29" s="355">
        <v>724662</v>
      </c>
      <c r="G29" s="355">
        <v>1111148</v>
      </c>
    </row>
    <row r="30" spans="1:7" ht="14.1" customHeight="1">
      <c r="A30" s="236" t="s">
        <v>129</v>
      </c>
      <c r="B30" s="150">
        <v>2037803</v>
      </c>
      <c r="C30" s="150">
        <v>65575</v>
      </c>
      <c r="D30" s="150">
        <v>305637</v>
      </c>
      <c r="E30" s="150">
        <v>63450</v>
      </c>
      <c r="F30" s="150">
        <v>63450</v>
      </c>
      <c r="G30" s="150">
        <v>97290</v>
      </c>
    </row>
    <row r="31" spans="1:7" ht="14.1" customHeight="1">
      <c r="A31" s="357" t="s">
        <v>130</v>
      </c>
      <c r="B31" s="355">
        <v>5883516</v>
      </c>
      <c r="C31" s="355">
        <v>0</v>
      </c>
      <c r="D31" s="355">
        <v>189787</v>
      </c>
      <c r="E31" s="355">
        <v>173397</v>
      </c>
      <c r="F31" s="355">
        <v>183192</v>
      </c>
      <c r="G31" s="355">
        <v>280894</v>
      </c>
    </row>
    <row r="32" spans="1:7" ht="14.1" customHeight="1">
      <c r="A32" s="236" t="s">
        <v>131</v>
      </c>
      <c r="B32" s="150">
        <v>3873270</v>
      </c>
      <c r="C32" s="150">
        <v>0</v>
      </c>
      <c r="D32" s="150">
        <v>598555</v>
      </c>
      <c r="E32" s="150">
        <v>120600</v>
      </c>
      <c r="F32" s="150">
        <v>120600</v>
      </c>
      <c r="G32" s="150">
        <v>184920</v>
      </c>
    </row>
    <row r="33" spans="1:7" ht="14.1" customHeight="1">
      <c r="A33" s="357" t="s">
        <v>132</v>
      </c>
      <c r="B33" s="355">
        <v>3797732</v>
      </c>
      <c r="C33" s="355">
        <v>38589</v>
      </c>
      <c r="D33" s="355">
        <v>790882</v>
      </c>
      <c r="E33" s="355">
        <v>118248</v>
      </c>
      <c r="F33" s="355">
        <v>118248</v>
      </c>
      <c r="G33" s="355">
        <v>181314</v>
      </c>
    </row>
    <row r="34" spans="1:7" ht="14.1" customHeight="1">
      <c r="A34" s="236" t="s">
        <v>133</v>
      </c>
      <c r="B34" s="150">
        <v>3801586</v>
      </c>
      <c r="C34" s="150">
        <v>63927</v>
      </c>
      <c r="D34" s="150">
        <v>567285</v>
      </c>
      <c r="E34" s="150">
        <v>116425</v>
      </c>
      <c r="F34" s="150">
        <v>118368</v>
      </c>
      <c r="G34" s="150">
        <v>181498</v>
      </c>
    </row>
    <row r="35" spans="1:7" ht="14.1" customHeight="1">
      <c r="A35" s="357" t="s">
        <v>134</v>
      </c>
      <c r="B35" s="355">
        <v>29688904</v>
      </c>
      <c r="C35" s="355">
        <v>0</v>
      </c>
      <c r="D35" s="355">
        <v>0</v>
      </c>
      <c r="E35" s="355">
        <v>947340</v>
      </c>
      <c r="F35" s="355">
        <v>924408</v>
      </c>
      <c r="G35" s="355">
        <v>1417426</v>
      </c>
    </row>
    <row r="36" spans="1:7" ht="14.1" customHeight="1">
      <c r="A36" s="236" t="s">
        <v>135</v>
      </c>
      <c r="B36" s="150">
        <v>2922874</v>
      </c>
      <c r="C36" s="150">
        <v>89466</v>
      </c>
      <c r="D36" s="150">
        <v>441632</v>
      </c>
      <c r="E36" s="150">
        <v>91008</v>
      </c>
      <c r="F36" s="150">
        <v>91008</v>
      </c>
      <c r="G36" s="150">
        <v>139546</v>
      </c>
    </row>
    <row r="37" spans="1:7" ht="14.1" customHeight="1">
      <c r="A37" s="357" t="s">
        <v>136</v>
      </c>
      <c r="B37" s="355">
        <v>7523586</v>
      </c>
      <c r="C37" s="355">
        <v>0</v>
      </c>
      <c r="D37" s="355">
        <v>449483</v>
      </c>
      <c r="E37" s="355">
        <v>234258</v>
      </c>
      <c r="F37" s="355">
        <v>234258</v>
      </c>
      <c r="G37" s="355">
        <v>359196</v>
      </c>
    </row>
    <row r="38" spans="1:7" ht="14.1" customHeight="1">
      <c r="A38" s="236" t="s">
        <v>137</v>
      </c>
      <c r="B38" s="150">
        <v>19965454</v>
      </c>
      <c r="C38" s="150">
        <v>0</v>
      </c>
      <c r="D38" s="150">
        <v>0</v>
      </c>
      <c r="E38" s="150">
        <v>617810</v>
      </c>
      <c r="F38" s="150">
        <v>621654</v>
      </c>
      <c r="G38" s="150">
        <v>953203</v>
      </c>
    </row>
    <row r="39" spans="1:7" ht="14.1" customHeight="1">
      <c r="A39" s="357" t="s">
        <v>138</v>
      </c>
      <c r="B39" s="355">
        <v>2993595</v>
      </c>
      <c r="C39" s="355">
        <v>0</v>
      </c>
      <c r="D39" s="355">
        <v>522585</v>
      </c>
      <c r="E39" s="355">
        <v>93210</v>
      </c>
      <c r="F39" s="355">
        <v>93210</v>
      </c>
      <c r="G39" s="355">
        <v>142922</v>
      </c>
    </row>
    <row r="40" spans="1:7" ht="14.1" customHeight="1">
      <c r="A40" s="236" t="s">
        <v>139</v>
      </c>
      <c r="B40" s="150">
        <v>15157589</v>
      </c>
      <c r="C40" s="150">
        <v>0</v>
      </c>
      <c r="D40" s="150">
        <v>0</v>
      </c>
      <c r="E40" s="150">
        <v>471954</v>
      </c>
      <c r="F40" s="150">
        <v>471954</v>
      </c>
      <c r="G40" s="150">
        <v>723663</v>
      </c>
    </row>
    <row r="41" spans="1:7" ht="14.1" customHeight="1">
      <c r="A41" s="357" t="s">
        <v>140</v>
      </c>
      <c r="B41" s="355">
        <v>8357014</v>
      </c>
      <c r="C41" s="355">
        <v>108978</v>
      </c>
      <c r="D41" s="355">
        <v>496003</v>
      </c>
      <c r="E41" s="355">
        <v>260208</v>
      </c>
      <c r="F41" s="355">
        <v>260208</v>
      </c>
      <c r="G41" s="355">
        <v>398986</v>
      </c>
    </row>
    <row r="42" spans="1:7" ht="14.1" customHeight="1">
      <c r="A42" s="236" t="s">
        <v>141</v>
      </c>
      <c r="B42" s="150">
        <v>2711867</v>
      </c>
      <c r="C42" s="150">
        <v>0</v>
      </c>
      <c r="D42" s="150">
        <v>294230</v>
      </c>
      <c r="E42" s="150">
        <v>83593</v>
      </c>
      <c r="F42" s="150">
        <v>84438</v>
      </c>
      <c r="G42" s="150">
        <v>129472</v>
      </c>
    </row>
    <row r="43" spans="1:7" ht="14.1" customHeight="1">
      <c r="A43" s="357" t="s">
        <v>142</v>
      </c>
      <c r="B43" s="355">
        <v>1886148</v>
      </c>
      <c r="C43" s="355">
        <v>41175</v>
      </c>
      <c r="D43" s="355">
        <v>246020</v>
      </c>
      <c r="E43" s="355">
        <v>58683</v>
      </c>
      <c r="F43" s="355">
        <v>58728</v>
      </c>
      <c r="G43" s="355">
        <v>90050</v>
      </c>
    </row>
    <row r="44" spans="1:7" ht="14.1" customHeight="1">
      <c r="A44" s="236" t="s">
        <v>143</v>
      </c>
      <c r="B44" s="150">
        <v>1353718</v>
      </c>
      <c r="C44" s="150">
        <v>29070</v>
      </c>
      <c r="D44" s="150">
        <v>299359</v>
      </c>
      <c r="E44" s="150">
        <v>42150</v>
      </c>
      <c r="F44" s="150">
        <v>42150</v>
      </c>
      <c r="G44" s="150">
        <v>64630</v>
      </c>
    </row>
    <row r="45" spans="1:7" ht="14.1" customHeight="1">
      <c r="A45" s="357" t="s">
        <v>144</v>
      </c>
      <c r="B45" s="355">
        <v>3103048</v>
      </c>
      <c r="C45" s="355">
        <v>0</v>
      </c>
      <c r="D45" s="355">
        <v>16157</v>
      </c>
      <c r="E45" s="355">
        <v>88755</v>
      </c>
      <c r="F45" s="355">
        <v>96618</v>
      </c>
      <c r="G45" s="355">
        <v>148148</v>
      </c>
    </row>
    <row r="46" spans="1:7" ht="14.1" customHeight="1">
      <c r="A46" s="236" t="s">
        <v>145</v>
      </c>
      <c r="B46" s="150">
        <v>56870588</v>
      </c>
      <c r="C46" s="150">
        <v>0</v>
      </c>
      <c r="D46" s="150">
        <v>0</v>
      </c>
      <c r="E46" s="150">
        <v>1714710</v>
      </c>
      <c r="F46" s="150">
        <v>1770750</v>
      </c>
      <c r="G46" s="150">
        <v>2715150</v>
      </c>
    </row>
    <row r="47" spans="1:7" ht="5.0999999999999996" customHeight="1">
      <c r="A47" s="129"/>
      <c r="B47" s="151"/>
      <c r="C47" s="151"/>
      <c r="D47" s="151"/>
      <c r="E47" s="151"/>
      <c r="F47" s="151"/>
      <c r="G47" s="151"/>
    </row>
    <row r="48" spans="1:7" ht="14.1" customHeight="1">
      <c r="A48" s="358" t="s">
        <v>146</v>
      </c>
      <c r="B48" s="359">
        <f t="shared" ref="B48:G48" si="0">SUM(B11:B46)</f>
        <v>318739657</v>
      </c>
      <c r="C48" s="359">
        <f t="shared" si="0"/>
        <v>821998</v>
      </c>
      <c r="D48" s="359">
        <f t="shared" si="0"/>
        <v>10975995</v>
      </c>
      <c r="E48" s="359">
        <f t="shared" si="0"/>
        <v>9815662</v>
      </c>
      <c r="F48" s="359">
        <f t="shared" si="0"/>
        <v>9924445</v>
      </c>
      <c r="G48" s="359">
        <f t="shared" si="0"/>
        <v>15217484</v>
      </c>
    </row>
    <row r="49" spans="1:7" ht="5.0999999999999996" customHeight="1">
      <c r="A49" s="129" t="s">
        <v>8</v>
      </c>
      <c r="B49" s="151"/>
      <c r="C49" s="151"/>
      <c r="D49" s="151"/>
      <c r="E49" s="151"/>
      <c r="F49" s="151"/>
      <c r="G49" s="151"/>
    </row>
    <row r="50" spans="1:7" ht="14.1" customHeight="1">
      <c r="A50" s="236" t="s">
        <v>147</v>
      </c>
      <c r="B50" s="150">
        <v>216898</v>
      </c>
      <c r="C50" s="150">
        <v>33406</v>
      </c>
      <c r="D50" s="150">
        <v>0</v>
      </c>
      <c r="E50" s="150">
        <v>10470</v>
      </c>
      <c r="F50" s="150">
        <v>10470</v>
      </c>
      <c r="G50" s="150">
        <v>16054</v>
      </c>
    </row>
    <row r="51" spans="1:7" ht="14.1" customHeight="1">
      <c r="A51" s="357" t="s">
        <v>643</v>
      </c>
      <c r="B51" s="355">
        <v>0</v>
      </c>
      <c r="C51" s="355">
        <v>0</v>
      </c>
      <c r="D51" s="355">
        <v>0</v>
      </c>
      <c r="E51" s="355">
        <v>0</v>
      </c>
      <c r="F51" s="355">
        <v>0</v>
      </c>
      <c r="G51" s="355">
        <v>0</v>
      </c>
    </row>
    <row r="52" spans="1:7" ht="50.1" customHeight="1">
      <c r="A52" s="22"/>
      <c r="B52" s="22"/>
      <c r="C52" s="22"/>
      <c r="D52" s="22"/>
      <c r="E52" s="22"/>
      <c r="F52" s="22"/>
      <c r="G52" s="22"/>
    </row>
    <row r="53" spans="1:7" ht="15" customHeight="1">
      <c r="A53" s="37" t="str">
        <f>"(1)  Based on a grant per eligible pupil at "&amp;Data!C89&amp;" "&amp;Data!B89</f>
        <v>(1)  Based on a grant per eligible pupil at September 30, 2013</v>
      </c>
      <c r="D53" s="37"/>
      <c r="E53" s="37"/>
      <c r="F53" s="37"/>
      <c r="G53" s="37"/>
    </row>
    <row r="54" spans="1:7" ht="12" customHeight="1">
      <c r="A54" s="37" t="s">
        <v>363</v>
      </c>
      <c r="D54" s="37"/>
      <c r="E54" s="37"/>
      <c r="F54" s="37"/>
      <c r="G54" s="37"/>
    </row>
  </sheetData>
  <mergeCells count="7">
    <mergeCell ref="B6:G6"/>
    <mergeCell ref="B4:G5"/>
    <mergeCell ref="C7:C9"/>
    <mergeCell ref="B8:B9"/>
    <mergeCell ref="E8:E9"/>
    <mergeCell ref="F8:F9"/>
    <mergeCell ref="G8:G9"/>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51.xml><?xml version="1.0" encoding="utf-8"?>
<worksheet xmlns="http://schemas.openxmlformats.org/spreadsheetml/2006/main" xmlns:r="http://schemas.openxmlformats.org/officeDocument/2006/relationships">
  <sheetPr codeName="Sheet451">
    <pageSetUpPr fitToPage="1"/>
  </sheetPr>
  <dimension ref="A1:G54"/>
  <sheetViews>
    <sheetView showGridLines="0" showZeros="0" workbookViewId="0"/>
  </sheetViews>
  <sheetFormatPr defaultColWidth="19.83203125" defaultRowHeight="12"/>
  <cols>
    <col min="1" max="1" width="32.83203125" style="1" customWidth="1"/>
    <col min="2" max="2" width="16.33203125" style="1" customWidth="1"/>
    <col min="3" max="3" width="16.6640625" style="1" customWidth="1"/>
    <col min="4" max="4" width="18.33203125" style="1" customWidth="1"/>
    <col min="5" max="5" width="15.83203125" style="1" customWidth="1"/>
    <col min="6" max="6" width="15.1640625" style="1" customWidth="1"/>
    <col min="7" max="7" width="15.83203125" style="1" customWidth="1"/>
    <col min="8" max="16384" width="19.83203125" style="1"/>
  </cols>
  <sheetData>
    <row r="1" spans="1:7" ht="6.95" customHeight="1">
      <c r="A1" s="6"/>
      <c r="B1" s="6"/>
      <c r="C1" s="6"/>
      <c r="D1" s="6"/>
      <c r="E1" s="6"/>
      <c r="F1" s="6"/>
      <c r="G1" s="6"/>
    </row>
    <row r="2" spans="1:7" ht="15.95" customHeight="1">
      <c r="A2" s="260"/>
      <c r="B2" s="266" t="str">
        <f>REVYEAR</f>
        <v>ANALYSIS OF OPERATING FUND REVENUE: 2014/2015 ACTUAL</v>
      </c>
      <c r="C2" s="267"/>
      <c r="D2" s="264"/>
      <c r="E2" s="264"/>
      <c r="F2" s="268"/>
      <c r="G2" s="214" t="s">
        <v>100</v>
      </c>
    </row>
    <row r="3" spans="1:7" ht="15.95" customHeight="1">
      <c r="A3" s="542"/>
      <c r="B3" s="204"/>
      <c r="C3" s="6"/>
      <c r="D3" s="6"/>
      <c r="E3" s="6"/>
      <c r="F3" s="6"/>
      <c r="G3" s="6"/>
    </row>
    <row r="4" spans="1:7" ht="15.95" customHeight="1">
      <c r="B4" s="791" t="s">
        <v>606</v>
      </c>
      <c r="C4" s="779"/>
      <c r="D4" s="779"/>
      <c r="E4" s="779"/>
      <c r="F4" s="779"/>
      <c r="G4" s="780"/>
    </row>
    <row r="5" spans="1:7" ht="15.95" customHeight="1">
      <c r="B5" s="781"/>
      <c r="C5" s="782"/>
      <c r="D5" s="782"/>
      <c r="E5" s="782"/>
      <c r="F5" s="782"/>
      <c r="G5" s="783"/>
    </row>
    <row r="6" spans="1:7" ht="15.95" customHeight="1">
      <c r="B6" s="792" t="s">
        <v>52</v>
      </c>
      <c r="C6" s="793"/>
      <c r="D6" s="793"/>
      <c r="E6" s="793"/>
      <c r="F6" s="793"/>
      <c r="G6" s="794"/>
    </row>
    <row r="7" spans="1:7" ht="15.95" customHeight="1">
      <c r="B7" s="219"/>
      <c r="C7" s="32"/>
      <c r="D7" s="32"/>
      <c r="E7" s="32"/>
      <c r="F7" s="32"/>
      <c r="G7" s="685" t="s">
        <v>605</v>
      </c>
    </row>
    <row r="8" spans="1:7" ht="15.95" customHeight="1">
      <c r="A8" s="66"/>
      <c r="B8" s="787" t="s">
        <v>649</v>
      </c>
      <c r="C8" s="789" t="s">
        <v>602</v>
      </c>
      <c r="D8" s="789" t="s">
        <v>603</v>
      </c>
      <c r="E8" s="789" t="s">
        <v>604</v>
      </c>
      <c r="F8" s="269"/>
      <c r="G8" s="789"/>
    </row>
    <row r="9" spans="1:7" ht="15.95" customHeight="1">
      <c r="A9" s="34" t="s">
        <v>43</v>
      </c>
      <c r="B9" s="788"/>
      <c r="C9" s="790"/>
      <c r="D9" s="790"/>
      <c r="E9" s="790"/>
      <c r="F9" s="82" t="s">
        <v>67</v>
      </c>
      <c r="G9" s="790"/>
    </row>
    <row r="10" spans="1:7" ht="5.0999999999999996" customHeight="1">
      <c r="A10" s="5"/>
      <c r="B10" s="6"/>
      <c r="F10" s="6"/>
      <c r="G10" s="6"/>
    </row>
    <row r="11" spans="1:7" ht="14.1" customHeight="1">
      <c r="A11" s="357" t="s">
        <v>111</v>
      </c>
      <c r="B11" s="355">
        <v>466854</v>
      </c>
      <c r="C11" s="355">
        <v>122674</v>
      </c>
      <c r="D11" s="355">
        <v>67988</v>
      </c>
      <c r="E11" s="355">
        <v>27125</v>
      </c>
      <c r="F11" s="355">
        <v>854145</v>
      </c>
      <c r="G11" s="355">
        <f>SUM('- 57 -'!$B11:G11,B11:F11)</f>
        <v>5015969</v>
      </c>
    </row>
    <row r="12" spans="1:7" ht="14.1" customHeight="1">
      <c r="A12" s="236" t="s">
        <v>112</v>
      </c>
      <c r="B12" s="150">
        <v>680629</v>
      </c>
      <c r="C12" s="150">
        <v>171420</v>
      </c>
      <c r="D12" s="150">
        <v>95004</v>
      </c>
      <c r="E12" s="150">
        <v>49625</v>
      </c>
      <c r="F12" s="150">
        <v>1229490</v>
      </c>
      <c r="G12" s="150">
        <f>SUM('- 57 -'!$B12:G12,B12:F12)</f>
        <v>6981852</v>
      </c>
    </row>
    <row r="13" spans="1:7" ht="14.1" customHeight="1">
      <c r="A13" s="357" t="s">
        <v>113</v>
      </c>
      <c r="B13" s="355">
        <v>2619380</v>
      </c>
      <c r="C13" s="355">
        <v>658073</v>
      </c>
      <c r="D13" s="355">
        <v>364717</v>
      </c>
      <c r="E13" s="355">
        <v>192377</v>
      </c>
      <c r="F13" s="355">
        <v>3041233</v>
      </c>
      <c r="G13" s="355">
        <f>SUM('- 57 -'!$B13:G13,B13:F13)</f>
        <v>23949047</v>
      </c>
    </row>
    <row r="14" spans="1:7" ht="14.1" customHeight="1">
      <c r="A14" s="236" t="s">
        <v>365</v>
      </c>
      <c r="B14" s="150">
        <v>1569708</v>
      </c>
      <c r="C14" s="150">
        <v>410335</v>
      </c>
      <c r="D14" s="150">
        <v>192808</v>
      </c>
      <c r="E14" s="150">
        <v>78750</v>
      </c>
      <c r="F14" s="150">
        <v>2593215</v>
      </c>
      <c r="G14" s="150">
        <f>SUM('- 57 -'!$B14:G14,B14:F14)</f>
        <v>16211926</v>
      </c>
    </row>
    <row r="15" spans="1:7" ht="14.1" customHeight="1">
      <c r="A15" s="357" t="s">
        <v>114</v>
      </c>
      <c r="B15" s="355">
        <v>477570</v>
      </c>
      <c r="C15" s="355">
        <v>123089</v>
      </c>
      <c r="D15" s="355">
        <v>57837</v>
      </c>
      <c r="E15" s="355">
        <v>33625</v>
      </c>
      <c r="F15" s="355">
        <v>860130</v>
      </c>
      <c r="G15" s="355">
        <f>SUM('- 57 -'!$B15:G15,B15:F15)</f>
        <v>4969482</v>
      </c>
    </row>
    <row r="16" spans="1:7" ht="14.1" customHeight="1">
      <c r="A16" s="236" t="s">
        <v>115</v>
      </c>
      <c r="B16" s="150">
        <v>317502</v>
      </c>
      <c r="C16" s="150">
        <v>77472</v>
      </c>
      <c r="D16" s="150">
        <v>47603</v>
      </c>
      <c r="E16" s="150">
        <v>26875</v>
      </c>
      <c r="F16" s="150">
        <v>555750</v>
      </c>
      <c r="G16" s="150">
        <f>SUM('- 57 -'!$B16:G16,B16:F16)</f>
        <v>3057718</v>
      </c>
    </row>
    <row r="17" spans="1:7" ht="14.1" customHeight="1">
      <c r="A17" s="357" t="s">
        <v>116</v>
      </c>
      <c r="B17" s="355">
        <v>392950</v>
      </c>
      <c r="C17" s="355">
        <v>105020</v>
      </c>
      <c r="D17" s="355">
        <v>58204</v>
      </c>
      <c r="E17" s="355">
        <v>28750</v>
      </c>
      <c r="F17" s="355">
        <v>858420</v>
      </c>
      <c r="G17" s="355">
        <f>SUM('- 57 -'!$B17:G17,B17:F17)</f>
        <v>4448812</v>
      </c>
    </row>
    <row r="18" spans="1:7" ht="14.1" customHeight="1">
      <c r="A18" s="236" t="s">
        <v>117</v>
      </c>
      <c r="B18" s="150">
        <v>1271750</v>
      </c>
      <c r="C18" s="150">
        <v>195249</v>
      </c>
      <c r="D18" s="150">
        <v>91744</v>
      </c>
      <c r="E18" s="150">
        <v>36000</v>
      </c>
      <c r="F18" s="150">
        <v>4087755</v>
      </c>
      <c r="G18" s="150">
        <f>SUM('- 57 -'!$B18:G18,B18:F18)</f>
        <v>11719062</v>
      </c>
    </row>
    <row r="19" spans="1:7" ht="14.1" customHeight="1">
      <c r="A19" s="357" t="s">
        <v>118</v>
      </c>
      <c r="B19" s="355">
        <v>1322787</v>
      </c>
      <c r="C19" s="355">
        <v>344915</v>
      </c>
      <c r="D19" s="355">
        <v>191158</v>
      </c>
      <c r="E19" s="355">
        <v>82338</v>
      </c>
      <c r="F19" s="355">
        <v>1692900</v>
      </c>
      <c r="G19" s="355">
        <f>SUM('- 57 -'!$B19:G19,B19:F19)</f>
        <v>12753532</v>
      </c>
    </row>
    <row r="20" spans="1:7" ht="14.1" customHeight="1">
      <c r="A20" s="236" t="s">
        <v>119</v>
      </c>
      <c r="B20" s="150">
        <v>2414711</v>
      </c>
      <c r="C20" s="150">
        <v>611793</v>
      </c>
      <c r="D20" s="150">
        <v>287469</v>
      </c>
      <c r="E20" s="150">
        <v>151875</v>
      </c>
      <c r="F20" s="150">
        <v>2626560</v>
      </c>
      <c r="G20" s="150">
        <f>SUM('- 57 -'!$B20:G20,B20:F20)</f>
        <v>22119308</v>
      </c>
    </row>
    <row r="21" spans="1:7" ht="14.1" customHeight="1">
      <c r="A21" s="357" t="s">
        <v>120</v>
      </c>
      <c r="B21" s="355">
        <v>877435</v>
      </c>
      <c r="C21" s="355">
        <v>224067</v>
      </c>
      <c r="D21" s="355">
        <v>105284</v>
      </c>
      <c r="E21" s="355">
        <v>62500</v>
      </c>
      <c r="F21" s="355">
        <v>1552680</v>
      </c>
      <c r="G21" s="355">
        <f>SUM('- 57 -'!$B21:G21,B21:F21)</f>
        <v>9159462</v>
      </c>
    </row>
    <row r="22" spans="1:7" ht="14.1" customHeight="1">
      <c r="A22" s="236" t="s">
        <v>121</v>
      </c>
      <c r="B22" s="150">
        <v>554654</v>
      </c>
      <c r="C22" s="150">
        <v>130161</v>
      </c>
      <c r="D22" s="150">
        <v>79978</v>
      </c>
      <c r="E22" s="150">
        <v>27250</v>
      </c>
      <c r="F22" s="150">
        <v>952470</v>
      </c>
      <c r="G22" s="150">
        <f>SUM('- 57 -'!$B22:G22,B22:F22)</f>
        <v>5133907</v>
      </c>
    </row>
    <row r="23" spans="1:7" ht="14.1" customHeight="1">
      <c r="A23" s="357" t="s">
        <v>122</v>
      </c>
      <c r="B23" s="355">
        <v>372502</v>
      </c>
      <c r="C23" s="355">
        <v>87698</v>
      </c>
      <c r="D23" s="355">
        <v>48604</v>
      </c>
      <c r="E23" s="355">
        <v>21750</v>
      </c>
      <c r="F23" s="355">
        <v>808830</v>
      </c>
      <c r="G23" s="355">
        <f>SUM('- 57 -'!$B23:G23,B23:F23)</f>
        <v>3986635</v>
      </c>
    </row>
    <row r="24" spans="1:7" ht="14.1" customHeight="1">
      <c r="A24" s="236" t="s">
        <v>123</v>
      </c>
      <c r="B24" s="150">
        <v>1323815</v>
      </c>
      <c r="C24" s="150">
        <v>336225</v>
      </c>
      <c r="D24" s="150">
        <v>157985</v>
      </c>
      <c r="E24" s="150">
        <v>100250</v>
      </c>
      <c r="F24" s="150">
        <v>2038320</v>
      </c>
      <c r="G24" s="150">
        <f>SUM('- 57 -'!$B24:G24,B24:F24)</f>
        <v>12970793</v>
      </c>
    </row>
    <row r="25" spans="1:7" ht="14.1" customHeight="1">
      <c r="A25" s="357" t="s">
        <v>124</v>
      </c>
      <c r="B25" s="355">
        <v>4645550</v>
      </c>
      <c r="C25" s="355">
        <v>1124858</v>
      </c>
      <c r="D25" s="355">
        <v>528548</v>
      </c>
      <c r="E25" s="355">
        <v>319000</v>
      </c>
      <c r="F25" s="355">
        <v>6443280</v>
      </c>
      <c r="G25" s="355">
        <f>SUM('- 57 -'!$B25:G25,B25:F25)</f>
        <v>42049628</v>
      </c>
    </row>
    <row r="26" spans="1:7" ht="14.1" customHeight="1">
      <c r="A26" s="236" t="s">
        <v>125</v>
      </c>
      <c r="B26" s="150">
        <v>1015292</v>
      </c>
      <c r="C26" s="150">
        <v>246012</v>
      </c>
      <c r="D26" s="150">
        <v>136344</v>
      </c>
      <c r="E26" s="150">
        <v>66125</v>
      </c>
      <c r="F26" s="150">
        <v>2311920</v>
      </c>
      <c r="G26" s="150">
        <f>SUM('- 57 -'!$B26:G26,B26:F26)</f>
        <v>10685867</v>
      </c>
    </row>
    <row r="27" spans="1:7" ht="14.1" customHeight="1">
      <c r="A27" s="357" t="s">
        <v>126</v>
      </c>
      <c r="B27" s="355">
        <v>1032831</v>
      </c>
      <c r="C27" s="355">
        <v>226026</v>
      </c>
      <c r="D27" s="355">
        <v>138883</v>
      </c>
      <c r="E27" s="355">
        <v>53500</v>
      </c>
      <c r="F27" s="355">
        <v>1308150</v>
      </c>
      <c r="G27" s="355">
        <f>SUM('- 57 -'!$B27:G27,B27:F27)</f>
        <v>8584314</v>
      </c>
    </row>
    <row r="28" spans="1:7" ht="14.1" customHeight="1">
      <c r="A28" s="236" t="s">
        <v>127</v>
      </c>
      <c r="B28" s="150">
        <v>485571</v>
      </c>
      <c r="C28" s="150">
        <v>125961</v>
      </c>
      <c r="D28" s="150">
        <v>69810</v>
      </c>
      <c r="E28" s="150">
        <v>34375</v>
      </c>
      <c r="F28" s="150">
        <v>1293615</v>
      </c>
      <c r="G28" s="150">
        <f>SUM('- 57 -'!$B28:G28,B28:F28)</f>
        <v>5807151</v>
      </c>
    </row>
    <row r="29" spans="1:7" ht="14.1" customHeight="1">
      <c r="A29" s="357" t="s">
        <v>128</v>
      </c>
      <c r="B29" s="355">
        <v>3915918</v>
      </c>
      <c r="C29" s="355">
        <v>1002449</v>
      </c>
      <c r="D29" s="355">
        <v>471030</v>
      </c>
      <c r="E29" s="355">
        <v>287250</v>
      </c>
      <c r="F29" s="355">
        <v>4976100</v>
      </c>
      <c r="G29" s="355">
        <f>SUM('- 57 -'!$B29:G29,B29:F29)</f>
        <v>36486947</v>
      </c>
    </row>
    <row r="30" spans="1:7" ht="14.1" customHeight="1">
      <c r="A30" s="236" t="s">
        <v>129</v>
      </c>
      <c r="B30" s="150">
        <v>350332</v>
      </c>
      <c r="C30" s="150">
        <v>87773</v>
      </c>
      <c r="D30" s="150">
        <v>48645</v>
      </c>
      <c r="E30" s="150">
        <v>24375</v>
      </c>
      <c r="F30" s="150">
        <v>792585</v>
      </c>
      <c r="G30" s="150">
        <f>SUM('- 57 -'!$B30:G30,B30:F30)</f>
        <v>3936915</v>
      </c>
    </row>
    <row r="31" spans="1:7" ht="14.1" customHeight="1">
      <c r="A31" s="357" t="s">
        <v>130</v>
      </c>
      <c r="B31" s="355">
        <v>1068338</v>
      </c>
      <c r="C31" s="355">
        <v>253416</v>
      </c>
      <c r="D31" s="355">
        <v>119075</v>
      </c>
      <c r="E31" s="355">
        <v>63500</v>
      </c>
      <c r="F31" s="355">
        <v>1792935</v>
      </c>
      <c r="G31" s="355">
        <f>SUM('- 57 -'!$B31:G31,B31:F31)</f>
        <v>10008050</v>
      </c>
    </row>
    <row r="32" spans="1:7" ht="14.1" customHeight="1">
      <c r="A32" s="236" t="s">
        <v>131</v>
      </c>
      <c r="B32" s="150">
        <v>641939</v>
      </c>
      <c r="C32" s="150">
        <v>166830</v>
      </c>
      <c r="D32" s="150">
        <v>78390</v>
      </c>
      <c r="E32" s="150">
        <v>35775</v>
      </c>
      <c r="F32" s="150">
        <v>1403055</v>
      </c>
      <c r="G32" s="150">
        <f>SUM('- 57 -'!$B32:G32,B32:F32)</f>
        <v>7223934</v>
      </c>
    </row>
    <row r="33" spans="1:7" ht="14.1" customHeight="1">
      <c r="A33" s="357" t="s">
        <v>132</v>
      </c>
      <c r="B33" s="355">
        <v>635760</v>
      </c>
      <c r="C33" s="355">
        <v>163576</v>
      </c>
      <c r="D33" s="355">
        <v>90657</v>
      </c>
      <c r="E33" s="355">
        <v>40375</v>
      </c>
      <c r="F33" s="355">
        <v>1757880</v>
      </c>
      <c r="G33" s="355">
        <f>SUM('- 57 -'!$B33:G33,B33:F33)</f>
        <v>7733261</v>
      </c>
    </row>
    <row r="34" spans="1:7" ht="14.1" customHeight="1">
      <c r="A34" s="236" t="s">
        <v>133</v>
      </c>
      <c r="B34" s="150">
        <v>630336</v>
      </c>
      <c r="C34" s="150">
        <v>163742</v>
      </c>
      <c r="D34" s="150">
        <v>76939</v>
      </c>
      <c r="E34" s="150">
        <v>42625</v>
      </c>
      <c r="F34" s="150">
        <v>1243170</v>
      </c>
      <c r="G34" s="150">
        <f>SUM('- 57 -'!$B34:G34,B34:F34)</f>
        <v>7005901</v>
      </c>
    </row>
    <row r="35" spans="1:7" ht="14.1" customHeight="1">
      <c r="A35" s="357" t="s">
        <v>134</v>
      </c>
      <c r="B35" s="355">
        <v>5075169</v>
      </c>
      <c r="C35" s="355">
        <v>1278764</v>
      </c>
      <c r="D35" s="355">
        <v>600865</v>
      </c>
      <c r="E35" s="355">
        <v>370625</v>
      </c>
      <c r="F35" s="355">
        <v>7059735</v>
      </c>
      <c r="G35" s="355">
        <f>SUM('- 57 -'!$B35:G35,B35:F35)</f>
        <v>47363236</v>
      </c>
    </row>
    <row r="36" spans="1:7" ht="14.1" customHeight="1">
      <c r="A36" s="236" t="s">
        <v>135</v>
      </c>
      <c r="B36" s="150">
        <v>505699</v>
      </c>
      <c r="C36" s="150">
        <v>125894</v>
      </c>
      <c r="D36" s="150">
        <v>69773</v>
      </c>
      <c r="E36" s="150">
        <v>30375</v>
      </c>
      <c r="F36" s="150">
        <v>1172205</v>
      </c>
      <c r="G36" s="150">
        <f>SUM('- 57 -'!$B36:G36,B36:F36)</f>
        <v>5679480</v>
      </c>
    </row>
    <row r="37" spans="1:7" ht="14.1" customHeight="1">
      <c r="A37" s="357" t="s">
        <v>136</v>
      </c>
      <c r="B37" s="355">
        <v>1287782</v>
      </c>
      <c r="C37" s="355">
        <v>324057</v>
      </c>
      <c r="D37" s="355">
        <v>152268</v>
      </c>
      <c r="E37" s="355">
        <v>72000</v>
      </c>
      <c r="F37" s="355">
        <v>1718550</v>
      </c>
      <c r="G37" s="355">
        <f>SUM('- 57 -'!$B37:G37,B37:F37)</f>
        <v>12355438</v>
      </c>
    </row>
    <row r="38" spans="1:7" ht="14.1" customHeight="1">
      <c r="A38" s="236" t="s">
        <v>137</v>
      </c>
      <c r="B38" s="150">
        <v>3602384</v>
      </c>
      <c r="C38" s="150">
        <v>859955</v>
      </c>
      <c r="D38" s="150">
        <v>404075</v>
      </c>
      <c r="E38" s="150">
        <v>254750</v>
      </c>
      <c r="F38" s="150">
        <v>3420855</v>
      </c>
      <c r="G38" s="150">
        <f>SUM('- 57 -'!$B38:G38,B38:F38)</f>
        <v>30700140</v>
      </c>
    </row>
    <row r="39" spans="1:7" ht="14.1" customHeight="1">
      <c r="A39" s="357" t="s">
        <v>138</v>
      </c>
      <c r="B39" s="355">
        <v>485391</v>
      </c>
      <c r="C39" s="355">
        <v>128941</v>
      </c>
      <c r="D39" s="355">
        <v>71461</v>
      </c>
      <c r="E39" s="355">
        <v>30875</v>
      </c>
      <c r="F39" s="355">
        <v>1037115</v>
      </c>
      <c r="G39" s="355">
        <f>SUM('- 57 -'!$B39:G39,B39:F39)</f>
        <v>5599305</v>
      </c>
    </row>
    <row r="40" spans="1:7" ht="14.1" customHeight="1">
      <c r="A40" s="236" t="s">
        <v>139</v>
      </c>
      <c r="B40" s="150">
        <v>2655586</v>
      </c>
      <c r="C40" s="150">
        <v>652870</v>
      </c>
      <c r="D40" s="150">
        <v>306770</v>
      </c>
      <c r="E40" s="150">
        <v>193500</v>
      </c>
      <c r="F40" s="150">
        <v>4210020</v>
      </c>
      <c r="G40" s="150">
        <f>SUM('- 57 -'!$B40:G40,B40:F40)</f>
        <v>24843906</v>
      </c>
    </row>
    <row r="41" spans="1:7" ht="14.1" customHeight="1">
      <c r="A41" s="357" t="s">
        <v>140</v>
      </c>
      <c r="B41" s="355">
        <v>1420825</v>
      </c>
      <c r="C41" s="355">
        <v>359954</v>
      </c>
      <c r="D41" s="355">
        <v>199493</v>
      </c>
      <c r="E41" s="355">
        <v>80250</v>
      </c>
      <c r="F41" s="355">
        <v>2183670</v>
      </c>
      <c r="G41" s="355">
        <f>SUM('- 57 -'!$B41:G41,B41:F41)</f>
        <v>14125589</v>
      </c>
    </row>
    <row r="42" spans="1:7" ht="14.1" customHeight="1">
      <c r="A42" s="236" t="s">
        <v>141</v>
      </c>
      <c r="B42" s="150">
        <v>486274</v>
      </c>
      <c r="C42" s="150">
        <v>116806</v>
      </c>
      <c r="D42" s="150">
        <v>71772</v>
      </c>
      <c r="E42" s="150">
        <v>29250</v>
      </c>
      <c r="F42" s="150">
        <v>1047375</v>
      </c>
      <c r="G42" s="150">
        <f>SUM('- 57 -'!$B42:G42,B42:F42)</f>
        <v>5055077</v>
      </c>
    </row>
    <row r="43" spans="1:7" ht="14.1" customHeight="1">
      <c r="A43" s="357" t="s">
        <v>142</v>
      </c>
      <c r="B43" s="355">
        <v>310376</v>
      </c>
      <c r="C43" s="355">
        <v>81240</v>
      </c>
      <c r="D43" s="355">
        <v>45025</v>
      </c>
      <c r="E43" s="355">
        <v>23125</v>
      </c>
      <c r="F43" s="355">
        <v>233771</v>
      </c>
      <c r="G43" s="355">
        <f>SUM('- 57 -'!$B43:G43,B43:F43)</f>
        <v>3074341</v>
      </c>
    </row>
    <row r="44" spans="1:7" ht="14.1" customHeight="1">
      <c r="A44" s="236" t="s">
        <v>143</v>
      </c>
      <c r="B44" s="150">
        <v>336433</v>
      </c>
      <c r="C44" s="150">
        <v>58308</v>
      </c>
      <c r="D44" s="150">
        <v>32315</v>
      </c>
      <c r="E44" s="150">
        <v>12375</v>
      </c>
      <c r="F44" s="150">
        <v>625860</v>
      </c>
      <c r="G44" s="150">
        <f>SUM('- 57 -'!$B44:G44,B44:F44)</f>
        <v>2896368</v>
      </c>
    </row>
    <row r="45" spans="1:7" ht="14.1" customHeight="1">
      <c r="A45" s="357" t="s">
        <v>144</v>
      </c>
      <c r="B45" s="355">
        <v>513623</v>
      </c>
      <c r="C45" s="355">
        <v>133655</v>
      </c>
      <c r="D45" s="355">
        <v>74074</v>
      </c>
      <c r="E45" s="355">
        <v>37375</v>
      </c>
      <c r="F45" s="355">
        <v>590805</v>
      </c>
      <c r="G45" s="355">
        <f>SUM('- 57 -'!$B45:G45,B45:F45)</f>
        <v>4802258</v>
      </c>
    </row>
    <row r="46" spans="1:7" ht="14.1" customHeight="1">
      <c r="A46" s="236" t="s">
        <v>145</v>
      </c>
      <c r="B46" s="150">
        <v>16498241</v>
      </c>
      <c r="C46" s="150">
        <v>2449538</v>
      </c>
      <c r="D46" s="150">
        <v>1150988</v>
      </c>
      <c r="E46" s="150">
        <v>737625</v>
      </c>
      <c r="F46" s="150">
        <v>14526450</v>
      </c>
      <c r="G46" s="150">
        <f>SUM('- 57 -'!$B46:G46,B46:F46)</f>
        <v>98434040</v>
      </c>
    </row>
    <row r="47" spans="1:7" ht="5.0999999999999996" customHeight="1">
      <c r="A47" s="129"/>
      <c r="B47" s="151"/>
      <c r="C47" s="151"/>
      <c r="D47" s="151"/>
      <c r="E47" s="151"/>
      <c r="F47" s="151"/>
      <c r="G47" s="151"/>
    </row>
    <row r="48" spans="1:7" ht="14.1" customHeight="1">
      <c r="A48" s="358" t="s">
        <v>146</v>
      </c>
      <c r="B48" s="359">
        <f t="shared" ref="B48:C48" si="0">SUM(B11:B46)</f>
        <v>62261897</v>
      </c>
      <c r="C48" s="359">
        <f t="shared" si="0"/>
        <v>13728816</v>
      </c>
      <c r="D48" s="359">
        <f t="shared" ref="D48:F48" si="1">SUM(D11:D46)</f>
        <v>6783583</v>
      </c>
      <c r="E48" s="359">
        <f t="shared" si="1"/>
        <v>3758115</v>
      </c>
      <c r="F48" s="359">
        <f t="shared" si="1"/>
        <v>84900999</v>
      </c>
      <c r="G48" s="359">
        <f t="shared" ref="G48" si="2">SUM(G11:G46)</f>
        <v>536928651</v>
      </c>
    </row>
    <row r="49" spans="1:7" ht="5.0999999999999996" customHeight="1">
      <c r="A49" s="129" t="s">
        <v>8</v>
      </c>
      <c r="B49" s="151"/>
      <c r="C49" s="151"/>
      <c r="D49" s="151"/>
      <c r="E49" s="151"/>
      <c r="F49" s="151"/>
      <c r="G49" s="151"/>
    </row>
    <row r="50" spans="1:7" ht="14.1" customHeight="1">
      <c r="A50" s="236" t="s">
        <v>147</v>
      </c>
      <c r="B50" s="150">
        <v>55370</v>
      </c>
      <c r="C50" s="150">
        <v>14484</v>
      </c>
      <c r="D50" s="150">
        <v>8027</v>
      </c>
      <c r="E50" s="150">
        <v>4625</v>
      </c>
      <c r="F50" s="150">
        <v>235980</v>
      </c>
      <c r="G50" s="150">
        <f>SUM('- 57 -'!$B50:G50,B50:F50)</f>
        <v>605784</v>
      </c>
    </row>
    <row r="51" spans="1:7" ht="14.1" customHeight="1">
      <c r="A51" s="357" t="s">
        <v>643</v>
      </c>
      <c r="B51" s="355">
        <v>0</v>
      </c>
      <c r="C51" s="355">
        <v>0</v>
      </c>
      <c r="D51" s="355">
        <v>0</v>
      </c>
      <c r="E51" s="355">
        <v>0</v>
      </c>
      <c r="F51" s="355">
        <v>0</v>
      </c>
      <c r="G51" s="355">
        <f>SUM('- 57 -'!$B51:G51,B51:F51)</f>
        <v>0</v>
      </c>
    </row>
    <row r="52" spans="1:7" ht="50.1" customHeight="1">
      <c r="A52" s="183"/>
      <c r="B52" s="183"/>
      <c r="C52" s="183"/>
      <c r="D52" s="183"/>
      <c r="E52" s="183"/>
      <c r="F52" s="183"/>
      <c r="G52" s="183"/>
    </row>
    <row r="53" spans="1:7" ht="15" customHeight="1">
      <c r="A53" s="580"/>
      <c r="B53" s="580"/>
      <c r="C53" s="183"/>
      <c r="D53" s="580"/>
      <c r="E53" s="580"/>
      <c r="F53" s="580"/>
      <c r="G53" s="580"/>
    </row>
    <row r="54" spans="1:7">
      <c r="A54" s="37"/>
    </row>
  </sheetData>
  <mergeCells count="7">
    <mergeCell ref="B4:G5"/>
    <mergeCell ref="B6:G6"/>
    <mergeCell ref="B8:B9"/>
    <mergeCell ref="C8:C9"/>
    <mergeCell ref="D8:D9"/>
    <mergeCell ref="E8:E9"/>
    <mergeCell ref="G7:G9"/>
  </mergeCells>
  <phoneticPr fontId="6" type="noConversion"/>
  <pageMargins left="0.5" right="0.5" top="0.6" bottom="0.2" header="0.3" footer="0.5"/>
  <pageSetup scale="90" orientation="portrait" r:id="rId1"/>
  <headerFooter alignWithMargins="0">
    <oddHeader>&amp;C&amp;"Arial,Regular"&amp;11&amp;A</oddHeader>
  </headerFooter>
</worksheet>
</file>

<file path=xl/worksheets/sheet52.xml><?xml version="1.0" encoding="utf-8"?>
<worksheet xmlns="http://schemas.openxmlformats.org/spreadsheetml/2006/main" xmlns:r="http://schemas.openxmlformats.org/officeDocument/2006/relationships">
  <sheetPr codeName="Sheet47">
    <pageSetUpPr fitToPage="1"/>
  </sheetPr>
  <dimension ref="A1:F56"/>
  <sheetViews>
    <sheetView showGridLines="0" showZeros="0" workbookViewId="0"/>
  </sheetViews>
  <sheetFormatPr defaultColWidth="19.83203125" defaultRowHeight="12"/>
  <cols>
    <col min="1" max="1" width="29.1640625" style="1" customWidth="1"/>
    <col min="2" max="2" width="22.83203125" style="1" customWidth="1"/>
    <col min="3" max="3" width="17.6640625" style="1" customWidth="1"/>
    <col min="4" max="4" width="18.1640625" style="1" customWidth="1"/>
    <col min="5" max="5" width="20.6640625" style="1" customWidth="1"/>
    <col min="6" max="6" width="23.5" style="1" customWidth="1"/>
    <col min="7" max="7" width="14.83203125" style="1" customWidth="1"/>
    <col min="8" max="16384" width="19.83203125" style="1"/>
  </cols>
  <sheetData>
    <row r="1" spans="1:6" ht="6.95" customHeight="1">
      <c r="A1" s="6"/>
      <c r="B1" s="6"/>
      <c r="C1" s="6"/>
      <c r="D1" s="6"/>
      <c r="E1" s="6"/>
      <c r="F1" s="6"/>
    </row>
    <row r="2" spans="1:6" ht="15.95" customHeight="1">
      <c r="A2" s="260"/>
      <c r="B2" s="203" t="str">
        <f>REVYEAR</f>
        <v>ANALYSIS OF OPERATING FUND REVENUE: 2014/2015 ACTUAL</v>
      </c>
      <c r="C2" s="261"/>
      <c r="D2" s="264"/>
      <c r="E2" s="264"/>
      <c r="F2" s="214" t="s">
        <v>101</v>
      </c>
    </row>
    <row r="3" spans="1:6" ht="15.95" customHeight="1">
      <c r="A3" s="542"/>
      <c r="B3" s="204"/>
      <c r="C3" s="6"/>
      <c r="D3" s="6"/>
      <c r="E3" s="6"/>
      <c r="F3" s="6"/>
    </row>
    <row r="4" spans="1:6" ht="15.95" customHeight="1">
      <c r="B4" s="791" t="s">
        <v>606</v>
      </c>
      <c r="C4" s="779"/>
      <c r="D4" s="779"/>
      <c r="E4" s="779"/>
      <c r="F4" s="780"/>
    </row>
    <row r="5" spans="1:6" ht="15.95" customHeight="1">
      <c r="B5" s="781"/>
      <c r="C5" s="782"/>
      <c r="D5" s="782"/>
      <c r="E5" s="782"/>
      <c r="F5" s="783"/>
    </row>
    <row r="6" spans="1:6" ht="15.95" customHeight="1">
      <c r="B6" s="792" t="s">
        <v>53</v>
      </c>
      <c r="C6" s="793"/>
      <c r="D6" s="793"/>
      <c r="E6" s="793"/>
      <c r="F6" s="794"/>
    </row>
    <row r="7" spans="1:6" ht="15.95" customHeight="1">
      <c r="B7" s="219"/>
      <c r="C7" s="219"/>
      <c r="D7" s="685" t="s">
        <v>608</v>
      </c>
      <c r="E7" s="685" t="s">
        <v>609</v>
      </c>
      <c r="F7" s="685" t="s">
        <v>610</v>
      </c>
    </row>
    <row r="8" spans="1:6" ht="15.95" customHeight="1">
      <c r="A8" s="66"/>
      <c r="B8" s="263" t="s">
        <v>372</v>
      </c>
      <c r="C8" s="789" t="s">
        <v>607</v>
      </c>
      <c r="D8" s="789"/>
      <c r="E8" s="789"/>
      <c r="F8" s="789"/>
    </row>
    <row r="9" spans="1:6" ht="15.95" customHeight="1">
      <c r="A9" s="34" t="s">
        <v>43</v>
      </c>
      <c r="B9" s="270"/>
      <c r="C9" s="790"/>
      <c r="D9" s="790"/>
      <c r="E9" s="790"/>
      <c r="F9" s="790"/>
    </row>
    <row r="10" spans="1:6" ht="5.0999999999999996" customHeight="1">
      <c r="A10" s="5"/>
      <c r="B10" s="6"/>
      <c r="C10" s="6"/>
      <c r="D10" s="6"/>
      <c r="E10" s="6"/>
    </row>
    <row r="11" spans="1:6" ht="14.1" customHeight="1">
      <c r="A11" s="357" t="s">
        <v>111</v>
      </c>
      <c r="B11" s="355">
        <v>670638</v>
      </c>
      <c r="C11" s="355">
        <f>SUM(Data!Q11:S11)</f>
        <v>625911</v>
      </c>
      <c r="D11" s="355">
        <v>208250</v>
      </c>
      <c r="E11" s="355">
        <v>48318</v>
      </c>
      <c r="F11" s="355">
        <v>37500</v>
      </c>
    </row>
    <row r="12" spans="1:6" ht="14.1" customHeight="1">
      <c r="A12" s="236" t="s">
        <v>112</v>
      </c>
      <c r="B12" s="150">
        <v>1235763</v>
      </c>
      <c r="C12" s="150">
        <f>SUM(Data!Q12:S12)</f>
        <v>1083341</v>
      </c>
      <c r="D12" s="150">
        <v>102225</v>
      </c>
      <c r="E12" s="150">
        <v>193105</v>
      </c>
      <c r="F12" s="150">
        <v>45000</v>
      </c>
    </row>
    <row r="13" spans="1:6" ht="14.1" customHeight="1">
      <c r="A13" s="357" t="s">
        <v>113</v>
      </c>
      <c r="B13" s="355">
        <v>1031416</v>
      </c>
      <c r="C13" s="355">
        <f>SUM(Data!Q13:S13)</f>
        <v>2819027</v>
      </c>
      <c r="D13" s="355">
        <v>643750</v>
      </c>
      <c r="E13" s="355">
        <v>554401</v>
      </c>
      <c r="F13" s="355">
        <v>342500</v>
      </c>
    </row>
    <row r="14" spans="1:6" ht="14.1" customHeight="1">
      <c r="A14" s="236" t="s">
        <v>365</v>
      </c>
      <c r="B14" s="150">
        <v>3243736</v>
      </c>
      <c r="C14" s="150">
        <f>SUM(Data!Q14:S14)</f>
        <v>1528995</v>
      </c>
      <c r="D14" s="150">
        <v>211700</v>
      </c>
      <c r="E14" s="150">
        <v>45760</v>
      </c>
      <c r="F14" s="150">
        <v>294500</v>
      </c>
    </row>
    <row r="15" spans="1:6" ht="14.1" customHeight="1">
      <c r="A15" s="357" t="s">
        <v>114</v>
      </c>
      <c r="B15" s="355">
        <v>890958</v>
      </c>
      <c r="C15" s="355">
        <f>SUM(Data!Q15:S15)</f>
        <v>926141</v>
      </c>
      <c r="D15" s="355">
        <v>10950</v>
      </c>
      <c r="E15" s="355">
        <v>80273</v>
      </c>
      <c r="F15" s="355">
        <v>87500</v>
      </c>
    </row>
    <row r="16" spans="1:6" ht="14.1" customHeight="1">
      <c r="A16" s="236" t="s">
        <v>115</v>
      </c>
      <c r="B16" s="150">
        <v>112133</v>
      </c>
      <c r="C16" s="150">
        <f>SUM(Data!Q16:S16)</f>
        <v>453901</v>
      </c>
      <c r="D16" s="150">
        <v>1125</v>
      </c>
      <c r="E16" s="150">
        <v>41718</v>
      </c>
      <c r="F16" s="150">
        <v>78500</v>
      </c>
    </row>
    <row r="17" spans="1:6" ht="14.1" customHeight="1">
      <c r="A17" s="357" t="s">
        <v>116</v>
      </c>
      <c r="B17" s="355">
        <v>912965</v>
      </c>
      <c r="C17" s="355">
        <f>SUM(Data!Q17:S17)</f>
        <v>629823</v>
      </c>
      <c r="D17" s="355">
        <v>15500</v>
      </c>
      <c r="E17" s="355">
        <v>64350</v>
      </c>
      <c r="F17" s="355">
        <v>15000</v>
      </c>
    </row>
    <row r="18" spans="1:6" ht="14.1" customHeight="1">
      <c r="A18" s="236" t="s">
        <v>117</v>
      </c>
      <c r="B18" s="150">
        <v>1428734</v>
      </c>
      <c r="C18" s="150">
        <f>SUM(Data!Q18:S18)</f>
        <v>1634254</v>
      </c>
      <c r="D18" s="150">
        <v>1500</v>
      </c>
      <c r="E18" s="150">
        <v>114895</v>
      </c>
      <c r="F18" s="150">
        <v>723200</v>
      </c>
    </row>
    <row r="19" spans="1:6" ht="14.1" customHeight="1">
      <c r="A19" s="357" t="s">
        <v>118</v>
      </c>
      <c r="B19" s="355">
        <v>1478357</v>
      </c>
      <c r="C19" s="355">
        <f>SUM(Data!Q19:S19)</f>
        <v>1762585</v>
      </c>
      <c r="D19" s="355">
        <v>600050</v>
      </c>
      <c r="E19" s="355">
        <v>311685</v>
      </c>
      <c r="F19" s="355">
        <v>15000</v>
      </c>
    </row>
    <row r="20" spans="1:6" ht="14.1" customHeight="1">
      <c r="A20" s="236" t="s">
        <v>119</v>
      </c>
      <c r="B20" s="150">
        <v>2577742</v>
      </c>
      <c r="C20" s="150">
        <f>SUM(Data!Q20:S20)</f>
        <v>3389438</v>
      </c>
      <c r="D20" s="150">
        <v>595425</v>
      </c>
      <c r="E20" s="150">
        <v>514525</v>
      </c>
      <c r="F20" s="150">
        <v>97500</v>
      </c>
    </row>
    <row r="21" spans="1:6" ht="14.1" customHeight="1">
      <c r="A21" s="357" t="s">
        <v>120</v>
      </c>
      <c r="B21" s="355">
        <v>1230393</v>
      </c>
      <c r="C21" s="355">
        <f>SUM(Data!Q21:S21)</f>
        <v>1308878</v>
      </c>
      <c r="D21" s="355">
        <v>48100</v>
      </c>
      <c r="E21" s="355">
        <v>84838</v>
      </c>
      <c r="F21" s="355">
        <v>90000</v>
      </c>
    </row>
    <row r="22" spans="1:6" ht="14.1" customHeight="1">
      <c r="A22" s="236" t="s">
        <v>121</v>
      </c>
      <c r="B22" s="150">
        <v>285501</v>
      </c>
      <c r="C22" s="150">
        <f>SUM(Data!Q22:S22)</f>
        <v>965898</v>
      </c>
      <c r="D22" s="150">
        <v>6600</v>
      </c>
      <c r="E22" s="150">
        <v>52635</v>
      </c>
      <c r="F22" s="150">
        <v>142500</v>
      </c>
    </row>
    <row r="23" spans="1:6" ht="14.1" customHeight="1">
      <c r="A23" s="357" t="s">
        <v>122</v>
      </c>
      <c r="B23" s="355">
        <v>1022136</v>
      </c>
      <c r="C23" s="355">
        <f>SUM(Data!Q23:S23)</f>
        <v>725675</v>
      </c>
      <c r="D23" s="355">
        <v>13950</v>
      </c>
      <c r="E23" s="355">
        <v>64460</v>
      </c>
      <c r="F23" s="355">
        <v>97500</v>
      </c>
    </row>
    <row r="24" spans="1:6" ht="14.1" customHeight="1">
      <c r="A24" s="236" t="s">
        <v>123</v>
      </c>
      <c r="B24" s="150">
        <v>1706798</v>
      </c>
      <c r="C24" s="150">
        <f>SUM(Data!Q24:S24)</f>
        <v>2392105</v>
      </c>
      <c r="D24" s="150">
        <v>27300</v>
      </c>
      <c r="E24" s="150">
        <v>382360</v>
      </c>
      <c r="F24" s="150">
        <v>292000</v>
      </c>
    </row>
    <row r="25" spans="1:6" ht="14.1" customHeight="1">
      <c r="A25" s="357" t="s">
        <v>124</v>
      </c>
      <c r="B25" s="355">
        <v>1284948</v>
      </c>
      <c r="C25" s="355">
        <f>SUM(Data!Q25:S25)</f>
        <v>8082266</v>
      </c>
      <c r="D25" s="355">
        <v>936485</v>
      </c>
      <c r="E25" s="355">
        <v>673228</v>
      </c>
      <c r="F25" s="355">
        <v>597500</v>
      </c>
    </row>
    <row r="26" spans="1:6" ht="14.1" customHeight="1">
      <c r="A26" s="236" t="s">
        <v>125</v>
      </c>
      <c r="B26" s="150">
        <v>1656879</v>
      </c>
      <c r="C26" s="150">
        <f>SUM(Data!Q26:S26)</f>
        <v>1390989</v>
      </c>
      <c r="D26" s="150">
        <v>17350</v>
      </c>
      <c r="E26" s="150">
        <v>197450</v>
      </c>
      <c r="F26" s="150">
        <v>215000</v>
      </c>
    </row>
    <row r="27" spans="1:6" ht="14.1" customHeight="1">
      <c r="A27" s="357" t="s">
        <v>126</v>
      </c>
      <c r="B27" s="355">
        <v>81534</v>
      </c>
      <c r="C27" s="355">
        <f>SUM(Data!Q27:S27)</f>
        <v>1771089</v>
      </c>
      <c r="D27" s="355">
        <v>100750</v>
      </c>
      <c r="E27" s="355">
        <v>251570</v>
      </c>
      <c r="F27" s="355">
        <v>267000</v>
      </c>
    </row>
    <row r="28" spans="1:6" ht="14.1" customHeight="1">
      <c r="A28" s="236" t="s">
        <v>127</v>
      </c>
      <c r="B28" s="150">
        <v>1273456</v>
      </c>
      <c r="C28" s="150">
        <f>SUM(Data!Q28:S28)</f>
        <v>634260</v>
      </c>
      <c r="D28" s="150">
        <v>33950</v>
      </c>
      <c r="E28" s="150">
        <v>69575</v>
      </c>
      <c r="F28" s="150">
        <v>71000</v>
      </c>
    </row>
    <row r="29" spans="1:6" ht="14.1" customHeight="1">
      <c r="A29" s="357" t="s">
        <v>128</v>
      </c>
      <c r="B29" s="355">
        <v>893604</v>
      </c>
      <c r="C29" s="355">
        <f>SUM(Data!Q29:S29)</f>
        <v>6613154</v>
      </c>
      <c r="D29" s="355">
        <v>1272025</v>
      </c>
      <c r="E29" s="355">
        <v>248490</v>
      </c>
      <c r="F29" s="355">
        <v>235112</v>
      </c>
    </row>
    <row r="30" spans="1:6" ht="14.1" customHeight="1">
      <c r="A30" s="236" t="s">
        <v>129</v>
      </c>
      <c r="B30" s="150">
        <v>687206</v>
      </c>
      <c r="C30" s="150">
        <f>SUM(Data!Q30:S30)</f>
        <v>506060</v>
      </c>
      <c r="D30" s="150">
        <v>53950</v>
      </c>
      <c r="E30" s="150">
        <v>57695</v>
      </c>
      <c r="F30" s="150">
        <v>42500</v>
      </c>
    </row>
    <row r="31" spans="1:6" ht="14.1" customHeight="1">
      <c r="A31" s="357" t="s">
        <v>130</v>
      </c>
      <c r="B31" s="355">
        <v>830652</v>
      </c>
      <c r="C31" s="355">
        <f>SUM(Data!Q31:S31)</f>
        <v>1721532</v>
      </c>
      <c r="D31" s="355">
        <v>113950</v>
      </c>
      <c r="E31" s="355">
        <v>169675</v>
      </c>
      <c r="F31" s="355">
        <v>228500</v>
      </c>
    </row>
    <row r="32" spans="1:6" ht="14.1" customHeight="1">
      <c r="A32" s="236" t="s">
        <v>131</v>
      </c>
      <c r="B32" s="150">
        <v>1301513</v>
      </c>
      <c r="C32" s="150">
        <f>SUM(Data!Q32:S32)</f>
        <v>806188</v>
      </c>
      <c r="D32" s="150">
        <v>105350</v>
      </c>
      <c r="E32" s="150">
        <v>85828</v>
      </c>
      <c r="F32" s="150">
        <v>82500</v>
      </c>
    </row>
    <row r="33" spans="1:6" ht="14.1" customHeight="1">
      <c r="A33" s="357" t="s">
        <v>132</v>
      </c>
      <c r="B33" s="355">
        <v>1409955</v>
      </c>
      <c r="C33" s="355">
        <f>SUM(Data!Q33:S33)</f>
        <v>810136</v>
      </c>
      <c r="D33" s="355">
        <v>136875</v>
      </c>
      <c r="E33" s="355">
        <v>80410</v>
      </c>
      <c r="F33" s="355">
        <v>37500</v>
      </c>
    </row>
    <row r="34" spans="1:6" ht="14.1" customHeight="1">
      <c r="A34" s="236" t="s">
        <v>133</v>
      </c>
      <c r="B34" s="150">
        <v>1443363</v>
      </c>
      <c r="C34" s="150">
        <f>SUM(Data!Q34:S34)</f>
        <v>1178954</v>
      </c>
      <c r="D34" s="150">
        <v>83200</v>
      </c>
      <c r="E34" s="150">
        <v>75626</v>
      </c>
      <c r="F34" s="150">
        <v>90000</v>
      </c>
    </row>
    <row r="35" spans="1:6" ht="14.1" customHeight="1">
      <c r="A35" s="357" t="s">
        <v>134</v>
      </c>
      <c r="B35" s="355">
        <v>1727963</v>
      </c>
      <c r="C35" s="355">
        <f>SUM(Data!Q35:S35)</f>
        <v>8782650</v>
      </c>
      <c r="D35" s="355">
        <v>678500</v>
      </c>
      <c r="E35" s="355">
        <v>982796</v>
      </c>
      <c r="F35" s="355">
        <v>682500</v>
      </c>
    </row>
    <row r="36" spans="1:6" ht="14.1" customHeight="1">
      <c r="A36" s="236" t="s">
        <v>135</v>
      </c>
      <c r="B36" s="150">
        <v>869697</v>
      </c>
      <c r="C36" s="150">
        <f>SUM(Data!Q36:S36)</f>
        <v>582503</v>
      </c>
      <c r="D36" s="150">
        <v>32600</v>
      </c>
      <c r="E36" s="150">
        <v>28656</v>
      </c>
      <c r="F36" s="150">
        <v>65000</v>
      </c>
    </row>
    <row r="37" spans="1:6" ht="14.1" customHeight="1">
      <c r="A37" s="357" t="s">
        <v>136</v>
      </c>
      <c r="B37" s="355">
        <v>1744656</v>
      </c>
      <c r="C37" s="355">
        <f>SUM(Data!Q37:S37)</f>
        <v>2338846</v>
      </c>
      <c r="D37" s="355">
        <v>169950</v>
      </c>
      <c r="E37" s="355">
        <v>135218</v>
      </c>
      <c r="F37" s="355">
        <v>232500</v>
      </c>
    </row>
    <row r="38" spans="1:6" ht="14.1" customHeight="1">
      <c r="A38" s="236" t="s">
        <v>137</v>
      </c>
      <c r="B38" s="150">
        <v>1121062</v>
      </c>
      <c r="C38" s="150">
        <f>SUM(Data!Q38:S38)</f>
        <v>5940359</v>
      </c>
      <c r="D38" s="150">
        <v>953750</v>
      </c>
      <c r="E38" s="150">
        <v>474045</v>
      </c>
      <c r="F38" s="150">
        <v>352900</v>
      </c>
    </row>
    <row r="39" spans="1:6" ht="14.1" customHeight="1">
      <c r="A39" s="357" t="s">
        <v>138</v>
      </c>
      <c r="B39" s="355">
        <v>1145706</v>
      </c>
      <c r="C39" s="355">
        <f>SUM(Data!Q39:S39)</f>
        <v>504381</v>
      </c>
      <c r="D39" s="355">
        <v>53000</v>
      </c>
      <c r="E39" s="355">
        <v>27720</v>
      </c>
      <c r="F39" s="355">
        <v>22500</v>
      </c>
    </row>
    <row r="40" spans="1:6" ht="14.1" customHeight="1">
      <c r="A40" s="236" t="s">
        <v>139</v>
      </c>
      <c r="B40" s="150">
        <v>636033</v>
      </c>
      <c r="C40" s="150">
        <f>SUM(Data!Q40:S40)</f>
        <v>4502880</v>
      </c>
      <c r="D40" s="150">
        <v>387300</v>
      </c>
      <c r="E40" s="150">
        <v>611903</v>
      </c>
      <c r="F40" s="150">
        <v>356200</v>
      </c>
    </row>
    <row r="41" spans="1:6" ht="14.1" customHeight="1">
      <c r="A41" s="357" t="s">
        <v>140</v>
      </c>
      <c r="B41" s="355">
        <v>2703614</v>
      </c>
      <c r="C41" s="355">
        <f>SUM(Data!Q41:S41)</f>
        <v>2586664</v>
      </c>
      <c r="D41" s="355">
        <v>75025</v>
      </c>
      <c r="E41" s="355">
        <v>173003</v>
      </c>
      <c r="F41" s="355">
        <v>157433</v>
      </c>
    </row>
    <row r="42" spans="1:6" ht="14.1" customHeight="1">
      <c r="A42" s="236" t="s">
        <v>141</v>
      </c>
      <c r="B42" s="150">
        <v>1042713</v>
      </c>
      <c r="C42" s="150">
        <f>SUM(Data!Q42:S42)</f>
        <v>810226</v>
      </c>
      <c r="D42" s="150">
        <v>3450</v>
      </c>
      <c r="E42" s="150">
        <v>235015</v>
      </c>
      <c r="F42" s="150">
        <v>140000</v>
      </c>
    </row>
    <row r="43" spans="1:6" ht="14.1" customHeight="1">
      <c r="A43" s="357" t="s">
        <v>142</v>
      </c>
      <c r="B43" s="355">
        <v>590309</v>
      </c>
      <c r="C43" s="355">
        <f>SUM(Data!Q43:S43)</f>
        <v>376727</v>
      </c>
      <c r="D43" s="355">
        <v>49860</v>
      </c>
      <c r="E43" s="355">
        <v>27610</v>
      </c>
      <c r="F43" s="355">
        <v>22500</v>
      </c>
    </row>
    <row r="44" spans="1:6" ht="14.1" customHeight="1">
      <c r="A44" s="236" t="s">
        <v>143</v>
      </c>
      <c r="B44" s="150">
        <v>782914</v>
      </c>
      <c r="C44" s="150">
        <f>SUM(Data!Q44:S44)</f>
        <v>496953</v>
      </c>
      <c r="D44" s="150">
        <v>15350</v>
      </c>
      <c r="E44" s="150">
        <v>21918</v>
      </c>
      <c r="F44" s="150">
        <v>90000</v>
      </c>
    </row>
    <row r="45" spans="1:6" ht="14.1" customHeight="1">
      <c r="A45" s="357" t="s">
        <v>144</v>
      </c>
      <c r="B45" s="355">
        <v>496663</v>
      </c>
      <c r="C45" s="355">
        <f>SUM(Data!Q45:S45)</f>
        <v>647784</v>
      </c>
      <c r="D45" s="355">
        <v>118775</v>
      </c>
      <c r="E45" s="355">
        <v>113190</v>
      </c>
      <c r="F45" s="355">
        <v>22500</v>
      </c>
    </row>
    <row r="46" spans="1:6" ht="14.1" customHeight="1">
      <c r="A46" s="236" t="s">
        <v>145</v>
      </c>
      <c r="B46" s="150">
        <v>1341562</v>
      </c>
      <c r="C46" s="150">
        <f>SUM(Data!Q46:S46)</f>
        <v>15911398</v>
      </c>
      <c r="D46" s="150">
        <v>3105710</v>
      </c>
      <c r="E46" s="150">
        <v>1762448</v>
      </c>
      <c r="F46" s="150">
        <v>2289400</v>
      </c>
    </row>
    <row r="47" spans="1:6" ht="5.0999999999999996" customHeight="1">
      <c r="A47" s="129"/>
      <c r="B47" s="151"/>
      <c r="C47" s="151"/>
      <c r="D47" s="151"/>
      <c r="E47" s="151"/>
      <c r="F47" s="151"/>
    </row>
    <row r="48" spans="1:6" ht="14.1" customHeight="1">
      <c r="A48" s="358" t="s">
        <v>146</v>
      </c>
      <c r="B48" s="359">
        <f t="shared" ref="B48:D48" si="0">SUM(B11:B46)</f>
        <v>42893272</v>
      </c>
      <c r="C48" s="359">
        <f>SUM(C11:C46)</f>
        <v>87241971</v>
      </c>
      <c r="D48" s="359">
        <f t="shared" si="0"/>
        <v>10983580</v>
      </c>
      <c r="E48" s="359">
        <f t="shared" ref="E48:F48" si="1">SUM(E11:E46)</f>
        <v>9056392</v>
      </c>
      <c r="F48" s="359">
        <f t="shared" si="1"/>
        <v>8658245</v>
      </c>
    </row>
    <row r="49" spans="1:6" ht="5.0999999999999996" customHeight="1">
      <c r="A49" s="129" t="s">
        <v>8</v>
      </c>
      <c r="B49" s="151"/>
      <c r="C49" s="151"/>
      <c r="D49" s="151"/>
      <c r="E49" s="151"/>
      <c r="F49" s="151"/>
    </row>
    <row r="50" spans="1:6" ht="14.1" customHeight="1">
      <c r="A50" s="236" t="s">
        <v>147</v>
      </c>
      <c r="B50" s="150">
        <v>1246</v>
      </c>
      <c r="C50" s="150">
        <f>SUM(Data!Q50:S50)</f>
        <v>113574</v>
      </c>
      <c r="D50" s="150">
        <v>2400</v>
      </c>
      <c r="E50" s="150">
        <v>0</v>
      </c>
      <c r="F50" s="150">
        <v>0</v>
      </c>
    </row>
    <row r="51" spans="1:6" ht="14.1" customHeight="1">
      <c r="A51" s="357" t="s">
        <v>643</v>
      </c>
      <c r="B51" s="355">
        <v>0</v>
      </c>
      <c r="C51" s="355">
        <f>SUM(Data!Q51:S51)</f>
        <v>0</v>
      </c>
      <c r="D51" s="355">
        <v>0</v>
      </c>
      <c r="E51" s="355">
        <v>0</v>
      </c>
      <c r="F51" s="355">
        <v>0</v>
      </c>
    </row>
    <row r="52" spans="1:6" ht="50.1" customHeight="1">
      <c r="A52" s="22"/>
      <c r="B52" s="22"/>
      <c r="C52" s="22"/>
      <c r="D52" s="22"/>
      <c r="E52" s="22"/>
      <c r="F52" s="22"/>
    </row>
    <row r="53" spans="1:6" ht="15" customHeight="1">
      <c r="A53" s="37" t="s">
        <v>364</v>
      </c>
      <c r="B53" s="242"/>
      <c r="C53" s="37"/>
      <c r="D53" s="37"/>
      <c r="E53" s="37"/>
      <c r="F53" s="37"/>
    </row>
    <row r="54" spans="1:6" ht="12" customHeight="1">
      <c r="A54" s="795" t="str">
        <f>"(2)  Includes support for coordinators, clinicians and level 2 and 3 pupils. Note: total special needs support is " &amp;TEXT(C48+'- 58 -'!B48,"$0,000,000")&amp; " (Student Services,
       page 58 and Special Needs)."</f>
        <v>(2)  Includes support for coordinators, clinicians and level 2 and 3 pupils. Note: total special needs support is $149,503,868 (Student Services,
       page 58 and Special Needs).</v>
      </c>
      <c r="B54" s="795"/>
      <c r="C54" s="795"/>
      <c r="D54" s="795"/>
      <c r="E54" s="795"/>
      <c r="F54" s="795"/>
    </row>
    <row r="55" spans="1:6" ht="12" customHeight="1">
      <c r="A55" s="795"/>
      <c r="B55" s="795"/>
      <c r="C55" s="795"/>
      <c r="D55" s="795"/>
      <c r="E55" s="795"/>
      <c r="F55" s="795"/>
    </row>
    <row r="56" spans="1:6" ht="14.1" customHeight="1">
      <c r="A56" s="37"/>
      <c r="B56" s="37"/>
      <c r="C56" s="265"/>
      <c r="D56" s="37"/>
      <c r="E56" s="37"/>
      <c r="F56" s="37"/>
    </row>
  </sheetData>
  <mergeCells count="7">
    <mergeCell ref="B4:F5"/>
    <mergeCell ref="B6:F6"/>
    <mergeCell ref="A54:F55"/>
    <mergeCell ref="C8:C9"/>
    <mergeCell ref="D7:D9"/>
    <mergeCell ref="E7:E9"/>
    <mergeCell ref="F7:F9"/>
  </mergeCells>
  <phoneticPr fontId="6" type="noConversion"/>
  <pageMargins left="0.5" right="0.5" top="0.6" bottom="0.2" header="0.3" footer="0.5"/>
  <pageSetup scale="89" orientation="portrait" r:id="rId1"/>
  <headerFooter alignWithMargins="0">
    <oddHeader>&amp;C&amp;"Arial,Regular"&amp;11&amp;A</oddHeader>
  </headerFooter>
</worksheet>
</file>

<file path=xl/worksheets/sheet53.xml><?xml version="1.0" encoding="utf-8"?>
<worksheet xmlns="http://schemas.openxmlformats.org/spreadsheetml/2006/main" xmlns:r="http://schemas.openxmlformats.org/officeDocument/2006/relationships">
  <sheetPr codeName="Sheet46">
    <pageSetUpPr fitToPage="1"/>
  </sheetPr>
  <dimension ref="A1:F53"/>
  <sheetViews>
    <sheetView showGridLines="0" showZeros="0" workbookViewId="0"/>
  </sheetViews>
  <sheetFormatPr defaultColWidth="19.83203125" defaultRowHeight="12"/>
  <cols>
    <col min="1" max="1" width="34.1640625" style="1" customWidth="1"/>
    <col min="2" max="2" width="18.83203125" style="1" customWidth="1"/>
    <col min="3" max="3" width="19.83203125" style="1" customWidth="1"/>
    <col min="4" max="5" width="19.1640625" style="1" customWidth="1"/>
    <col min="6" max="6" width="17.83203125" style="1" customWidth="1"/>
    <col min="7" max="16384" width="19.83203125" style="1"/>
  </cols>
  <sheetData>
    <row r="1" spans="1:6" ht="6.95" customHeight="1">
      <c r="A1" s="6"/>
      <c r="B1" s="6"/>
      <c r="C1" s="6"/>
      <c r="D1" s="6"/>
      <c r="E1" s="6"/>
      <c r="F1" s="6"/>
    </row>
    <row r="2" spans="1:6" ht="15.95" customHeight="1">
      <c r="A2" s="260"/>
      <c r="B2" s="203" t="str">
        <f>REVYEAR</f>
        <v>ANALYSIS OF OPERATING FUND REVENUE: 2014/2015 ACTUAL</v>
      </c>
      <c r="C2" s="261"/>
      <c r="D2" s="261"/>
      <c r="E2" s="261"/>
      <c r="F2" s="214" t="s">
        <v>102</v>
      </c>
    </row>
    <row r="3" spans="1:6" ht="15.95" customHeight="1">
      <c r="A3" s="542"/>
      <c r="B3" s="6"/>
      <c r="C3" s="6"/>
      <c r="D3" s="6"/>
      <c r="E3" s="6"/>
      <c r="F3" s="6"/>
    </row>
    <row r="4" spans="1:6" ht="15.95" customHeight="1">
      <c r="B4" s="778" t="s">
        <v>606</v>
      </c>
      <c r="C4" s="779"/>
      <c r="D4" s="779"/>
      <c r="E4" s="779"/>
      <c r="F4" s="780"/>
    </row>
    <row r="5" spans="1:6" ht="15.95" customHeight="1">
      <c r="B5" s="781"/>
      <c r="C5" s="782"/>
      <c r="D5" s="782"/>
      <c r="E5" s="782"/>
      <c r="F5" s="783"/>
    </row>
    <row r="6" spans="1:6" ht="15.95" customHeight="1">
      <c r="B6" s="799" t="s">
        <v>53</v>
      </c>
      <c r="C6" s="800"/>
      <c r="D6" s="800"/>
      <c r="E6" s="800"/>
      <c r="F6" s="801"/>
    </row>
    <row r="7" spans="1:6" ht="15.95" customHeight="1">
      <c r="B7" s="714" t="s">
        <v>611</v>
      </c>
      <c r="C7" s="798" t="s">
        <v>612</v>
      </c>
      <c r="D7" s="685" t="s">
        <v>613</v>
      </c>
      <c r="E7" s="32"/>
      <c r="F7" s="685" t="s">
        <v>615</v>
      </c>
    </row>
    <row r="8" spans="1:6" ht="15.95" customHeight="1">
      <c r="A8" s="406"/>
      <c r="B8" s="796"/>
      <c r="C8" s="787"/>
      <c r="D8" s="789"/>
      <c r="E8" s="789" t="s">
        <v>614</v>
      </c>
      <c r="F8" s="789"/>
    </row>
    <row r="9" spans="1:6" ht="15.95" customHeight="1">
      <c r="A9" s="407" t="s">
        <v>43</v>
      </c>
      <c r="B9" s="797"/>
      <c r="C9" s="788"/>
      <c r="D9" s="790"/>
      <c r="E9" s="790"/>
      <c r="F9" s="790"/>
    </row>
    <row r="10" spans="1:6" ht="5.0999999999999996" customHeight="1">
      <c r="A10" s="5"/>
      <c r="B10" s="6"/>
      <c r="C10" s="6"/>
      <c r="D10" s="6"/>
      <c r="E10" s="6"/>
      <c r="F10" s="6"/>
    </row>
    <row r="11" spans="1:6" ht="14.1" customHeight="1">
      <c r="A11" s="357" t="s">
        <v>111</v>
      </c>
      <c r="B11" s="355">
        <v>2973</v>
      </c>
      <c r="C11" s="355">
        <v>18744</v>
      </c>
      <c r="D11" s="355">
        <v>56430</v>
      </c>
      <c r="E11" s="355">
        <f>Data!P11-SUM('- 59 -'!$B11:F11,B11:D11)</f>
        <v>431670</v>
      </c>
      <c r="F11" s="355">
        <f>SUM('- 59 -'!$B11:F11,B11:E11)</f>
        <v>2100434</v>
      </c>
    </row>
    <row r="12" spans="1:6" ht="14.1" customHeight="1">
      <c r="A12" s="236" t="s">
        <v>112</v>
      </c>
      <c r="B12" s="150">
        <v>29570</v>
      </c>
      <c r="C12" s="150">
        <v>26761</v>
      </c>
      <c r="D12" s="150">
        <v>71307</v>
      </c>
      <c r="E12" s="150">
        <f>Data!P12-SUM('- 59 -'!$B12:F12,B12:D12)</f>
        <v>421675</v>
      </c>
      <c r="F12" s="150">
        <f>SUM('- 59 -'!$B12:F12,B12:E12)</f>
        <v>3208747</v>
      </c>
    </row>
    <row r="13" spans="1:6" ht="14.1" customHeight="1">
      <c r="A13" s="357" t="s">
        <v>113</v>
      </c>
      <c r="B13" s="355">
        <v>186606</v>
      </c>
      <c r="C13" s="355">
        <v>139520</v>
      </c>
      <c r="D13" s="355">
        <v>379680</v>
      </c>
      <c r="E13" s="355">
        <f>Data!P13-SUM('- 59 -'!$B13:F13,B13:D13)</f>
        <v>337433</v>
      </c>
      <c r="F13" s="355">
        <f>SUM('- 59 -'!$B13:F13,B13:E13)</f>
        <v>6434333</v>
      </c>
    </row>
    <row r="14" spans="1:6" ht="14.1" customHeight="1">
      <c r="A14" s="236" t="s">
        <v>365</v>
      </c>
      <c r="B14" s="150">
        <v>1441425</v>
      </c>
      <c r="C14" s="150">
        <v>92223</v>
      </c>
      <c r="D14" s="150">
        <v>253422</v>
      </c>
      <c r="E14" s="150">
        <f>Data!P14-SUM('- 59 -'!$B14:F14,B14:D14)</f>
        <v>481226</v>
      </c>
      <c r="F14" s="150">
        <f>SUM('- 59 -'!$B14:F14,B14:E14)</f>
        <v>7592987</v>
      </c>
    </row>
    <row r="15" spans="1:6" ht="14.1" customHeight="1">
      <c r="A15" s="357" t="s">
        <v>114</v>
      </c>
      <c r="B15" s="355">
        <v>5320</v>
      </c>
      <c r="C15" s="355">
        <v>17510</v>
      </c>
      <c r="D15" s="355">
        <v>52839</v>
      </c>
      <c r="E15" s="355">
        <f>Data!P15-SUM('- 59 -'!$B15:F15,B15:D15)</f>
        <v>157286</v>
      </c>
      <c r="F15" s="355">
        <f>SUM('- 59 -'!$B15:F15,B15:E15)</f>
        <v>2228777</v>
      </c>
    </row>
    <row r="16" spans="1:6" ht="14.1" customHeight="1">
      <c r="A16" s="236" t="s">
        <v>115</v>
      </c>
      <c r="B16" s="150">
        <v>26014</v>
      </c>
      <c r="C16" s="150">
        <v>11730</v>
      </c>
      <c r="D16" s="150">
        <v>37897</v>
      </c>
      <c r="E16" s="150">
        <f>Data!P16-SUM('- 59 -'!$B16:F16,B16:D16)</f>
        <v>717223</v>
      </c>
      <c r="F16" s="150">
        <f>SUM('- 59 -'!$B16:F16,B16:E16)</f>
        <v>1480241</v>
      </c>
    </row>
    <row r="17" spans="1:6" ht="14.1" customHeight="1">
      <c r="A17" s="357" t="s">
        <v>116</v>
      </c>
      <c r="B17" s="355">
        <v>2092</v>
      </c>
      <c r="C17" s="355">
        <v>17888</v>
      </c>
      <c r="D17" s="355">
        <v>49248</v>
      </c>
      <c r="E17" s="355">
        <f>Data!P17-SUM('- 59 -'!$B17:F17,B17:D17)</f>
        <v>97315</v>
      </c>
      <c r="F17" s="355">
        <f>SUM('- 59 -'!$B17:F17,B17:E17)</f>
        <v>1804181</v>
      </c>
    </row>
    <row r="18" spans="1:6" ht="14.1" customHeight="1">
      <c r="A18" s="236" t="s">
        <v>117</v>
      </c>
      <c r="B18" s="150">
        <v>697</v>
      </c>
      <c r="C18" s="150">
        <v>47313</v>
      </c>
      <c r="D18" s="150">
        <v>196219</v>
      </c>
      <c r="E18" s="150">
        <f>Data!P18-SUM('- 59 -'!$B18:F18,B18:D18)</f>
        <v>2634392</v>
      </c>
      <c r="F18" s="150">
        <f>SUM('- 59 -'!$B18:F18,B18:E18)</f>
        <v>6781204</v>
      </c>
    </row>
    <row r="19" spans="1:6" ht="14.1" customHeight="1">
      <c r="A19" s="357" t="s">
        <v>118</v>
      </c>
      <c r="B19" s="355">
        <v>4492</v>
      </c>
      <c r="C19" s="355">
        <v>62170</v>
      </c>
      <c r="D19" s="355">
        <v>172881</v>
      </c>
      <c r="E19" s="355">
        <f>Data!P19-SUM('- 59 -'!$B19:F19,B19:D19)</f>
        <v>164496</v>
      </c>
      <c r="F19" s="355">
        <f>SUM('- 59 -'!$B19:F19,B19:E19)</f>
        <v>4571716</v>
      </c>
    </row>
    <row r="20" spans="1:6" ht="14.1" customHeight="1">
      <c r="A20" s="236" t="s">
        <v>119</v>
      </c>
      <c r="B20" s="150">
        <v>23515</v>
      </c>
      <c r="C20" s="150">
        <v>123061</v>
      </c>
      <c r="D20" s="150">
        <v>342684</v>
      </c>
      <c r="E20" s="150">
        <f>Data!P20-SUM('- 59 -'!$B20:F20,B20:D20)</f>
        <v>178636</v>
      </c>
      <c r="F20" s="150">
        <f>SUM('- 59 -'!$B20:F20,B20:E20)</f>
        <v>7842526</v>
      </c>
    </row>
    <row r="21" spans="1:6" ht="14.1" customHeight="1">
      <c r="A21" s="357" t="s">
        <v>120</v>
      </c>
      <c r="B21" s="355">
        <v>52765</v>
      </c>
      <c r="C21" s="355">
        <v>38772</v>
      </c>
      <c r="D21" s="355">
        <v>114912</v>
      </c>
      <c r="E21" s="355">
        <f>Data!P21-SUM('- 59 -'!$B21:F21,B21:D21)</f>
        <v>348401</v>
      </c>
      <c r="F21" s="355">
        <f>SUM('- 59 -'!$B21:F21,B21:E21)</f>
        <v>3317059</v>
      </c>
    </row>
    <row r="22" spans="1:6" ht="14.1" customHeight="1">
      <c r="A22" s="236" t="s">
        <v>121</v>
      </c>
      <c r="B22" s="150">
        <v>41470</v>
      </c>
      <c r="C22" s="150">
        <v>23460</v>
      </c>
      <c r="D22" s="150">
        <v>61560</v>
      </c>
      <c r="E22" s="150">
        <f>Data!P22-SUM('- 59 -'!$B22:F22,B22:D22)</f>
        <v>1165547</v>
      </c>
      <c r="F22" s="150">
        <f>SUM('- 59 -'!$B22:F22,B22:E22)</f>
        <v>2745171</v>
      </c>
    </row>
    <row r="23" spans="1:6" ht="14.1" customHeight="1">
      <c r="A23" s="357" t="s">
        <v>122</v>
      </c>
      <c r="B23" s="355">
        <v>1991</v>
      </c>
      <c r="C23" s="355">
        <v>15710</v>
      </c>
      <c r="D23" s="355">
        <v>38988</v>
      </c>
      <c r="E23" s="355">
        <f>Data!P23-SUM('- 59 -'!$B23:F23,B23:D23)</f>
        <v>183417</v>
      </c>
      <c r="F23" s="355">
        <f>SUM('- 59 -'!$B23:F23,B23:E23)</f>
        <v>2163827</v>
      </c>
    </row>
    <row r="24" spans="1:6" ht="14.1" customHeight="1">
      <c r="A24" s="236" t="s">
        <v>123</v>
      </c>
      <c r="B24" s="150">
        <v>111724</v>
      </c>
      <c r="C24" s="150">
        <v>50070</v>
      </c>
      <c r="D24" s="150">
        <v>191880</v>
      </c>
      <c r="E24" s="150">
        <f>Data!P24-SUM('- 59 -'!$B24:F24,B24:D24)</f>
        <v>421251</v>
      </c>
      <c r="F24" s="150">
        <f>SUM('- 59 -'!$B24:F24,B24:E24)</f>
        <v>5575488</v>
      </c>
    </row>
    <row r="25" spans="1:6" ht="14.1" customHeight="1">
      <c r="A25" s="357" t="s">
        <v>124</v>
      </c>
      <c r="B25" s="355">
        <v>1179998</v>
      </c>
      <c r="C25" s="355">
        <v>194194</v>
      </c>
      <c r="D25" s="355">
        <v>510435</v>
      </c>
      <c r="E25" s="355">
        <f>Data!P25-SUM('- 59 -'!$B25:F25,B25:D25)</f>
        <v>464331</v>
      </c>
      <c r="F25" s="355">
        <f>SUM('- 59 -'!$B25:F25,B25:E25)</f>
        <v>13923385</v>
      </c>
    </row>
    <row r="26" spans="1:6" ht="14.1" customHeight="1">
      <c r="A26" s="236" t="s">
        <v>125</v>
      </c>
      <c r="B26" s="150">
        <v>71673</v>
      </c>
      <c r="C26" s="150">
        <v>43547</v>
      </c>
      <c r="D26" s="150">
        <v>189633</v>
      </c>
      <c r="E26" s="150">
        <f>Data!P26-SUM('- 59 -'!$B26:F26,B26:D26)</f>
        <v>176237</v>
      </c>
      <c r="F26" s="150">
        <f>SUM('- 59 -'!$B26:F26,B26:E26)</f>
        <v>3958758</v>
      </c>
    </row>
    <row r="27" spans="1:6" ht="14.1" customHeight="1">
      <c r="A27" s="357" t="s">
        <v>126</v>
      </c>
      <c r="B27" s="355">
        <v>67839</v>
      </c>
      <c r="C27" s="355">
        <v>45416</v>
      </c>
      <c r="D27" s="355">
        <v>116795</v>
      </c>
      <c r="E27" s="355">
        <f>Data!P27-SUM('- 59 -'!$B27:F27,B27:D27)</f>
        <v>2048343</v>
      </c>
      <c r="F27" s="355">
        <f>SUM('- 59 -'!$B27:F27,B27:E27)</f>
        <v>4750336</v>
      </c>
    </row>
    <row r="28" spans="1:6" ht="14.1" customHeight="1">
      <c r="A28" s="236" t="s">
        <v>127</v>
      </c>
      <c r="B28" s="150">
        <v>5597</v>
      </c>
      <c r="C28" s="150">
        <v>17510</v>
      </c>
      <c r="D28" s="150">
        <v>52839</v>
      </c>
      <c r="E28" s="150">
        <f>Data!P28-SUM('- 59 -'!$B28:F28,B28:D28)</f>
        <v>179777</v>
      </c>
      <c r="F28" s="150">
        <f>SUM('- 59 -'!$B28:F28,B28:E28)</f>
        <v>2337964</v>
      </c>
    </row>
    <row r="29" spans="1:6" ht="14.1" customHeight="1">
      <c r="A29" s="357" t="s">
        <v>128</v>
      </c>
      <c r="B29" s="355">
        <v>652474</v>
      </c>
      <c r="C29" s="355">
        <v>153895</v>
      </c>
      <c r="D29" s="355">
        <v>435024</v>
      </c>
      <c r="E29" s="355">
        <f>Data!P29-SUM('- 59 -'!$B29:F29,B29:D29)</f>
        <v>752929</v>
      </c>
      <c r="F29" s="355">
        <f>SUM('- 59 -'!$B29:F29,B29:E29)</f>
        <v>11256707</v>
      </c>
    </row>
    <row r="30" spans="1:6" ht="14.1" customHeight="1">
      <c r="A30" s="236" t="s">
        <v>129</v>
      </c>
      <c r="B30" s="150">
        <v>2452</v>
      </c>
      <c r="C30" s="150">
        <v>13920</v>
      </c>
      <c r="D30" s="150">
        <v>41553</v>
      </c>
      <c r="E30" s="150">
        <f>Data!P30-SUM('- 59 -'!$B30:F30,B30:D30)</f>
        <v>173230</v>
      </c>
      <c r="F30" s="150">
        <f>SUM('- 59 -'!$B30:F30,B30:E30)</f>
        <v>1578566</v>
      </c>
    </row>
    <row r="31" spans="1:6" ht="14.1" customHeight="1">
      <c r="A31" s="357" t="s">
        <v>130</v>
      </c>
      <c r="B31" s="355">
        <v>74210</v>
      </c>
      <c r="C31" s="355">
        <v>56120</v>
      </c>
      <c r="D31" s="355">
        <v>132867</v>
      </c>
      <c r="E31" s="355">
        <f>Data!P31-SUM('- 59 -'!$B31:F31,B31:D31)</f>
        <v>286637</v>
      </c>
      <c r="F31" s="355">
        <f>SUM('- 59 -'!$B31:F31,B31:E31)</f>
        <v>3614143</v>
      </c>
    </row>
    <row r="32" spans="1:6" ht="14.1" customHeight="1">
      <c r="A32" s="236" t="s">
        <v>131</v>
      </c>
      <c r="B32" s="150">
        <v>46085</v>
      </c>
      <c r="C32" s="150">
        <v>34931</v>
      </c>
      <c r="D32" s="150">
        <v>104652</v>
      </c>
      <c r="E32" s="150">
        <f>Data!P32-SUM('- 59 -'!$B32:F32,B32:D32)</f>
        <v>482959</v>
      </c>
      <c r="F32" s="150">
        <f>SUM('- 59 -'!$B32:F32,B32:E32)</f>
        <v>3050006</v>
      </c>
    </row>
    <row r="33" spans="1:6" ht="14.1" customHeight="1">
      <c r="A33" s="357" t="s">
        <v>132</v>
      </c>
      <c r="B33" s="355">
        <v>25485</v>
      </c>
      <c r="C33" s="355">
        <v>28037</v>
      </c>
      <c r="D33" s="355">
        <v>83106</v>
      </c>
      <c r="E33" s="355">
        <f>Data!P33-SUM('- 59 -'!$B33:F33,B33:D33)</f>
        <v>394644</v>
      </c>
      <c r="F33" s="355">
        <f>SUM('- 59 -'!$B33:F33,B33:E33)</f>
        <v>3006148</v>
      </c>
    </row>
    <row r="34" spans="1:6" ht="14.1" customHeight="1">
      <c r="A34" s="236" t="s">
        <v>133</v>
      </c>
      <c r="B34" s="150">
        <v>85947</v>
      </c>
      <c r="C34" s="150">
        <v>29689</v>
      </c>
      <c r="D34" s="150">
        <v>77976</v>
      </c>
      <c r="E34" s="150">
        <f>Data!P34-SUM('- 59 -'!$B34:F34,B34:D34)</f>
        <v>318627</v>
      </c>
      <c r="F34" s="150">
        <f>SUM('- 59 -'!$B34:F34,B34:E34)</f>
        <v>3383382</v>
      </c>
    </row>
    <row r="35" spans="1:6" ht="14.1" customHeight="1">
      <c r="A35" s="357" t="s">
        <v>134</v>
      </c>
      <c r="B35" s="355">
        <v>697647</v>
      </c>
      <c r="C35" s="355">
        <v>190643</v>
      </c>
      <c r="D35" s="355">
        <v>653598</v>
      </c>
      <c r="E35" s="355">
        <f>Data!P35-SUM('- 59 -'!$B35:F35,B35:D35)</f>
        <v>710186</v>
      </c>
      <c r="F35" s="355">
        <f>SUM('- 59 -'!$B35:F35,B35:E35)</f>
        <v>15106483</v>
      </c>
    </row>
    <row r="36" spans="1:6" ht="14.1" customHeight="1">
      <c r="A36" s="236" t="s">
        <v>135</v>
      </c>
      <c r="B36" s="150">
        <v>3887</v>
      </c>
      <c r="C36" s="150">
        <v>24153</v>
      </c>
      <c r="D36" s="150">
        <v>66177</v>
      </c>
      <c r="E36" s="150">
        <f>Data!P36-SUM('- 59 -'!$B36:F36,B36:D36)</f>
        <v>268738</v>
      </c>
      <c r="F36" s="150">
        <f>SUM('- 59 -'!$B36:F36,B36:E36)</f>
        <v>1941411</v>
      </c>
    </row>
    <row r="37" spans="1:6" ht="14.1" customHeight="1">
      <c r="A37" s="357" t="s">
        <v>136</v>
      </c>
      <c r="B37" s="355">
        <v>306913</v>
      </c>
      <c r="C37" s="355">
        <v>67239</v>
      </c>
      <c r="D37" s="355">
        <v>185193</v>
      </c>
      <c r="E37" s="355">
        <f>Data!P37-SUM('- 59 -'!$B37:F37,B37:D37)</f>
        <v>215203</v>
      </c>
      <c r="F37" s="355">
        <f>SUM('- 59 -'!$B37:F37,B37:E37)</f>
        <v>5395718</v>
      </c>
    </row>
    <row r="38" spans="1:6" ht="14.1" customHeight="1">
      <c r="A38" s="236" t="s">
        <v>137</v>
      </c>
      <c r="B38" s="150">
        <v>390809</v>
      </c>
      <c r="C38" s="150">
        <v>140113</v>
      </c>
      <c r="D38" s="150">
        <v>384750</v>
      </c>
      <c r="E38" s="150">
        <f>Data!P38-SUM('- 59 -'!$B38:F38,B38:D38)</f>
        <v>364806</v>
      </c>
      <c r="F38" s="150">
        <f>SUM('- 59 -'!$B38:F38,B38:E38)</f>
        <v>10122594</v>
      </c>
    </row>
    <row r="39" spans="1:6" ht="14.1" customHeight="1">
      <c r="A39" s="357" t="s">
        <v>138</v>
      </c>
      <c r="B39" s="355">
        <v>1805</v>
      </c>
      <c r="C39" s="355">
        <v>19890</v>
      </c>
      <c r="D39" s="355">
        <v>60021</v>
      </c>
      <c r="E39" s="355">
        <f>Data!P39-SUM('- 59 -'!$B39:F39,B39:D39)</f>
        <v>278851</v>
      </c>
      <c r="F39" s="355">
        <f>SUM('- 59 -'!$B39:F39,B39:E39)</f>
        <v>2113874</v>
      </c>
    </row>
    <row r="40" spans="1:6" ht="14.1" customHeight="1">
      <c r="A40" s="236" t="s">
        <v>139</v>
      </c>
      <c r="B40" s="150">
        <v>347508</v>
      </c>
      <c r="C40" s="150">
        <v>114759</v>
      </c>
      <c r="D40" s="150">
        <v>443729</v>
      </c>
      <c r="E40" s="150">
        <f>Data!P40-SUM('- 59 -'!$B40:F40,B40:D40)</f>
        <v>251436</v>
      </c>
      <c r="F40" s="150">
        <f>SUM('- 59 -'!$B40:F40,B40:E40)</f>
        <v>7651748</v>
      </c>
    </row>
    <row r="41" spans="1:6" ht="14.1" customHeight="1">
      <c r="A41" s="357" t="s">
        <v>140</v>
      </c>
      <c r="B41" s="355">
        <v>156909</v>
      </c>
      <c r="C41" s="355">
        <v>54634</v>
      </c>
      <c r="D41" s="355">
        <v>161595</v>
      </c>
      <c r="E41" s="355">
        <f>Data!P41-SUM('- 59 -'!$B41:F41,B41:D41)</f>
        <v>343294</v>
      </c>
      <c r="F41" s="355">
        <f>SUM('- 59 -'!$B41:F41,B41:E41)</f>
        <v>6412171</v>
      </c>
    </row>
    <row r="42" spans="1:6" ht="14.1" customHeight="1">
      <c r="A42" s="236" t="s">
        <v>141</v>
      </c>
      <c r="B42" s="150">
        <v>26463</v>
      </c>
      <c r="C42" s="150">
        <v>22330</v>
      </c>
      <c r="D42" s="150">
        <v>63099</v>
      </c>
      <c r="E42" s="150">
        <f>Data!P42-SUM('- 59 -'!$B42:F42,B42:D42)</f>
        <v>70705</v>
      </c>
      <c r="F42" s="150">
        <f>SUM('- 59 -'!$B42:F42,B42:E42)</f>
        <v>2414001</v>
      </c>
    </row>
    <row r="43" spans="1:6" ht="14.1" customHeight="1">
      <c r="A43" s="357" t="s">
        <v>142</v>
      </c>
      <c r="B43" s="355">
        <v>452</v>
      </c>
      <c r="C43" s="355">
        <v>13261</v>
      </c>
      <c r="D43" s="355">
        <v>39501</v>
      </c>
      <c r="E43" s="355">
        <f>Data!P43-SUM('- 59 -'!$B43:F43,B43:D43)</f>
        <v>87498</v>
      </c>
      <c r="F43" s="355">
        <f>SUM('- 59 -'!$B43:F43,B43:E43)</f>
        <v>1207718</v>
      </c>
    </row>
    <row r="44" spans="1:6" ht="14.1" customHeight="1">
      <c r="A44" s="236" t="s">
        <v>143</v>
      </c>
      <c r="B44" s="150">
        <v>10681</v>
      </c>
      <c r="C44" s="150">
        <v>9956</v>
      </c>
      <c r="D44" s="150">
        <v>27189</v>
      </c>
      <c r="E44" s="150">
        <f>Data!P44-SUM('- 59 -'!$B44:F44,B44:D44)</f>
        <v>143666</v>
      </c>
      <c r="F44" s="150">
        <f>SUM('- 59 -'!$B44:F44,B44:E44)</f>
        <v>1598627</v>
      </c>
    </row>
    <row r="45" spans="1:6" ht="14.1" customHeight="1">
      <c r="A45" s="357" t="s">
        <v>144</v>
      </c>
      <c r="B45" s="355">
        <v>53332</v>
      </c>
      <c r="C45" s="355">
        <v>26580</v>
      </c>
      <c r="D45" s="355">
        <v>72846</v>
      </c>
      <c r="E45" s="355">
        <f>Data!P45-SUM('- 59 -'!$B45:F45,B45:D45)</f>
        <v>26098</v>
      </c>
      <c r="F45" s="355">
        <f>SUM('- 59 -'!$B45:F45,B45:E45)</f>
        <v>1577768</v>
      </c>
    </row>
    <row r="46" spans="1:6" ht="14.1" customHeight="1">
      <c r="A46" s="236" t="s">
        <v>145</v>
      </c>
      <c r="B46" s="150">
        <v>888392</v>
      </c>
      <c r="C46" s="150">
        <v>485008</v>
      </c>
      <c r="D46" s="150">
        <v>1882581</v>
      </c>
      <c r="E46" s="150">
        <f>Data!P46-SUM('- 59 -'!$B46:F46,B46:D46)</f>
        <v>1328641</v>
      </c>
      <c r="F46" s="150">
        <f>SUM('- 59 -'!$B46:F46,B46:E46)</f>
        <v>28995140</v>
      </c>
    </row>
    <row r="47" spans="1:6" ht="5.0999999999999996" customHeight="1">
      <c r="A47" s="129"/>
      <c r="B47" s="151"/>
      <c r="C47" s="151"/>
      <c r="D47" s="151"/>
      <c r="E47" s="151"/>
      <c r="F47" s="151"/>
    </row>
    <row r="48" spans="1:6" ht="14.1" customHeight="1">
      <c r="A48" s="358" t="s">
        <v>146</v>
      </c>
      <c r="B48" s="359">
        <f t="shared" ref="B48:D48" si="0">SUM(B11:B46)</f>
        <v>7027212</v>
      </c>
      <c r="C48" s="359">
        <f t="shared" si="0"/>
        <v>2470757</v>
      </c>
      <c r="D48" s="359">
        <f t="shared" si="0"/>
        <v>7805106</v>
      </c>
      <c r="E48" s="359">
        <f>SUM(E11:E46)</f>
        <v>17106804</v>
      </c>
      <c r="F48" s="359">
        <f>SUM(F11:F46)</f>
        <v>193243339</v>
      </c>
    </row>
    <row r="49" spans="1:6" ht="5.0999999999999996" customHeight="1">
      <c r="A49" s="129" t="s">
        <v>8</v>
      </c>
      <c r="B49" s="151"/>
      <c r="C49" s="151"/>
      <c r="D49" s="151"/>
      <c r="E49" s="151"/>
      <c r="F49" s="151"/>
    </row>
    <row r="50" spans="1:6" ht="14.1" customHeight="1">
      <c r="A50" s="236" t="s">
        <v>147</v>
      </c>
      <c r="B50" s="150">
        <v>477</v>
      </c>
      <c r="C50" s="150">
        <v>5843</v>
      </c>
      <c r="D50" s="150">
        <v>2565</v>
      </c>
      <c r="E50" s="150">
        <f>Data!P50-SUM('- 59 -'!$B50:F50,B50:D50)</f>
        <v>29726</v>
      </c>
      <c r="F50" s="150">
        <f>SUM('- 59 -'!$B50:F50,B50:E50)</f>
        <v>155831</v>
      </c>
    </row>
    <row r="51" spans="1:6" ht="14.1" customHeight="1">
      <c r="A51" s="357" t="s">
        <v>643</v>
      </c>
      <c r="B51" s="355">
        <v>0</v>
      </c>
      <c r="C51" s="355">
        <v>0</v>
      </c>
      <c r="D51" s="355">
        <v>0</v>
      </c>
      <c r="E51" s="355">
        <f>Data!P51-SUM('- 59 -'!$B51:F51,B51:D51)</f>
        <v>0</v>
      </c>
      <c r="F51" s="355">
        <f>SUM('- 59 -'!$B51:F51,B51:E51)</f>
        <v>0</v>
      </c>
    </row>
    <row r="52" spans="1:6" ht="50.1" customHeight="1">
      <c r="A52" s="22"/>
      <c r="B52" s="22"/>
      <c r="C52" s="22"/>
      <c r="D52" s="22"/>
      <c r="E52" s="22"/>
      <c r="F52" s="22"/>
    </row>
    <row r="53" spans="1:6" ht="15" customHeight="1">
      <c r="A53" s="132" t="s">
        <v>397</v>
      </c>
      <c r="E53" s="37"/>
      <c r="F53" s="37"/>
    </row>
  </sheetData>
  <mergeCells count="7">
    <mergeCell ref="B4:F5"/>
    <mergeCell ref="B7:B9"/>
    <mergeCell ref="C7:C9"/>
    <mergeCell ref="D7:D9"/>
    <mergeCell ref="E8:E9"/>
    <mergeCell ref="F7:F9"/>
    <mergeCell ref="B6:F6"/>
  </mergeCells>
  <phoneticPr fontId="6" type="noConversion"/>
  <pageMargins left="0.5" right="0.5" top="0.6" bottom="0.2" header="0.3" footer="0.5"/>
  <pageSetup scale="91" orientation="portrait" r:id="rId1"/>
  <headerFooter alignWithMargins="0">
    <oddHeader>&amp;C&amp;"Arial,Regular"&amp;11&amp;A</oddHeader>
  </headerFooter>
</worksheet>
</file>

<file path=xl/worksheets/sheet54.xml><?xml version="1.0" encoding="utf-8"?>
<worksheet xmlns="http://schemas.openxmlformats.org/spreadsheetml/2006/main" xmlns:r="http://schemas.openxmlformats.org/officeDocument/2006/relationships">
  <sheetPr codeName="Sheet48">
    <pageSetUpPr fitToPage="1"/>
  </sheetPr>
  <dimension ref="A1:F59"/>
  <sheetViews>
    <sheetView showGridLines="0" showZeros="0" workbookViewId="0"/>
  </sheetViews>
  <sheetFormatPr defaultColWidth="23.83203125" defaultRowHeight="12"/>
  <cols>
    <col min="1" max="1" width="30.1640625" style="1" customWidth="1"/>
    <col min="2" max="2" width="18" style="1" customWidth="1"/>
    <col min="3" max="3" width="18.6640625" style="1" customWidth="1"/>
    <col min="4" max="4" width="18.33203125" style="1" customWidth="1"/>
    <col min="5" max="5" width="18" style="1" customWidth="1"/>
    <col min="6" max="6" width="21.6640625" style="1" customWidth="1"/>
    <col min="7" max="16384" width="23.83203125" style="1"/>
  </cols>
  <sheetData>
    <row r="1" spans="1:6" ht="6.95" customHeight="1">
      <c r="A1" s="6"/>
      <c r="B1" s="6"/>
      <c r="C1" s="6"/>
      <c r="D1" s="6"/>
      <c r="E1" s="6"/>
      <c r="F1" s="6"/>
    </row>
    <row r="2" spans="1:6" ht="15.95" customHeight="1">
      <c r="A2" s="260"/>
      <c r="B2" s="203" t="str">
        <f>REVYEAR</f>
        <v>ANALYSIS OF OPERATING FUND REVENUE: 2014/2015 ACTUAL</v>
      </c>
      <c r="C2" s="203"/>
      <c r="D2" s="203"/>
      <c r="E2" s="261"/>
      <c r="F2" s="214" t="s">
        <v>103</v>
      </c>
    </row>
    <row r="3" spans="1:6" ht="15.95" customHeight="1">
      <c r="A3" s="542"/>
      <c r="B3" s="262"/>
      <c r="C3" s="262"/>
      <c r="D3" s="262"/>
      <c r="E3" s="262"/>
      <c r="F3" s="262"/>
    </row>
    <row r="4" spans="1:6" ht="15.95" customHeight="1"/>
    <row r="5" spans="1:6" ht="15.95" customHeight="1">
      <c r="B5" s="778" t="s">
        <v>606</v>
      </c>
      <c r="C5" s="779"/>
      <c r="D5" s="779"/>
      <c r="E5" s="779"/>
      <c r="F5" s="780"/>
    </row>
    <row r="6" spans="1:6" ht="15.95" customHeight="1">
      <c r="B6" s="781"/>
      <c r="C6" s="782"/>
      <c r="D6" s="782"/>
      <c r="E6" s="782"/>
      <c r="F6" s="783"/>
    </row>
    <row r="7" spans="1:6" ht="15.95" customHeight="1">
      <c r="B7" s="219"/>
      <c r="C7" s="685" t="s">
        <v>617</v>
      </c>
      <c r="D7" s="219"/>
      <c r="E7" s="685" t="s">
        <v>619</v>
      </c>
      <c r="F7" s="685" t="s">
        <v>620</v>
      </c>
    </row>
    <row r="8" spans="1:6" ht="15.95" customHeight="1">
      <c r="A8" s="32"/>
      <c r="B8" s="789" t="s">
        <v>616</v>
      </c>
      <c r="C8" s="789"/>
      <c r="D8" s="789" t="s">
        <v>618</v>
      </c>
      <c r="E8" s="789"/>
      <c r="F8" s="804"/>
    </row>
    <row r="9" spans="1:6" ht="15.95" customHeight="1">
      <c r="A9" s="81" t="s">
        <v>43</v>
      </c>
      <c r="B9" s="790"/>
      <c r="C9" s="790"/>
      <c r="D9" s="790"/>
      <c r="E9" s="790"/>
      <c r="F9" s="686"/>
    </row>
    <row r="10" spans="1:6" ht="5.0999999999999996" customHeight="1">
      <c r="A10" s="5"/>
      <c r="B10" s="6"/>
      <c r="C10" s="6"/>
      <c r="D10" s="6"/>
      <c r="E10" s="6"/>
      <c r="F10" s="6"/>
    </row>
    <row r="11" spans="1:6" ht="14.1" customHeight="1">
      <c r="A11" s="357" t="s">
        <v>111</v>
      </c>
      <c r="B11" s="355">
        <v>1818404</v>
      </c>
      <c r="C11" s="355">
        <v>0</v>
      </c>
      <c r="D11" s="355">
        <v>0</v>
      </c>
      <c r="E11" s="355">
        <v>112180</v>
      </c>
      <c r="F11" s="355">
        <f>SUM('- 58 -'!$G11,'- 60 -'!$F11,B11:E11)+Data!O11</f>
        <v>9046987</v>
      </c>
    </row>
    <row r="12" spans="1:6" ht="14.1" customHeight="1">
      <c r="A12" s="236" t="s">
        <v>112</v>
      </c>
      <c r="B12" s="150">
        <v>4877072</v>
      </c>
      <c r="C12" s="150">
        <v>1575</v>
      </c>
      <c r="D12" s="150">
        <v>0</v>
      </c>
      <c r="E12" s="150">
        <v>188532</v>
      </c>
      <c r="F12" s="150">
        <f>SUM('- 58 -'!$G12,'- 60 -'!$F12,B12:E12)+Data!O12</f>
        <v>15257778</v>
      </c>
    </row>
    <row r="13" spans="1:6" ht="14.1" customHeight="1">
      <c r="A13" s="357" t="s">
        <v>113</v>
      </c>
      <c r="B13" s="355">
        <v>12992745</v>
      </c>
      <c r="C13" s="355">
        <v>0</v>
      </c>
      <c r="D13" s="355">
        <v>0</v>
      </c>
      <c r="E13" s="355">
        <v>443031</v>
      </c>
      <c r="F13" s="355">
        <f>SUM('- 58 -'!$G13,'- 60 -'!$F13,B13:E13)+Data!O13</f>
        <v>43819156</v>
      </c>
    </row>
    <row r="14" spans="1:6" ht="14.1" customHeight="1">
      <c r="A14" s="236" t="s">
        <v>365</v>
      </c>
      <c r="B14" s="150">
        <v>9102764</v>
      </c>
      <c r="C14" s="150">
        <v>0</v>
      </c>
      <c r="D14" s="150">
        <v>0</v>
      </c>
      <c r="E14" s="150">
        <v>234428</v>
      </c>
      <c r="F14" s="150">
        <f>SUM('- 58 -'!$G14,'- 60 -'!$F14,B14:E14)+Data!O14</f>
        <v>33142105</v>
      </c>
    </row>
    <row r="15" spans="1:6" ht="14.1" customHeight="1">
      <c r="A15" s="357" t="s">
        <v>114</v>
      </c>
      <c r="B15" s="355">
        <v>0</v>
      </c>
      <c r="C15" s="355">
        <v>0</v>
      </c>
      <c r="D15" s="355">
        <v>1005294</v>
      </c>
      <c r="E15" s="355">
        <v>84260</v>
      </c>
      <c r="F15" s="355">
        <f>SUM('- 58 -'!$G15,'- 60 -'!$F15,B15:E15)+Data!O15</f>
        <v>8287813</v>
      </c>
    </row>
    <row r="16" spans="1:6" ht="14.1" customHeight="1">
      <c r="A16" s="236" t="s">
        <v>115</v>
      </c>
      <c r="B16" s="150">
        <v>3291562</v>
      </c>
      <c r="C16" s="150">
        <v>208582</v>
      </c>
      <c r="D16" s="150">
        <v>0</v>
      </c>
      <c r="E16" s="150">
        <v>102807</v>
      </c>
      <c r="F16" s="150">
        <f>SUM('- 58 -'!$G16,'- 60 -'!$F16,B16:E16)+Data!O16</f>
        <v>8140910</v>
      </c>
    </row>
    <row r="17" spans="1:6" ht="14.1" customHeight="1">
      <c r="A17" s="357" t="s">
        <v>116</v>
      </c>
      <c r="B17" s="355">
        <v>0</v>
      </c>
      <c r="C17" s="355">
        <v>0</v>
      </c>
      <c r="D17" s="355">
        <v>1091399</v>
      </c>
      <c r="E17" s="355">
        <v>103160</v>
      </c>
      <c r="F17" s="355">
        <f>SUM('- 58 -'!$G17,'- 60 -'!$F17,B17:E17)+Data!O17</f>
        <v>7447552</v>
      </c>
    </row>
    <row r="18" spans="1:6" ht="14.1" customHeight="1">
      <c r="A18" s="236" t="s">
        <v>117</v>
      </c>
      <c r="B18" s="150">
        <v>12498860</v>
      </c>
      <c r="C18" s="150">
        <v>4758592</v>
      </c>
      <c r="D18" s="150">
        <v>747565</v>
      </c>
      <c r="E18" s="150">
        <v>477685</v>
      </c>
      <c r="F18" s="150">
        <f>SUM('- 58 -'!$G18,'- 60 -'!$F18,B18:E18)+Data!O18</f>
        <v>36982968</v>
      </c>
    </row>
    <row r="19" spans="1:6" ht="14.1" customHeight="1">
      <c r="A19" s="357" t="s">
        <v>118</v>
      </c>
      <c r="B19" s="355">
        <v>9782690</v>
      </c>
      <c r="C19" s="355">
        <v>0</v>
      </c>
      <c r="D19" s="355">
        <v>0</v>
      </c>
      <c r="E19" s="355">
        <v>147616</v>
      </c>
      <c r="F19" s="355">
        <f>SUM('- 58 -'!$G19,'- 60 -'!$F19,B19:E19)+Data!O19</f>
        <v>27255554</v>
      </c>
    </row>
    <row r="20" spans="1:6" ht="14.1" customHeight="1">
      <c r="A20" s="236" t="s">
        <v>119</v>
      </c>
      <c r="B20" s="150">
        <v>15113580</v>
      </c>
      <c r="C20" s="150">
        <v>0</v>
      </c>
      <c r="D20" s="150">
        <v>0</v>
      </c>
      <c r="E20" s="150">
        <v>313636</v>
      </c>
      <c r="F20" s="150">
        <f>SUM('- 58 -'!$G20,'- 60 -'!$F20,B20:E20)+Data!O20</f>
        <v>45389050</v>
      </c>
    </row>
    <row r="21" spans="1:6" ht="14.1" customHeight="1">
      <c r="A21" s="357" t="s">
        <v>120</v>
      </c>
      <c r="B21" s="355">
        <v>3996369</v>
      </c>
      <c r="C21" s="355">
        <v>0</v>
      </c>
      <c r="D21" s="355">
        <v>586156</v>
      </c>
      <c r="E21" s="355">
        <v>159060</v>
      </c>
      <c r="F21" s="355">
        <f>SUM('- 58 -'!$G21,'- 60 -'!$F21,B21:E21)+Data!O21</f>
        <v>17218106</v>
      </c>
    </row>
    <row r="22" spans="1:6" ht="14.1" customHeight="1">
      <c r="A22" s="236" t="s">
        <v>121</v>
      </c>
      <c r="B22" s="150">
        <v>4547164</v>
      </c>
      <c r="C22" s="150">
        <v>970692</v>
      </c>
      <c r="D22" s="150">
        <v>0</v>
      </c>
      <c r="E22" s="150">
        <v>81835</v>
      </c>
      <c r="F22" s="150">
        <f>SUM('- 58 -'!$G22,'- 60 -'!$F22,B22:E22)+Data!O22</f>
        <v>13478769</v>
      </c>
    </row>
    <row r="23" spans="1:6" ht="14.1" customHeight="1">
      <c r="A23" s="357" t="s">
        <v>122</v>
      </c>
      <c r="B23" s="355">
        <v>3066773</v>
      </c>
      <c r="C23" s="355">
        <v>419953</v>
      </c>
      <c r="D23" s="355">
        <v>0</v>
      </c>
      <c r="E23" s="355">
        <v>90602</v>
      </c>
      <c r="F23" s="355">
        <f>SUM('- 58 -'!$G23,'- 60 -'!$F23,B23:E23)+Data!O23</f>
        <v>9727790</v>
      </c>
    </row>
    <row r="24" spans="1:6" ht="14.1" customHeight="1">
      <c r="A24" s="236" t="s">
        <v>123</v>
      </c>
      <c r="B24" s="150">
        <v>4579078</v>
      </c>
      <c r="C24" s="150">
        <v>0</v>
      </c>
      <c r="D24" s="150">
        <v>687426</v>
      </c>
      <c r="E24" s="150">
        <v>254710</v>
      </c>
      <c r="F24" s="150">
        <f>SUM('- 58 -'!$G24,'- 60 -'!$F24,B24:E24)+Data!O24</f>
        <v>24067495</v>
      </c>
    </row>
    <row r="25" spans="1:6" ht="14.1" customHeight="1">
      <c r="A25" s="357" t="s">
        <v>124</v>
      </c>
      <c r="B25" s="355">
        <v>11596843</v>
      </c>
      <c r="C25" s="355">
        <v>0</v>
      </c>
      <c r="D25" s="355">
        <v>3453912</v>
      </c>
      <c r="E25" s="355">
        <v>690163</v>
      </c>
      <c r="F25" s="355">
        <f>SUM('- 58 -'!$G25,'- 60 -'!$F25,B25:E25)+Data!O25</f>
        <v>71713931</v>
      </c>
    </row>
    <row r="26" spans="1:6" ht="14.1" customHeight="1">
      <c r="A26" s="236" t="s">
        <v>125</v>
      </c>
      <c r="B26" s="150">
        <v>6264599</v>
      </c>
      <c r="C26" s="150">
        <v>719357</v>
      </c>
      <c r="D26" s="150">
        <v>0</v>
      </c>
      <c r="E26" s="150">
        <v>343312</v>
      </c>
      <c r="F26" s="150">
        <f>SUM('- 58 -'!$G26,'- 60 -'!$F26,B26:E26)+Data!O26</f>
        <v>21971893</v>
      </c>
    </row>
    <row r="27" spans="1:6" ht="14.1" customHeight="1">
      <c r="A27" s="357" t="s">
        <v>126</v>
      </c>
      <c r="B27" s="355">
        <v>8535267</v>
      </c>
      <c r="C27" s="355">
        <v>3841201</v>
      </c>
      <c r="D27" s="355">
        <v>885787</v>
      </c>
      <c r="E27" s="355">
        <v>130520</v>
      </c>
      <c r="F27" s="355">
        <f>SUM('- 58 -'!$G27,'- 60 -'!$F27,B27:E27)+Data!O27</f>
        <v>26727425</v>
      </c>
    </row>
    <row r="28" spans="1:6" ht="14.1" customHeight="1">
      <c r="A28" s="236" t="s">
        <v>127</v>
      </c>
      <c r="B28" s="150">
        <v>1838149</v>
      </c>
      <c r="C28" s="150">
        <v>0</v>
      </c>
      <c r="D28" s="150">
        <v>628299</v>
      </c>
      <c r="E28" s="150">
        <v>159537</v>
      </c>
      <c r="F28" s="150">
        <f>SUM('- 58 -'!$G28,'- 60 -'!$F28,B28:E28)+Data!O28</f>
        <v>10771100</v>
      </c>
    </row>
    <row r="29" spans="1:6" ht="14.1" customHeight="1">
      <c r="A29" s="357" t="s">
        <v>128</v>
      </c>
      <c r="B29" s="355">
        <v>104606</v>
      </c>
      <c r="C29" s="355">
        <v>0</v>
      </c>
      <c r="D29" s="355">
        <v>5820560</v>
      </c>
      <c r="E29" s="355">
        <v>422480</v>
      </c>
      <c r="F29" s="355">
        <f>SUM('- 58 -'!$G29,'- 60 -'!$F29,B29:E29)+Data!O29</f>
        <v>54091300</v>
      </c>
    </row>
    <row r="30" spans="1:6" ht="14.1" customHeight="1">
      <c r="A30" s="236" t="s">
        <v>129</v>
      </c>
      <c r="B30" s="150">
        <v>1829059</v>
      </c>
      <c r="C30" s="150">
        <v>0</v>
      </c>
      <c r="D30" s="150">
        <v>116948</v>
      </c>
      <c r="E30" s="150">
        <v>92740</v>
      </c>
      <c r="F30" s="150">
        <f>SUM('- 58 -'!$G30,'- 60 -'!$F30,B30:E30)+Data!O30</f>
        <v>7554228</v>
      </c>
    </row>
    <row r="31" spans="1:6" ht="14.1" customHeight="1">
      <c r="A31" s="357" t="s">
        <v>130</v>
      </c>
      <c r="B31" s="355">
        <v>4630182</v>
      </c>
      <c r="C31" s="355">
        <v>0</v>
      </c>
      <c r="D31" s="355">
        <v>0</v>
      </c>
      <c r="E31" s="355">
        <v>216698</v>
      </c>
      <c r="F31" s="355">
        <f>SUM('- 58 -'!$G31,'- 60 -'!$F31,B31:E31)+Data!O31</f>
        <v>18469073</v>
      </c>
    </row>
    <row r="32" spans="1:6" ht="14.1" customHeight="1">
      <c r="A32" s="236" t="s">
        <v>131</v>
      </c>
      <c r="B32" s="150">
        <v>2150423</v>
      </c>
      <c r="C32" s="150">
        <v>0</v>
      </c>
      <c r="D32" s="150">
        <v>0</v>
      </c>
      <c r="E32" s="150">
        <v>156220</v>
      </c>
      <c r="F32" s="150">
        <f>SUM('- 58 -'!$G32,'- 60 -'!$F32,B32:E32)+Data!O32</f>
        <v>12580583</v>
      </c>
    </row>
    <row r="33" spans="1:6" ht="14.1" customHeight="1">
      <c r="A33" s="357" t="s">
        <v>132</v>
      </c>
      <c r="B33" s="355">
        <v>2464572</v>
      </c>
      <c r="C33" s="355">
        <v>0</v>
      </c>
      <c r="D33" s="355">
        <v>751849</v>
      </c>
      <c r="E33" s="355">
        <v>189057</v>
      </c>
      <c r="F33" s="355">
        <f>SUM('- 58 -'!$G33,'- 60 -'!$F33,B33:E33)+Data!O33</f>
        <v>14144887</v>
      </c>
    </row>
    <row r="34" spans="1:6" ht="14.1" customHeight="1">
      <c r="A34" s="236" t="s">
        <v>133</v>
      </c>
      <c r="B34" s="150">
        <v>2056644</v>
      </c>
      <c r="C34" s="150">
        <v>0</v>
      </c>
      <c r="D34" s="150">
        <v>0</v>
      </c>
      <c r="E34" s="150">
        <v>126920</v>
      </c>
      <c r="F34" s="150">
        <f>SUM('- 58 -'!$G34,'- 60 -'!$F34,B34:E34)+Data!O34</f>
        <v>12572847</v>
      </c>
    </row>
    <row r="35" spans="1:6" ht="14.1" customHeight="1">
      <c r="A35" s="357" t="s">
        <v>134</v>
      </c>
      <c r="B35" s="355">
        <v>20602847</v>
      </c>
      <c r="C35" s="355">
        <v>3036165</v>
      </c>
      <c r="D35" s="355">
        <v>2793241</v>
      </c>
      <c r="E35" s="355">
        <v>759971</v>
      </c>
      <c r="F35" s="355">
        <f>SUM('- 58 -'!$G35,'- 60 -'!$F35,B35:E35)+Data!O35</f>
        <v>89661943</v>
      </c>
    </row>
    <row r="36" spans="1:6" ht="14.1" customHeight="1">
      <c r="A36" s="236" t="s">
        <v>135</v>
      </c>
      <c r="B36" s="150">
        <v>1102322</v>
      </c>
      <c r="C36" s="150">
        <v>0</v>
      </c>
      <c r="D36" s="150">
        <v>1344247</v>
      </c>
      <c r="E36" s="150">
        <v>191231</v>
      </c>
      <c r="F36" s="150">
        <f>SUM('- 58 -'!$G36,'- 60 -'!$F36,B36:E36)+Data!O36</f>
        <v>10258691</v>
      </c>
    </row>
    <row r="37" spans="1:6" ht="14.1" customHeight="1">
      <c r="A37" s="357" t="s">
        <v>136</v>
      </c>
      <c r="B37" s="355">
        <v>7768693</v>
      </c>
      <c r="C37" s="355">
        <v>0</v>
      </c>
      <c r="D37" s="355">
        <v>0</v>
      </c>
      <c r="E37" s="355">
        <v>148400</v>
      </c>
      <c r="F37" s="355">
        <f>SUM('- 58 -'!$G37,'- 60 -'!$F37,B37:E37)+Data!O37</f>
        <v>25668249</v>
      </c>
    </row>
    <row r="38" spans="1:6" ht="14.1" customHeight="1">
      <c r="A38" s="236" t="s">
        <v>137</v>
      </c>
      <c r="B38" s="150">
        <v>20614495</v>
      </c>
      <c r="C38" s="150">
        <v>4111702</v>
      </c>
      <c r="D38" s="150">
        <v>0</v>
      </c>
      <c r="E38" s="150">
        <v>313480</v>
      </c>
      <c r="F38" s="150">
        <f>SUM('- 58 -'!$G38,'- 60 -'!$F38,B38:E38)+Data!O38</f>
        <v>65862411</v>
      </c>
    </row>
    <row r="39" spans="1:6" ht="14.1" customHeight="1">
      <c r="A39" s="357" t="s">
        <v>138</v>
      </c>
      <c r="B39" s="355">
        <v>0</v>
      </c>
      <c r="C39" s="355">
        <v>0</v>
      </c>
      <c r="D39" s="355">
        <v>1337476</v>
      </c>
      <c r="E39" s="355">
        <v>119760</v>
      </c>
      <c r="F39" s="355">
        <f>SUM('- 58 -'!$G39,'- 60 -'!$F39,B39:E39)+Data!O39</f>
        <v>9170415</v>
      </c>
    </row>
    <row r="40" spans="1:6" ht="14.1" customHeight="1">
      <c r="A40" s="236" t="s">
        <v>139</v>
      </c>
      <c r="B40" s="150">
        <v>1012798</v>
      </c>
      <c r="C40" s="150">
        <v>0</v>
      </c>
      <c r="D40" s="150">
        <v>4982095</v>
      </c>
      <c r="E40" s="150">
        <v>496070</v>
      </c>
      <c r="F40" s="150">
        <f>SUM('- 58 -'!$G40,'- 60 -'!$F40,B40:E40)+Data!O40</f>
        <v>38986617</v>
      </c>
    </row>
    <row r="41" spans="1:6" ht="14.1" customHeight="1">
      <c r="A41" s="357" t="s">
        <v>140</v>
      </c>
      <c r="B41" s="355">
        <v>4011594</v>
      </c>
      <c r="C41" s="355">
        <v>0</v>
      </c>
      <c r="D41" s="355">
        <v>918805</v>
      </c>
      <c r="E41" s="355">
        <v>227104</v>
      </c>
      <c r="F41" s="355">
        <f>SUM('- 58 -'!$G41,'- 60 -'!$F41,B41:E41)+Data!O41</f>
        <v>25695263</v>
      </c>
    </row>
    <row r="42" spans="1:6" ht="14.1" customHeight="1">
      <c r="A42" s="236" t="s">
        <v>141</v>
      </c>
      <c r="B42" s="150">
        <v>3379429</v>
      </c>
      <c r="C42" s="150">
        <v>557431</v>
      </c>
      <c r="D42" s="150">
        <v>216593</v>
      </c>
      <c r="E42" s="150">
        <v>283332</v>
      </c>
      <c r="F42" s="150">
        <f>SUM('- 58 -'!$G42,'- 60 -'!$F42,B42:E42)+Data!O42</f>
        <v>11905863</v>
      </c>
    </row>
    <row r="43" spans="1:6" ht="14.1" customHeight="1">
      <c r="A43" s="357" t="s">
        <v>142</v>
      </c>
      <c r="B43" s="355">
        <v>1036645</v>
      </c>
      <c r="C43" s="355">
        <v>0</v>
      </c>
      <c r="D43" s="355">
        <v>658805</v>
      </c>
      <c r="E43" s="355">
        <v>62242</v>
      </c>
      <c r="F43" s="355">
        <f>SUM('- 58 -'!$G43,'- 60 -'!$F43,B43:E43)+Data!O43</f>
        <v>6039751</v>
      </c>
    </row>
    <row r="44" spans="1:6" ht="14.1" customHeight="1">
      <c r="A44" s="236" t="s">
        <v>143</v>
      </c>
      <c r="B44" s="150">
        <v>2172559</v>
      </c>
      <c r="C44" s="150">
        <v>434059</v>
      </c>
      <c r="D44" s="150">
        <v>0</v>
      </c>
      <c r="E44" s="150">
        <v>70960</v>
      </c>
      <c r="F44" s="150">
        <f>SUM('- 58 -'!$G44,'- 60 -'!$F44,B44:E44)+Data!O44</f>
        <v>7172573</v>
      </c>
    </row>
    <row r="45" spans="1:6" ht="14.1" customHeight="1">
      <c r="A45" s="357" t="s">
        <v>144</v>
      </c>
      <c r="B45" s="355">
        <v>3051689</v>
      </c>
      <c r="C45" s="355">
        <v>0</v>
      </c>
      <c r="D45" s="355">
        <v>0</v>
      </c>
      <c r="E45" s="355">
        <v>105685</v>
      </c>
      <c r="F45" s="355">
        <f>SUM('- 58 -'!$G45,'- 60 -'!$F45,B45:E45)+Data!O45</f>
        <v>9537400</v>
      </c>
    </row>
    <row r="46" spans="1:6" ht="14.1" customHeight="1">
      <c r="A46" s="236" t="s">
        <v>145</v>
      </c>
      <c r="B46" s="150">
        <v>44496275</v>
      </c>
      <c r="C46" s="150">
        <v>4863665</v>
      </c>
      <c r="D46" s="150">
        <v>0</v>
      </c>
      <c r="E46" s="150">
        <v>1454153</v>
      </c>
      <c r="F46" s="150">
        <f>SUM('- 58 -'!$G46,'- 60 -'!$F46,B46:E46)+Data!O46</f>
        <v>178243273</v>
      </c>
    </row>
    <row r="47" spans="1:6" ht="5.0999999999999996" customHeight="1">
      <c r="A47" s="129"/>
      <c r="B47" s="151"/>
      <c r="C47" s="151"/>
      <c r="D47" s="151"/>
      <c r="E47" s="151"/>
      <c r="F47" s="151"/>
    </row>
    <row r="48" spans="1:6" ht="14.1" customHeight="1">
      <c r="A48" s="358" t="s">
        <v>146</v>
      </c>
      <c r="B48" s="359">
        <f t="shared" ref="B48:C48" si="0">SUM(B11:B46)</f>
        <v>236386751</v>
      </c>
      <c r="C48" s="359">
        <f t="shared" si="0"/>
        <v>23922974</v>
      </c>
      <c r="D48" s="359">
        <f t="shared" ref="D48:E48" si="1">SUM(D11:D46)</f>
        <v>28026457</v>
      </c>
      <c r="E48" s="359">
        <f t="shared" si="1"/>
        <v>9553577</v>
      </c>
      <c r="F48" s="359">
        <f>SUM(F11:F46)</f>
        <v>1028061749</v>
      </c>
    </row>
    <row r="49" spans="1:6" ht="5.0999999999999996" customHeight="1">
      <c r="A49" s="129" t="s">
        <v>8</v>
      </c>
      <c r="B49" s="151"/>
      <c r="C49" s="151"/>
      <c r="D49" s="151"/>
      <c r="E49" s="151"/>
      <c r="F49" s="151"/>
    </row>
    <row r="50" spans="1:6" ht="14.1" customHeight="1">
      <c r="A50" s="236" t="s">
        <v>147</v>
      </c>
      <c r="B50" s="150">
        <v>0</v>
      </c>
      <c r="C50" s="150">
        <v>0</v>
      </c>
      <c r="D50" s="150">
        <v>183887</v>
      </c>
      <c r="E50" s="150">
        <v>0</v>
      </c>
      <c r="F50" s="150">
        <f>SUM('- 58 -'!$G50,'- 60 -'!$F50,B50:E50)+Data!O50</f>
        <v>945502</v>
      </c>
    </row>
    <row r="51" spans="1:6" ht="14.1" customHeight="1">
      <c r="A51" s="357" t="s">
        <v>643</v>
      </c>
      <c r="B51" s="355">
        <v>0</v>
      </c>
      <c r="C51" s="355">
        <v>0</v>
      </c>
      <c r="D51" s="355">
        <v>0</v>
      </c>
      <c r="E51" s="355">
        <v>0</v>
      </c>
      <c r="F51" s="355">
        <f>SUM('- 58 -'!$G51,'- 60 -'!$F51,B51:E51)+Data!O51</f>
        <v>0</v>
      </c>
    </row>
    <row r="52" spans="1:6" ht="50.1" customHeight="1">
      <c r="A52" s="22"/>
      <c r="B52" s="22"/>
      <c r="C52" s="22"/>
      <c r="D52" s="22"/>
      <c r="E52" s="22"/>
      <c r="F52" s="22"/>
    </row>
    <row r="53" spans="1:6" ht="15" customHeight="1">
      <c r="A53" s="803" t="s">
        <v>622</v>
      </c>
      <c r="B53" s="803"/>
      <c r="C53" s="803"/>
      <c r="D53" s="803"/>
      <c r="E53" s="803"/>
      <c r="F53" s="803"/>
    </row>
    <row r="54" spans="1:6" ht="12" customHeight="1">
      <c r="A54" s="802"/>
      <c r="B54" s="802"/>
      <c r="C54" s="802"/>
      <c r="D54" s="802"/>
      <c r="E54" s="802"/>
      <c r="F54" s="802"/>
    </row>
    <row r="55" spans="1:6">
      <c r="A55" s="802" t="s">
        <v>621</v>
      </c>
      <c r="B55" s="802"/>
      <c r="C55" s="802"/>
      <c r="D55" s="802"/>
      <c r="E55" s="802"/>
      <c r="F55" s="802"/>
    </row>
    <row r="56" spans="1:6">
      <c r="A56" s="802"/>
      <c r="B56" s="802"/>
      <c r="C56" s="802"/>
      <c r="D56" s="802"/>
      <c r="E56" s="802"/>
      <c r="F56" s="802"/>
    </row>
    <row r="57" spans="1:6">
      <c r="A57" s="532" t="str">
        <f>"(3)  Formula Guarantee is provided to ensure that every school division receives at least the same level of funding as provided in "&amp;PrevY&amp;"."</f>
        <v>(3)  Formula Guarantee is provided to ensure that every school division receives at least the same level of funding as provided in 2013/14.</v>
      </c>
    </row>
    <row r="58" spans="1:6">
      <c r="A58" s="23" t="s">
        <v>391</v>
      </c>
    </row>
    <row r="59" spans="1:6">
      <c r="A59" s="1" t="s">
        <v>392</v>
      </c>
    </row>
  </sheetData>
  <mergeCells count="8">
    <mergeCell ref="A55:F56"/>
    <mergeCell ref="A53:F54"/>
    <mergeCell ref="B5:F6"/>
    <mergeCell ref="B8:B9"/>
    <mergeCell ref="C7:C9"/>
    <mergeCell ref="D8:D9"/>
    <mergeCell ref="E7:E9"/>
    <mergeCell ref="F7:F9"/>
  </mergeCells>
  <phoneticPr fontId="6" type="noConversion"/>
  <pageMargins left="0.5" right="0.5" top="0.6" bottom="0.2" header="0.3" footer="0.5"/>
  <pageSetup scale="91" orientation="portrait" r:id="rId1"/>
  <headerFooter alignWithMargins="0">
    <oddHeader>&amp;C&amp;"Arial,Regular"&amp;11&amp;A</oddHeader>
  </headerFooter>
</worksheet>
</file>

<file path=xl/worksheets/sheet55.xml><?xml version="1.0" encoding="utf-8"?>
<worksheet xmlns="http://schemas.openxmlformats.org/spreadsheetml/2006/main" xmlns:r="http://schemas.openxmlformats.org/officeDocument/2006/relationships">
  <sheetPr codeName="Sheet611">
    <pageSetUpPr fitToPage="1"/>
  </sheetPr>
  <dimension ref="A1:K64"/>
  <sheetViews>
    <sheetView showGridLines="0" showZeros="0" workbookViewId="0"/>
  </sheetViews>
  <sheetFormatPr defaultColWidth="14.83203125" defaultRowHeight="12"/>
  <cols>
    <col min="1" max="1" width="27.83203125" style="1" customWidth="1"/>
    <col min="2" max="2" width="17.6640625" style="1" customWidth="1"/>
    <col min="3" max="3" width="19" style="1" customWidth="1"/>
    <col min="4" max="4" width="20.33203125" style="1" customWidth="1"/>
    <col min="5" max="5" width="17.83203125" style="1" customWidth="1"/>
    <col min="6" max="6" width="18.5" style="1" customWidth="1"/>
    <col min="7" max="7" width="17.6640625" style="1" customWidth="1"/>
    <col min="8" max="8" width="14.83203125" style="1" hidden="1" customWidth="1"/>
    <col min="9" max="16384" width="14.83203125" style="1"/>
  </cols>
  <sheetData>
    <row r="1" spans="1:9" ht="6.95" customHeight="1">
      <c r="A1" s="6"/>
      <c r="B1" s="7"/>
      <c r="C1" s="7"/>
      <c r="D1" s="7"/>
    </row>
    <row r="2" spans="1:9" ht="18" customHeight="1">
      <c r="A2" s="250"/>
      <c r="B2" s="806" t="s">
        <v>283</v>
      </c>
      <c r="C2" s="806"/>
      <c r="D2" s="806"/>
      <c r="E2" s="485" t="str">
        <f>Data!B5&amp; " ACTUAL"</f>
        <v>2014/15 ACTUAL</v>
      </c>
      <c r="F2" s="485"/>
      <c r="G2" s="389" t="s">
        <v>12</v>
      </c>
    </row>
    <row r="3" spans="1:9" ht="3.95" customHeight="1">
      <c r="A3" s="541"/>
      <c r="B3" s="252"/>
      <c r="C3" s="252"/>
      <c r="D3" s="252"/>
      <c r="E3" s="252"/>
      <c r="F3" s="252"/>
      <c r="G3" s="257"/>
    </row>
    <row r="4" spans="1:9" ht="14.1" customHeight="1">
      <c r="A4" s="258"/>
      <c r="B4" s="807" t="s">
        <v>253</v>
      </c>
      <c r="C4" s="808"/>
      <c r="D4" s="808"/>
      <c r="E4" s="808"/>
      <c r="F4" s="808"/>
      <c r="G4" s="809"/>
    </row>
    <row r="5" spans="1:9" ht="12.95" customHeight="1">
      <c r="A5" s="259"/>
      <c r="B5" s="256"/>
      <c r="C5" s="256"/>
      <c r="D5" s="256"/>
      <c r="E5" s="256"/>
      <c r="F5" s="714" t="s">
        <v>627</v>
      </c>
      <c r="G5" s="256"/>
    </row>
    <row r="6" spans="1:9" ht="12.95" customHeight="1">
      <c r="A6" s="254"/>
      <c r="B6" s="256"/>
      <c r="C6" s="256"/>
      <c r="D6" s="256"/>
      <c r="E6" s="256"/>
      <c r="F6" s="796"/>
      <c r="G6" s="256"/>
    </row>
    <row r="7" spans="1:9" ht="12.95" customHeight="1">
      <c r="A7" s="254"/>
      <c r="B7" s="256"/>
      <c r="C7" s="796" t="s">
        <v>624</v>
      </c>
      <c r="D7" s="256"/>
      <c r="E7" s="256"/>
      <c r="F7" s="796"/>
      <c r="G7" s="256"/>
    </row>
    <row r="8" spans="1:9" ht="12.95" customHeight="1">
      <c r="A8" s="254"/>
      <c r="B8" s="256"/>
      <c r="C8" s="796"/>
      <c r="D8" s="256"/>
      <c r="E8" s="796" t="s">
        <v>626</v>
      </c>
      <c r="F8" s="796"/>
      <c r="G8" s="256"/>
    </row>
    <row r="9" spans="1:9" ht="12.95" customHeight="1">
      <c r="A9" s="254"/>
      <c r="B9" s="796" t="s">
        <v>623</v>
      </c>
      <c r="C9" s="796"/>
      <c r="D9" s="796" t="s">
        <v>625</v>
      </c>
      <c r="E9" s="796"/>
      <c r="F9" s="796"/>
      <c r="G9" s="796" t="s">
        <v>628</v>
      </c>
    </row>
    <row r="10" spans="1:9" ht="12.95" customHeight="1">
      <c r="A10" s="15"/>
      <c r="B10" s="796"/>
      <c r="C10" s="796"/>
      <c r="D10" s="796"/>
      <c r="E10" s="796"/>
      <c r="F10" s="796"/>
      <c r="G10" s="796"/>
    </row>
    <row r="11" spans="1:9" ht="12.95" customHeight="1">
      <c r="A11" s="16" t="s">
        <v>43</v>
      </c>
      <c r="B11" s="271" t="s">
        <v>225</v>
      </c>
      <c r="C11" s="271" t="s">
        <v>235</v>
      </c>
      <c r="D11" s="271" t="s">
        <v>236</v>
      </c>
      <c r="E11" s="271" t="s">
        <v>4</v>
      </c>
      <c r="F11" s="797"/>
      <c r="G11" s="797"/>
    </row>
    <row r="12" spans="1:9" ht="5.0999999999999996" customHeight="1">
      <c r="A12" s="17"/>
      <c r="C12" s="249"/>
      <c r="D12" s="206"/>
      <c r="E12" s="6"/>
    </row>
    <row r="13" spans="1:9" ht="13.5" customHeight="1">
      <c r="A13" s="357" t="s">
        <v>111</v>
      </c>
      <c r="B13" s="355">
        <v>642821</v>
      </c>
      <c r="C13" s="355">
        <v>0</v>
      </c>
      <c r="D13" s="355">
        <v>66097</v>
      </c>
      <c r="E13" s="355">
        <f>'- 31 -'!B11</f>
        <v>51988</v>
      </c>
      <c r="F13" s="355">
        <f>-Data!L11-Data!M11</f>
        <v>-15140</v>
      </c>
      <c r="G13" s="355">
        <f>SUM(B13:F13)</f>
        <v>745766</v>
      </c>
      <c r="H13" s="355">
        <v>745766</v>
      </c>
      <c r="I13" s="1">
        <f t="shared" ref="I13:I48" si="0">G13-H13</f>
        <v>0</v>
      </c>
    </row>
    <row r="14" spans="1:9" ht="13.5" customHeight="1">
      <c r="A14" s="236" t="s">
        <v>112</v>
      </c>
      <c r="B14" s="150">
        <v>1111167</v>
      </c>
      <c r="C14" s="150">
        <v>0</v>
      </c>
      <c r="D14" s="150">
        <v>103971</v>
      </c>
      <c r="E14" s="150">
        <f>'- 31 -'!B12</f>
        <v>75605</v>
      </c>
      <c r="F14" s="150">
        <f>-Data!L12-Data!M12</f>
        <v>-30583</v>
      </c>
      <c r="G14" s="150">
        <f>SUM(B14:F14)</f>
        <v>1260160</v>
      </c>
      <c r="H14" s="150">
        <v>1260160</v>
      </c>
      <c r="I14" s="1">
        <f t="shared" si="0"/>
        <v>0</v>
      </c>
    </row>
    <row r="15" spans="1:9" ht="13.5" customHeight="1">
      <c r="A15" s="357" t="s">
        <v>113</v>
      </c>
      <c r="B15" s="355">
        <v>2619630</v>
      </c>
      <c r="C15" s="355">
        <v>0</v>
      </c>
      <c r="D15" s="355">
        <v>194183</v>
      </c>
      <c r="E15" s="355">
        <f>'- 31 -'!B13</f>
        <v>255794</v>
      </c>
      <c r="F15" s="355">
        <f>-Data!L13-Data!M13</f>
        <v>-39751</v>
      </c>
      <c r="G15" s="355">
        <f>SUM(B15:F15)</f>
        <v>3029856</v>
      </c>
      <c r="H15" s="355">
        <v>3029856</v>
      </c>
      <c r="I15" s="1">
        <f t="shared" si="0"/>
        <v>0</v>
      </c>
    </row>
    <row r="16" spans="1:9" ht="13.5" customHeight="1">
      <c r="A16" s="236" t="s">
        <v>365</v>
      </c>
      <c r="B16" s="150"/>
      <c r="C16" s="150"/>
      <c r="D16" s="150"/>
      <c r="E16" s="150"/>
      <c r="F16" s="150"/>
      <c r="G16" s="150"/>
      <c r="H16" s="150"/>
      <c r="I16" s="1">
        <f t="shared" si="0"/>
        <v>0</v>
      </c>
    </row>
    <row r="17" spans="1:9" ht="13.5" customHeight="1">
      <c r="A17" s="357" t="s">
        <v>114</v>
      </c>
      <c r="B17" s="355">
        <v>917653</v>
      </c>
      <c r="C17" s="355">
        <v>0</v>
      </c>
      <c r="D17" s="355">
        <v>88045</v>
      </c>
      <c r="E17" s="355">
        <f>'- 31 -'!B15</f>
        <v>92453</v>
      </c>
      <c r="F17" s="355">
        <f>-Data!L15-Data!M15</f>
        <v>-21956</v>
      </c>
      <c r="G17" s="355">
        <f>SUM(B17:F17)</f>
        <v>1076195</v>
      </c>
      <c r="H17" s="355">
        <v>1076195</v>
      </c>
      <c r="I17" s="1">
        <f t="shared" si="0"/>
        <v>0</v>
      </c>
    </row>
    <row r="18" spans="1:9" ht="13.5" customHeight="1">
      <c r="A18" s="236" t="s">
        <v>115</v>
      </c>
      <c r="B18" s="150">
        <v>670780</v>
      </c>
      <c r="C18" s="150">
        <v>0</v>
      </c>
      <c r="D18" s="150">
        <v>0</v>
      </c>
      <c r="E18" s="150">
        <f>'- 31 -'!B16</f>
        <v>72720</v>
      </c>
      <c r="F18" s="150">
        <f>-Data!L16-Data!M16</f>
        <v>-19354</v>
      </c>
      <c r="G18" s="150">
        <f>SUM(B18:F18)</f>
        <v>724146</v>
      </c>
      <c r="H18" s="150">
        <v>724146</v>
      </c>
      <c r="I18" s="1">
        <f t="shared" si="0"/>
        <v>0</v>
      </c>
    </row>
    <row r="19" spans="1:9" ht="13.5" customHeight="1">
      <c r="A19" s="357" t="s">
        <v>116</v>
      </c>
      <c r="B19" s="355">
        <v>731109</v>
      </c>
      <c r="C19" s="355">
        <v>0</v>
      </c>
      <c r="D19" s="355">
        <v>52347</v>
      </c>
      <c r="E19" s="355">
        <f>'- 31 -'!B17</f>
        <v>71209</v>
      </c>
      <c r="F19" s="355">
        <f>-Data!L17-Data!M17</f>
        <v>-24139</v>
      </c>
      <c r="G19" s="355">
        <f>SUM(B19:F19)</f>
        <v>830526</v>
      </c>
      <c r="H19" s="355">
        <v>830526</v>
      </c>
      <c r="I19" s="1">
        <f t="shared" si="0"/>
        <v>0</v>
      </c>
    </row>
    <row r="20" spans="1:9" ht="13.5" customHeight="1">
      <c r="A20" s="236" t="s">
        <v>117</v>
      </c>
      <c r="B20" s="150"/>
      <c r="C20" s="150"/>
      <c r="D20" s="150"/>
      <c r="E20" s="150"/>
      <c r="F20" s="150"/>
      <c r="G20" s="150"/>
      <c r="H20" s="150"/>
      <c r="I20" s="1">
        <f t="shared" si="0"/>
        <v>0</v>
      </c>
    </row>
    <row r="21" spans="1:9" ht="13.5" customHeight="1">
      <c r="A21" s="357" t="s">
        <v>118</v>
      </c>
      <c r="B21" s="355">
        <v>1399937</v>
      </c>
      <c r="C21" s="355">
        <v>0</v>
      </c>
      <c r="D21" s="355">
        <v>147818</v>
      </c>
      <c r="E21" s="355">
        <f>'- 31 -'!B19</f>
        <v>177764</v>
      </c>
      <c r="F21" s="355">
        <f>-Data!L19-Data!M19</f>
        <v>-32673</v>
      </c>
      <c r="G21" s="355">
        <f t="shared" ref="G21:G48" si="1">SUM(B21:F21)</f>
        <v>1692846</v>
      </c>
      <c r="H21" s="355">
        <v>1692846</v>
      </c>
      <c r="I21" s="1">
        <f t="shared" si="0"/>
        <v>0</v>
      </c>
    </row>
    <row r="22" spans="1:9" ht="13.5" customHeight="1">
      <c r="A22" s="236" t="s">
        <v>119</v>
      </c>
      <c r="B22" s="150">
        <v>2140097</v>
      </c>
      <c r="C22" s="150">
        <v>4473</v>
      </c>
      <c r="D22" s="150">
        <v>202730</v>
      </c>
      <c r="E22" s="150">
        <f>'- 31 -'!B20</f>
        <v>279320</v>
      </c>
      <c r="F22" s="150">
        <f>-Data!L20-Data!M20</f>
        <v>-60676</v>
      </c>
      <c r="G22" s="150">
        <f t="shared" si="1"/>
        <v>2565944</v>
      </c>
      <c r="H22" s="150">
        <v>2565944</v>
      </c>
      <c r="I22" s="1">
        <f t="shared" si="0"/>
        <v>0</v>
      </c>
    </row>
    <row r="23" spans="1:9" ht="13.5" customHeight="1">
      <c r="A23" s="357" t="s">
        <v>120</v>
      </c>
      <c r="B23" s="355">
        <v>1368491</v>
      </c>
      <c r="C23" s="355">
        <v>0</v>
      </c>
      <c r="D23" s="355">
        <v>147854</v>
      </c>
      <c r="E23" s="355">
        <f>'- 31 -'!B21</f>
        <v>114595</v>
      </c>
      <c r="F23" s="355">
        <f>-Data!L21-Data!M21</f>
        <v>-34223</v>
      </c>
      <c r="G23" s="355">
        <f t="shared" si="1"/>
        <v>1596717</v>
      </c>
      <c r="H23" s="355">
        <v>1596717</v>
      </c>
      <c r="I23" s="1">
        <f t="shared" si="0"/>
        <v>0</v>
      </c>
    </row>
    <row r="24" spans="1:9" ht="13.5" customHeight="1">
      <c r="A24" s="236" t="s">
        <v>121</v>
      </c>
      <c r="B24" s="150">
        <v>790204</v>
      </c>
      <c r="C24" s="150">
        <v>20721</v>
      </c>
      <c r="D24" s="150">
        <v>98363</v>
      </c>
      <c r="E24" s="150">
        <f>'- 31 -'!B22</f>
        <v>85059</v>
      </c>
      <c r="F24" s="150">
        <f>-Data!L22-Data!M22</f>
        <v>-25778</v>
      </c>
      <c r="G24" s="150">
        <f t="shared" si="1"/>
        <v>968569</v>
      </c>
      <c r="H24" s="150">
        <v>968569</v>
      </c>
      <c r="I24" s="1">
        <f t="shared" si="0"/>
        <v>0</v>
      </c>
    </row>
    <row r="25" spans="1:9" ht="13.5" customHeight="1">
      <c r="A25" s="357" t="s">
        <v>122</v>
      </c>
      <c r="B25" s="355">
        <v>670708</v>
      </c>
      <c r="C25" s="355">
        <v>0</v>
      </c>
      <c r="D25" s="355">
        <v>93680</v>
      </c>
      <c r="E25" s="355">
        <f>'- 31 -'!B23</f>
        <v>89013</v>
      </c>
      <c r="F25" s="355">
        <f>-Data!L23-Data!M23</f>
        <v>-23297</v>
      </c>
      <c r="G25" s="355">
        <f t="shared" si="1"/>
        <v>830104</v>
      </c>
      <c r="H25" s="355">
        <v>830104</v>
      </c>
      <c r="I25" s="1">
        <f t="shared" si="0"/>
        <v>0</v>
      </c>
    </row>
    <row r="26" spans="1:9" ht="13.5" customHeight="1">
      <c r="A26" s="236" t="s">
        <v>123</v>
      </c>
      <c r="B26" s="150">
        <v>1973888</v>
      </c>
      <c r="C26" s="150">
        <v>0</v>
      </c>
      <c r="D26" s="150">
        <v>171512</v>
      </c>
      <c r="E26" s="150">
        <f>'- 31 -'!B24</f>
        <v>120618</v>
      </c>
      <c r="F26" s="150">
        <f>-Data!L24-Data!M24</f>
        <v>-51344</v>
      </c>
      <c r="G26" s="150">
        <f t="shared" si="1"/>
        <v>2214674</v>
      </c>
      <c r="H26" s="150">
        <v>2214674</v>
      </c>
      <c r="I26" s="1">
        <f t="shared" si="0"/>
        <v>0</v>
      </c>
    </row>
    <row r="27" spans="1:9" ht="13.5" customHeight="1">
      <c r="A27" s="357" t="s">
        <v>124</v>
      </c>
      <c r="B27" s="355">
        <v>5723036</v>
      </c>
      <c r="C27" s="355">
        <v>0</v>
      </c>
      <c r="D27" s="355">
        <v>318034</v>
      </c>
      <c r="E27" s="355">
        <f>'- 31 -'!B25</f>
        <v>553174</v>
      </c>
      <c r="F27" s="355">
        <f>-Data!L25-Data!M25</f>
        <v>-463656</v>
      </c>
      <c r="G27" s="355">
        <f t="shared" si="1"/>
        <v>6130588</v>
      </c>
      <c r="H27" s="355">
        <v>6130588</v>
      </c>
      <c r="I27" s="1">
        <f t="shared" si="0"/>
        <v>0</v>
      </c>
    </row>
    <row r="28" spans="1:9" ht="13.5" customHeight="1">
      <c r="A28" s="236" t="s">
        <v>125</v>
      </c>
      <c r="B28" s="150">
        <v>1362464</v>
      </c>
      <c r="C28" s="150">
        <v>20655</v>
      </c>
      <c r="D28" s="150">
        <v>214459</v>
      </c>
      <c r="E28" s="150">
        <f>'- 31 -'!B26</f>
        <v>171375</v>
      </c>
      <c r="F28" s="150">
        <f>-Data!L26-Data!M26</f>
        <v>-16930</v>
      </c>
      <c r="G28" s="150">
        <f t="shared" si="1"/>
        <v>1752023</v>
      </c>
      <c r="H28" s="150">
        <v>1752023</v>
      </c>
      <c r="I28" s="1">
        <f t="shared" si="0"/>
        <v>0</v>
      </c>
    </row>
    <row r="29" spans="1:9" ht="13.5" customHeight="1">
      <c r="A29" s="357" t="s">
        <v>126</v>
      </c>
      <c r="B29" s="355">
        <v>1882636</v>
      </c>
      <c r="C29" s="355">
        <v>0</v>
      </c>
      <c r="D29" s="355">
        <v>0</v>
      </c>
      <c r="E29" s="355">
        <f>'- 31 -'!B27</f>
        <v>198587</v>
      </c>
      <c r="F29" s="355">
        <f>-Data!L27-Data!M27</f>
        <v>-41804</v>
      </c>
      <c r="G29" s="355">
        <f t="shared" si="1"/>
        <v>2039419</v>
      </c>
      <c r="H29" s="355">
        <v>2039419</v>
      </c>
      <c r="I29" s="1">
        <f t="shared" si="0"/>
        <v>0</v>
      </c>
    </row>
    <row r="30" spans="1:9" ht="13.5" customHeight="1">
      <c r="A30" s="236" t="s">
        <v>127</v>
      </c>
      <c r="B30" s="150">
        <v>1139909</v>
      </c>
      <c r="C30" s="150">
        <v>0</v>
      </c>
      <c r="D30" s="150">
        <v>51933</v>
      </c>
      <c r="E30" s="150">
        <f>'- 31 -'!B28</f>
        <v>50438</v>
      </c>
      <c r="F30" s="150">
        <f>-Data!L28-Data!M28</f>
        <v>-24576</v>
      </c>
      <c r="G30" s="150">
        <f t="shared" si="1"/>
        <v>1217704</v>
      </c>
      <c r="H30" s="150">
        <v>1217704</v>
      </c>
      <c r="I30" s="1">
        <f t="shared" si="0"/>
        <v>0</v>
      </c>
    </row>
    <row r="31" spans="1:9" ht="13.5" customHeight="1">
      <c r="A31" s="357" t="s">
        <v>128</v>
      </c>
      <c r="B31" s="355">
        <v>4599908</v>
      </c>
      <c r="C31" s="355">
        <v>357409</v>
      </c>
      <c r="D31" s="355">
        <v>177145</v>
      </c>
      <c r="E31" s="355">
        <f>'- 31 -'!B29</f>
        <v>1001379</v>
      </c>
      <c r="F31" s="355">
        <f>-Data!L29-Data!M29</f>
        <v>-772827</v>
      </c>
      <c r="G31" s="355">
        <f t="shared" si="1"/>
        <v>5363014</v>
      </c>
      <c r="H31" s="355">
        <v>5363014</v>
      </c>
      <c r="I31" s="1">
        <f t="shared" si="0"/>
        <v>0</v>
      </c>
    </row>
    <row r="32" spans="1:9" ht="13.5" customHeight="1">
      <c r="A32" s="236" t="s">
        <v>129</v>
      </c>
      <c r="B32" s="150">
        <v>513694</v>
      </c>
      <c r="C32" s="150">
        <v>0</v>
      </c>
      <c r="D32" s="150">
        <v>57859</v>
      </c>
      <c r="E32" s="150">
        <f>'- 31 -'!B30</f>
        <v>87372</v>
      </c>
      <c r="F32" s="150">
        <f>-Data!L30-Data!M30</f>
        <v>-19860</v>
      </c>
      <c r="G32" s="150">
        <f t="shared" si="1"/>
        <v>639065</v>
      </c>
      <c r="H32" s="150">
        <v>639065</v>
      </c>
      <c r="I32" s="1">
        <f t="shared" si="0"/>
        <v>0</v>
      </c>
    </row>
    <row r="33" spans="1:9" ht="13.5" customHeight="1">
      <c r="A33" s="357" t="s">
        <v>130</v>
      </c>
      <c r="B33" s="355">
        <v>1174315</v>
      </c>
      <c r="C33" s="355">
        <v>0</v>
      </c>
      <c r="D33" s="355">
        <v>91862</v>
      </c>
      <c r="E33" s="355">
        <f>'- 31 -'!B31</f>
        <v>96018</v>
      </c>
      <c r="F33" s="355">
        <f>-Data!L31-Data!M31</f>
        <v>-38431</v>
      </c>
      <c r="G33" s="355">
        <f t="shared" si="1"/>
        <v>1323764</v>
      </c>
      <c r="H33" s="355">
        <v>1323764</v>
      </c>
      <c r="I33" s="1">
        <f t="shared" si="0"/>
        <v>0</v>
      </c>
    </row>
    <row r="34" spans="1:9" ht="13.5" customHeight="1">
      <c r="A34" s="236" t="s">
        <v>131</v>
      </c>
      <c r="B34" s="150">
        <v>1069718</v>
      </c>
      <c r="C34" s="150">
        <v>0</v>
      </c>
      <c r="D34" s="150">
        <v>83672</v>
      </c>
      <c r="E34" s="150">
        <f>'- 31 -'!B32</f>
        <v>68980</v>
      </c>
      <c r="F34" s="150">
        <f>-Data!L32-Data!M32</f>
        <v>-15932</v>
      </c>
      <c r="G34" s="150">
        <f t="shared" si="1"/>
        <v>1206438</v>
      </c>
      <c r="H34" s="150">
        <v>1206438</v>
      </c>
      <c r="I34" s="1">
        <f t="shared" si="0"/>
        <v>0</v>
      </c>
    </row>
    <row r="35" spans="1:9" ht="13.5" customHeight="1">
      <c r="A35" s="357" t="s">
        <v>132</v>
      </c>
      <c r="B35" s="355">
        <v>923091</v>
      </c>
      <c r="C35" s="355">
        <v>0</v>
      </c>
      <c r="D35" s="355">
        <v>103199</v>
      </c>
      <c r="E35" s="355">
        <f>'- 31 -'!B33</f>
        <v>81281</v>
      </c>
      <c r="F35" s="355">
        <f>-Data!L33-Data!M33</f>
        <v>-34556</v>
      </c>
      <c r="G35" s="355">
        <f t="shared" si="1"/>
        <v>1073015</v>
      </c>
      <c r="H35" s="355">
        <v>1073015</v>
      </c>
      <c r="I35" s="1">
        <f t="shared" si="0"/>
        <v>0</v>
      </c>
    </row>
    <row r="36" spans="1:9" ht="13.5" customHeight="1">
      <c r="A36" s="236" t="s">
        <v>133</v>
      </c>
      <c r="B36" s="150">
        <v>1041383</v>
      </c>
      <c r="C36" s="150">
        <v>7083</v>
      </c>
      <c r="D36" s="150">
        <v>89085</v>
      </c>
      <c r="E36" s="150">
        <f>'- 31 -'!B34</f>
        <v>63522</v>
      </c>
      <c r="F36" s="150">
        <f>-Data!L34-Data!M34</f>
        <v>-32854</v>
      </c>
      <c r="G36" s="150">
        <f t="shared" si="1"/>
        <v>1168219</v>
      </c>
      <c r="H36" s="150">
        <v>1168219</v>
      </c>
      <c r="I36" s="1">
        <f t="shared" si="0"/>
        <v>0</v>
      </c>
    </row>
    <row r="37" spans="1:9" ht="13.5" customHeight="1">
      <c r="A37" s="357" t="s">
        <v>134</v>
      </c>
      <c r="B37" s="355">
        <v>5207313</v>
      </c>
      <c r="C37" s="355">
        <v>384619</v>
      </c>
      <c r="D37" s="355">
        <v>359149</v>
      </c>
      <c r="E37" s="355">
        <f>'- 31 -'!B35</f>
        <v>790887</v>
      </c>
      <c r="F37" s="355">
        <f>-Data!L35-Data!M35</f>
        <v>-415639</v>
      </c>
      <c r="G37" s="355">
        <f t="shared" si="1"/>
        <v>6326329</v>
      </c>
      <c r="H37" s="355">
        <v>6326329</v>
      </c>
      <c r="I37" s="1">
        <f t="shared" si="0"/>
        <v>0</v>
      </c>
    </row>
    <row r="38" spans="1:9" ht="13.5" customHeight="1">
      <c r="A38" s="236" t="s">
        <v>135</v>
      </c>
      <c r="B38" s="150">
        <v>923112</v>
      </c>
      <c r="C38" s="150">
        <v>18188</v>
      </c>
      <c r="D38" s="150">
        <v>52485</v>
      </c>
      <c r="E38" s="150">
        <f>'- 31 -'!B36</f>
        <v>60760</v>
      </c>
      <c r="F38" s="150">
        <f>-Data!L36-Data!M36</f>
        <v>-27900</v>
      </c>
      <c r="G38" s="150">
        <f t="shared" si="1"/>
        <v>1026645</v>
      </c>
      <c r="H38" s="150">
        <v>1026645</v>
      </c>
      <c r="I38" s="1">
        <f t="shared" si="0"/>
        <v>0</v>
      </c>
    </row>
    <row r="39" spans="1:9" ht="13.5" customHeight="1">
      <c r="A39" s="357" t="s">
        <v>136</v>
      </c>
      <c r="B39" s="355">
        <v>1622228</v>
      </c>
      <c r="C39" s="355">
        <v>38967</v>
      </c>
      <c r="D39" s="355">
        <v>201952</v>
      </c>
      <c r="E39" s="355">
        <f>'- 31 -'!B37</f>
        <v>115545</v>
      </c>
      <c r="F39" s="355">
        <f>-Data!L37-Data!M37</f>
        <v>-39634</v>
      </c>
      <c r="G39" s="355">
        <f t="shared" si="1"/>
        <v>1939058</v>
      </c>
      <c r="H39" s="355">
        <v>1939058</v>
      </c>
      <c r="I39" s="1">
        <f t="shared" si="0"/>
        <v>0</v>
      </c>
    </row>
    <row r="40" spans="1:9" ht="13.5" customHeight="1">
      <c r="A40" s="236" t="s">
        <v>137</v>
      </c>
      <c r="B40" s="150">
        <v>3615834</v>
      </c>
      <c r="C40" s="150">
        <v>78201</v>
      </c>
      <c r="D40" s="150">
        <v>275000</v>
      </c>
      <c r="E40" s="150">
        <f>'- 31 -'!B38</f>
        <v>538107</v>
      </c>
      <c r="F40" s="150">
        <f>-Data!L38-Data!M38</f>
        <v>-88662</v>
      </c>
      <c r="G40" s="150">
        <f t="shared" si="1"/>
        <v>4418480</v>
      </c>
      <c r="H40" s="150">
        <v>4418480</v>
      </c>
      <c r="I40" s="1">
        <f t="shared" si="0"/>
        <v>0</v>
      </c>
    </row>
    <row r="41" spans="1:9" ht="13.5" customHeight="1">
      <c r="A41" s="357" t="s">
        <v>138</v>
      </c>
      <c r="B41" s="355">
        <v>831823</v>
      </c>
      <c r="C41" s="355">
        <v>0</v>
      </c>
      <c r="D41" s="355">
        <v>77212</v>
      </c>
      <c r="E41" s="355">
        <f>'- 31 -'!B39</f>
        <v>75774</v>
      </c>
      <c r="F41" s="355">
        <f>-Data!L39-Data!M39</f>
        <v>-28818</v>
      </c>
      <c r="G41" s="355">
        <f t="shared" si="1"/>
        <v>955991</v>
      </c>
      <c r="H41" s="355">
        <v>955991</v>
      </c>
      <c r="I41" s="1">
        <f t="shared" si="0"/>
        <v>0</v>
      </c>
    </row>
    <row r="42" spans="1:9" ht="13.5" customHeight="1">
      <c r="A42" s="236" t="s">
        <v>139</v>
      </c>
      <c r="B42" s="150">
        <v>3769210</v>
      </c>
      <c r="C42" s="150">
        <v>0</v>
      </c>
      <c r="D42" s="150">
        <v>136292</v>
      </c>
      <c r="E42" s="150">
        <f>'- 31 -'!B40</f>
        <v>450308</v>
      </c>
      <c r="F42" s="150">
        <f>-Data!L40-Data!M40</f>
        <v>-393252</v>
      </c>
      <c r="G42" s="150">
        <f t="shared" si="1"/>
        <v>3962558</v>
      </c>
      <c r="H42" s="150">
        <v>3962558</v>
      </c>
      <c r="I42" s="1">
        <f t="shared" si="0"/>
        <v>0</v>
      </c>
    </row>
    <row r="43" spans="1:9" ht="13.5" customHeight="1">
      <c r="A43" s="357" t="s">
        <v>140</v>
      </c>
      <c r="B43" s="355">
        <v>2006143</v>
      </c>
      <c r="C43" s="355">
        <v>48568</v>
      </c>
      <c r="D43" s="355">
        <v>383494</v>
      </c>
      <c r="E43" s="355">
        <f>'- 31 -'!B41</f>
        <v>182565</v>
      </c>
      <c r="F43" s="355">
        <f>-Data!L41-Data!M41</f>
        <v>-46578</v>
      </c>
      <c r="G43" s="355">
        <f t="shared" si="1"/>
        <v>2574192</v>
      </c>
      <c r="H43" s="355">
        <v>2574192</v>
      </c>
      <c r="I43" s="1">
        <f t="shared" si="0"/>
        <v>0</v>
      </c>
    </row>
    <row r="44" spans="1:9" ht="13.5" customHeight="1">
      <c r="A44" s="236" t="s">
        <v>141</v>
      </c>
      <c r="B44" s="150">
        <v>849567</v>
      </c>
      <c r="C44" s="150">
        <v>0</v>
      </c>
      <c r="D44" s="150">
        <v>99152</v>
      </c>
      <c r="E44" s="150">
        <f>'- 31 -'!B42</f>
        <v>54270</v>
      </c>
      <c r="F44" s="150">
        <f>-Data!L42-Data!M42</f>
        <v>-19052</v>
      </c>
      <c r="G44" s="150">
        <f t="shared" si="1"/>
        <v>983937</v>
      </c>
      <c r="H44" s="150">
        <v>983937</v>
      </c>
      <c r="I44" s="1">
        <f t="shared" si="0"/>
        <v>0</v>
      </c>
    </row>
    <row r="45" spans="1:9" ht="13.5" customHeight="1">
      <c r="A45" s="357" t="s">
        <v>142</v>
      </c>
      <c r="B45" s="355">
        <v>552080</v>
      </c>
      <c r="C45" s="355">
        <v>0</v>
      </c>
      <c r="D45" s="355">
        <v>8275</v>
      </c>
      <c r="E45" s="355">
        <f>'- 31 -'!B43</f>
        <v>14040</v>
      </c>
      <c r="F45" s="355">
        <f>-Data!L43-Data!M43</f>
        <v>-17939</v>
      </c>
      <c r="G45" s="355">
        <f t="shared" si="1"/>
        <v>556456</v>
      </c>
      <c r="H45" s="355">
        <v>556456</v>
      </c>
      <c r="I45" s="1">
        <f t="shared" si="0"/>
        <v>0</v>
      </c>
    </row>
    <row r="46" spans="1:9" ht="13.5" customHeight="1">
      <c r="A46" s="236" t="s">
        <v>143</v>
      </c>
      <c r="B46" s="150">
        <v>383613</v>
      </c>
      <c r="C46" s="150">
        <v>0</v>
      </c>
      <c r="D46" s="150">
        <v>30572</v>
      </c>
      <c r="E46" s="150">
        <f>'- 31 -'!B44</f>
        <v>30014</v>
      </c>
      <c r="F46" s="150">
        <f>-Data!L44-Data!M44</f>
        <v>-7395</v>
      </c>
      <c r="G46" s="150">
        <f t="shared" si="1"/>
        <v>436804</v>
      </c>
      <c r="H46" s="150">
        <v>436804</v>
      </c>
      <c r="I46" s="1">
        <f t="shared" si="0"/>
        <v>0</v>
      </c>
    </row>
    <row r="47" spans="1:9" ht="13.5" customHeight="1">
      <c r="A47" s="357" t="s">
        <v>144</v>
      </c>
      <c r="B47" s="355">
        <v>715850</v>
      </c>
      <c r="C47" s="355">
        <v>0</v>
      </c>
      <c r="D47" s="355">
        <v>46328</v>
      </c>
      <c r="E47" s="355">
        <f>'- 31 -'!B45</f>
        <v>78923</v>
      </c>
      <c r="F47" s="355">
        <f>-Data!L45-Data!M45</f>
        <v>-14809</v>
      </c>
      <c r="G47" s="355">
        <f t="shared" si="1"/>
        <v>826292</v>
      </c>
      <c r="H47" s="355">
        <v>826292</v>
      </c>
      <c r="I47" s="1">
        <f t="shared" si="0"/>
        <v>0</v>
      </c>
    </row>
    <row r="48" spans="1:9" ht="13.5" customHeight="1">
      <c r="A48" s="236" t="s">
        <v>145</v>
      </c>
      <c r="B48" s="150">
        <v>8970660</v>
      </c>
      <c r="C48" s="150">
        <v>183978</v>
      </c>
      <c r="D48" s="150">
        <v>559398</v>
      </c>
      <c r="E48" s="150">
        <f>'- 31 -'!B46</f>
        <v>1044266</v>
      </c>
      <c r="F48" s="150">
        <f>-Data!L46-Data!M46</f>
        <v>-181062</v>
      </c>
      <c r="G48" s="150">
        <f t="shared" si="1"/>
        <v>10577240</v>
      </c>
      <c r="H48" s="150">
        <v>10577240</v>
      </c>
      <c r="I48" s="1">
        <f t="shared" si="0"/>
        <v>0</v>
      </c>
    </row>
    <row r="49" spans="1:11" ht="5.0999999999999996" customHeight="1">
      <c r="A49" s="129"/>
      <c r="B49" s="151"/>
      <c r="C49" s="151"/>
      <c r="D49" s="151"/>
      <c r="E49" s="151"/>
      <c r="F49" s="151"/>
      <c r="G49" s="151"/>
      <c r="H49" s="151"/>
    </row>
    <row r="50" spans="1:11" ht="13.5" customHeight="1">
      <c r="A50" s="358" t="s">
        <v>146</v>
      </c>
      <c r="B50" s="359">
        <f t="shared" ref="B50:H50" si="2">SUM(B13:B48)</f>
        <v>63914072</v>
      </c>
      <c r="C50" s="359">
        <f t="shared" ref="C50" si="3">SUM(C13:C48)</f>
        <v>1162862</v>
      </c>
      <c r="D50" s="359">
        <f t="shared" si="2"/>
        <v>4783157</v>
      </c>
      <c r="E50" s="359">
        <f t="shared" si="2"/>
        <v>7293723</v>
      </c>
      <c r="F50" s="359">
        <f t="shared" si="2"/>
        <v>-3121080</v>
      </c>
      <c r="G50" s="359">
        <f t="shared" si="2"/>
        <v>74032734</v>
      </c>
      <c r="H50" s="359">
        <f t="shared" si="2"/>
        <v>74032734</v>
      </c>
      <c r="I50" s="1">
        <f>G50-H50</f>
        <v>0</v>
      </c>
    </row>
    <row r="51" spans="1:11" ht="5.0999999999999996" customHeight="1">
      <c r="A51" s="129" t="s">
        <v>8</v>
      </c>
      <c r="B51" s="151"/>
      <c r="C51" s="151"/>
      <c r="D51" s="151"/>
      <c r="E51" s="151"/>
      <c r="F51" s="151"/>
      <c r="G51" s="151"/>
      <c r="H51" s="151"/>
      <c r="K51" s="1">
        <f>+J51-B51</f>
        <v>0</v>
      </c>
    </row>
    <row r="52" spans="1:11" ht="13.5" customHeight="1">
      <c r="A52" s="236" t="s">
        <v>147</v>
      </c>
      <c r="B52" s="150">
        <v>174231</v>
      </c>
      <c r="C52" s="150">
        <v>0</v>
      </c>
      <c r="D52" s="150">
        <v>0</v>
      </c>
      <c r="E52" s="150">
        <f>'- 31 -'!B50</f>
        <v>11427</v>
      </c>
      <c r="F52" s="150">
        <f>-Data!L50-Data!M50</f>
        <v>-12296</v>
      </c>
      <c r="G52" s="150">
        <f>SUM(B52:F52)</f>
        <v>173362</v>
      </c>
      <c r="H52" s="150">
        <v>173362</v>
      </c>
      <c r="I52" s="1">
        <f>G52-H52</f>
        <v>0</v>
      </c>
    </row>
    <row r="53" spans="1:11" ht="50.1" customHeight="1">
      <c r="A53" s="22"/>
      <c r="B53" s="22"/>
      <c r="C53" s="22"/>
      <c r="D53" s="22"/>
      <c r="E53" s="22"/>
      <c r="F53" s="22"/>
      <c r="G53" s="22"/>
    </row>
    <row r="54" spans="1:11" ht="14.45" customHeight="1">
      <c r="A54" s="595" t="s">
        <v>644</v>
      </c>
      <c r="B54" s="595"/>
      <c r="C54" s="595"/>
      <c r="D54" s="595"/>
      <c r="E54" s="595"/>
      <c r="F54" s="595"/>
      <c r="G54" s="595"/>
    </row>
    <row r="55" spans="1:11" ht="12" customHeight="1">
      <c r="A55" s="805"/>
      <c r="B55" s="805"/>
      <c r="C55" s="805"/>
      <c r="D55" s="805"/>
      <c r="E55" s="805"/>
      <c r="F55" s="805"/>
      <c r="G55" s="805"/>
    </row>
    <row r="56" spans="1:11" ht="12" customHeight="1">
      <c r="A56" s="805"/>
      <c r="B56" s="805"/>
      <c r="C56" s="805"/>
      <c r="D56" s="805"/>
      <c r="E56" s="805"/>
      <c r="F56" s="805"/>
      <c r="G56" s="805"/>
    </row>
    <row r="57" spans="1:11" ht="12" customHeight="1">
      <c r="A57" s="805"/>
      <c r="B57" s="805"/>
      <c r="C57" s="805"/>
      <c r="D57" s="805"/>
      <c r="E57" s="805"/>
      <c r="F57" s="805"/>
      <c r="G57" s="805"/>
    </row>
    <row r="58" spans="1:11" ht="12" customHeight="1">
      <c r="A58" s="805"/>
      <c r="B58" s="805"/>
      <c r="C58" s="805"/>
      <c r="D58" s="805"/>
      <c r="E58" s="805"/>
      <c r="F58" s="805"/>
      <c r="G58" s="805"/>
    </row>
    <row r="59" spans="1:11" ht="12" customHeight="1">
      <c r="A59" s="805"/>
      <c r="B59" s="805"/>
      <c r="C59" s="805"/>
      <c r="D59" s="805"/>
      <c r="E59" s="805"/>
      <c r="F59" s="805"/>
      <c r="G59" s="805"/>
    </row>
    <row r="60" spans="1:11" ht="12" customHeight="1">
      <c r="A60" s="805"/>
      <c r="B60" s="805"/>
      <c r="C60" s="805"/>
      <c r="D60" s="805"/>
      <c r="E60" s="805"/>
      <c r="F60" s="805"/>
      <c r="G60" s="805"/>
    </row>
    <row r="61" spans="1:11" ht="12" customHeight="1">
      <c r="A61" s="1" t="s">
        <v>368</v>
      </c>
    </row>
    <row r="62" spans="1:11" ht="12" customHeight="1">
      <c r="A62" s="1" t="s">
        <v>341</v>
      </c>
    </row>
    <row r="63" spans="1:11" ht="12" customHeight="1">
      <c r="A63" s="132" t="s">
        <v>439</v>
      </c>
    </row>
    <row r="64" spans="1:11" ht="12" customHeight="1">
      <c r="A64" s="132" t="s">
        <v>440</v>
      </c>
    </row>
  </sheetData>
  <mergeCells count="9">
    <mergeCell ref="A54:G60"/>
    <mergeCell ref="B2:D2"/>
    <mergeCell ref="B4:G4"/>
    <mergeCell ref="B9:B10"/>
    <mergeCell ref="C7:C10"/>
    <mergeCell ref="D9:D10"/>
    <mergeCell ref="E8:E10"/>
    <mergeCell ref="F5:F11"/>
    <mergeCell ref="G9:G11"/>
  </mergeCells>
  <phoneticPr fontId="0" type="noConversion"/>
  <pageMargins left="0.5" right="0.5" top="0.6" bottom="0.2" header="0.3" footer="0.5"/>
  <pageSetup scale="85" orientation="portrait" r:id="rId1"/>
  <headerFooter alignWithMargins="0">
    <oddHeader>&amp;C&amp;"Arial,Regular"&amp;11&amp;A</oddHeader>
  </headerFooter>
</worksheet>
</file>

<file path=xl/worksheets/sheet56.xml><?xml version="1.0" encoding="utf-8"?>
<worksheet xmlns="http://schemas.openxmlformats.org/spreadsheetml/2006/main" xmlns:r="http://schemas.openxmlformats.org/officeDocument/2006/relationships">
  <sheetPr codeName="Sheet6111">
    <pageSetUpPr fitToPage="1"/>
  </sheetPr>
  <dimension ref="A1:K59"/>
  <sheetViews>
    <sheetView showGridLines="0" showZeros="0" workbookViewId="0"/>
  </sheetViews>
  <sheetFormatPr defaultColWidth="14.83203125" defaultRowHeight="12"/>
  <cols>
    <col min="1" max="1" width="27.83203125" style="1" customWidth="1"/>
    <col min="2" max="3" width="16.83203125" style="1" customWidth="1"/>
    <col min="4" max="4" width="18.83203125" style="1" customWidth="1"/>
    <col min="5" max="5" width="16.83203125" style="1" customWidth="1"/>
    <col min="6" max="6" width="18.83203125" style="1" customWidth="1"/>
    <col min="7" max="7" width="17.83203125" style="1" customWidth="1"/>
    <col min="8" max="9" width="0" style="1" hidden="1" customWidth="1"/>
    <col min="10" max="16384" width="14.83203125" style="1"/>
  </cols>
  <sheetData>
    <row r="1" spans="1:11" ht="6.95" customHeight="1">
      <c r="A1" s="6"/>
      <c r="B1" s="7"/>
      <c r="C1" s="7"/>
      <c r="D1" s="7"/>
    </row>
    <row r="2" spans="1:11" ht="20.100000000000001" customHeight="1">
      <c r="A2" s="250"/>
      <c r="B2" s="250" t="str">
        <f>"ADMINISTRATION EXPENSES "&amp;FALLYR&amp;"/"&amp;SPRINGYR&amp;" ACTUAL"</f>
        <v>ADMINISTRATION EXPENSES 2014/2015 ACTUAL</v>
      </c>
      <c r="C2" s="172"/>
      <c r="D2" s="172"/>
      <c r="E2" s="172"/>
      <c r="F2" s="172"/>
      <c r="G2" s="389" t="s">
        <v>78</v>
      </c>
    </row>
    <row r="3" spans="1:11" ht="20.100000000000001" customHeight="1">
      <c r="A3" s="540"/>
      <c r="B3" s="251"/>
      <c r="C3" s="252"/>
      <c r="D3" s="252"/>
      <c r="E3" s="252"/>
      <c r="F3" s="252"/>
      <c r="G3" s="253"/>
    </row>
    <row r="4" spans="1:11" ht="14.1" customHeight="1">
      <c r="A4" s="231"/>
      <c r="B4" s="810" t="s">
        <v>237</v>
      </c>
      <c r="C4" s="811"/>
      <c r="D4" s="811"/>
      <c r="E4" s="811"/>
      <c r="F4" s="811"/>
      <c r="G4" s="812"/>
    </row>
    <row r="5" spans="1:11" ht="12.95" customHeight="1">
      <c r="A5" s="254"/>
      <c r="B5" s="255"/>
      <c r="C5" s="255"/>
      <c r="D5" s="255"/>
      <c r="E5" s="255"/>
      <c r="F5" s="255"/>
      <c r="G5" s="255"/>
    </row>
    <row r="6" spans="1:11" ht="12.95" customHeight="1">
      <c r="A6" s="254"/>
      <c r="B6" s="241"/>
      <c r="C6" s="241"/>
      <c r="D6" s="241"/>
      <c r="E6" s="241"/>
      <c r="F6" s="241"/>
      <c r="G6" s="796" t="s">
        <v>634</v>
      </c>
    </row>
    <row r="7" spans="1:11" ht="12.95" customHeight="1">
      <c r="A7" s="254"/>
      <c r="B7" s="256"/>
      <c r="C7" s="120"/>
      <c r="D7" s="256"/>
      <c r="E7" s="256"/>
      <c r="F7" s="256"/>
      <c r="G7" s="796"/>
    </row>
    <row r="8" spans="1:11" ht="12.95" customHeight="1">
      <c r="A8" s="254"/>
      <c r="B8" s="796" t="s">
        <v>630</v>
      </c>
      <c r="C8" s="796" t="s">
        <v>631</v>
      </c>
      <c r="D8" s="796" t="s">
        <v>632</v>
      </c>
      <c r="E8" s="256"/>
      <c r="F8" s="796" t="s">
        <v>650</v>
      </c>
      <c r="G8" s="796"/>
    </row>
    <row r="9" spans="1:11" ht="12.95" customHeight="1">
      <c r="A9" s="254"/>
      <c r="B9" s="796"/>
      <c r="C9" s="796"/>
      <c r="D9" s="796"/>
      <c r="E9" s="796" t="s">
        <v>633</v>
      </c>
      <c r="F9" s="796"/>
      <c r="G9" s="796"/>
    </row>
    <row r="10" spans="1:11" ht="12.95" customHeight="1">
      <c r="A10" s="15"/>
      <c r="B10" s="796"/>
      <c r="C10" s="796"/>
      <c r="D10" s="796"/>
      <c r="E10" s="796"/>
      <c r="F10" s="796"/>
      <c r="G10" s="796"/>
    </row>
    <row r="11" spans="1:11" ht="15.95" customHeight="1">
      <c r="A11" s="16" t="s">
        <v>43</v>
      </c>
      <c r="B11" s="797"/>
      <c r="C11" s="797"/>
      <c r="D11" s="797"/>
      <c r="E11" s="797"/>
      <c r="F11" s="797"/>
      <c r="G11" s="797"/>
    </row>
    <row r="12" spans="1:11" ht="5.0999999999999996" customHeight="1">
      <c r="A12" s="17"/>
      <c r="C12" s="249"/>
      <c r="D12" s="206"/>
      <c r="E12" s="6"/>
    </row>
    <row r="13" spans="1:11" ht="14.1" customHeight="1">
      <c r="A13" s="357" t="s">
        <v>111</v>
      </c>
      <c r="B13" s="355">
        <f>'- 3 -'!B11</f>
        <v>17539593</v>
      </c>
      <c r="C13" s="355">
        <v>386143</v>
      </c>
      <c r="D13" s="355">
        <v>0</v>
      </c>
      <c r="E13" s="355">
        <f>SUM(B13:D13)</f>
        <v>17925736</v>
      </c>
      <c r="F13" s="355">
        <f>'- 62 -'!G13</f>
        <v>745766</v>
      </c>
      <c r="G13" s="294">
        <f>F13/E13*100</f>
        <v>4.1603089546783458</v>
      </c>
      <c r="H13" s="403">
        <v>4.1603089546783462E-2</v>
      </c>
      <c r="I13" s="355">
        <v>17925736</v>
      </c>
      <c r="J13" s="1">
        <f t="shared" ref="J13:J48" si="0">I13-E13</f>
        <v>0</v>
      </c>
      <c r="K13" s="1">
        <f>+G13/100-H13</f>
        <v>0</v>
      </c>
    </row>
    <row r="14" spans="1:11" ht="14.1" customHeight="1">
      <c r="A14" s="236" t="s">
        <v>112</v>
      </c>
      <c r="B14" s="150">
        <f>'- 3 -'!B12</f>
        <v>32056582</v>
      </c>
      <c r="C14" s="150">
        <v>2874469</v>
      </c>
      <c r="D14" s="150">
        <v>-573186</v>
      </c>
      <c r="E14" s="150">
        <f>SUM(B14:D14)</f>
        <v>34357865</v>
      </c>
      <c r="F14" s="150">
        <f>'- 62 -'!G14</f>
        <v>1260160</v>
      </c>
      <c r="G14" s="69">
        <f t="shared" ref="G14:G52" si="1">F14/E14*100</f>
        <v>3.6677482724843351</v>
      </c>
      <c r="H14" s="139">
        <v>3.6677482724843349E-2</v>
      </c>
      <c r="I14" s="150">
        <v>34357865</v>
      </c>
      <c r="J14" s="1">
        <f t="shared" si="0"/>
        <v>0</v>
      </c>
      <c r="K14" s="1">
        <f t="shared" ref="K14:K52" si="2">+G14/100-H14</f>
        <v>0</v>
      </c>
    </row>
    <row r="15" spans="1:11" ht="14.1" customHeight="1">
      <c r="A15" s="357" t="s">
        <v>113</v>
      </c>
      <c r="B15" s="355">
        <f>'- 3 -'!B13</f>
        <v>86615799</v>
      </c>
      <c r="C15" s="355">
        <v>3696602</v>
      </c>
      <c r="D15" s="355">
        <v>0</v>
      </c>
      <c r="E15" s="355">
        <f>SUM(B15:D15)</f>
        <v>90312401</v>
      </c>
      <c r="F15" s="355">
        <f>'- 62 -'!G15</f>
        <v>3029856</v>
      </c>
      <c r="G15" s="294">
        <f t="shared" si="1"/>
        <v>3.3548615322495965</v>
      </c>
      <c r="H15" s="403">
        <v>3.3548615322495964E-2</v>
      </c>
      <c r="I15" s="355">
        <v>90312401</v>
      </c>
      <c r="J15" s="1">
        <f t="shared" si="0"/>
        <v>0</v>
      </c>
      <c r="K15" s="1">
        <f t="shared" si="2"/>
        <v>0</v>
      </c>
    </row>
    <row r="16" spans="1:11" ht="14.1" customHeight="1">
      <c r="A16" s="236" t="s">
        <v>365</v>
      </c>
      <c r="B16" s="150"/>
      <c r="C16" s="150">
        <v>0</v>
      </c>
      <c r="D16" s="150"/>
      <c r="E16" s="150"/>
      <c r="F16" s="150"/>
      <c r="G16" s="379" t="s">
        <v>96</v>
      </c>
      <c r="H16" s="139"/>
      <c r="I16" s="150"/>
      <c r="K16" s="1">
        <v>0</v>
      </c>
    </row>
    <row r="17" spans="1:11" ht="14.1" customHeight="1">
      <c r="A17" s="357" t="s">
        <v>114</v>
      </c>
      <c r="B17" s="355">
        <f>'- 3 -'!B15</f>
        <v>19712996</v>
      </c>
      <c r="C17" s="355">
        <v>1141021</v>
      </c>
      <c r="D17" s="355">
        <v>0</v>
      </c>
      <c r="E17" s="355">
        <f>SUM(B17:D17)</f>
        <v>20854017</v>
      </c>
      <c r="F17" s="355">
        <f>'- 62 -'!G17</f>
        <v>1076195</v>
      </c>
      <c r="G17" s="294">
        <f t="shared" si="1"/>
        <v>5.1606124613785447</v>
      </c>
      <c r="H17" s="403">
        <v>5.1606124613785442E-2</v>
      </c>
      <c r="I17" s="355">
        <v>20854017</v>
      </c>
      <c r="J17" s="1">
        <f t="shared" si="0"/>
        <v>0</v>
      </c>
      <c r="K17" s="1">
        <f t="shared" si="2"/>
        <v>0</v>
      </c>
    </row>
    <row r="18" spans="1:11" ht="14.1" customHeight="1">
      <c r="A18" s="236" t="s">
        <v>115</v>
      </c>
      <c r="B18" s="150">
        <f>'- 3 -'!B16</f>
        <v>13616389</v>
      </c>
      <c r="C18" s="150">
        <v>255140</v>
      </c>
      <c r="D18" s="150">
        <v>-92300</v>
      </c>
      <c r="E18" s="150">
        <f>SUM(B18:D18)</f>
        <v>13779229</v>
      </c>
      <c r="F18" s="150">
        <f>'- 62 -'!G18</f>
        <v>724146</v>
      </c>
      <c r="G18" s="69">
        <f t="shared" si="1"/>
        <v>5.2553448382344179</v>
      </c>
      <c r="H18" s="139">
        <v>5.255344838234418E-2</v>
      </c>
      <c r="I18" s="150">
        <v>13779229</v>
      </c>
      <c r="J18" s="1">
        <f t="shared" si="0"/>
        <v>0</v>
      </c>
      <c r="K18" s="1">
        <f t="shared" si="2"/>
        <v>0</v>
      </c>
    </row>
    <row r="19" spans="1:11" ht="14.1" customHeight="1">
      <c r="A19" s="357" t="s">
        <v>116</v>
      </c>
      <c r="B19" s="355">
        <f>'- 3 -'!B17</f>
        <v>17489940</v>
      </c>
      <c r="C19" s="355">
        <v>986021</v>
      </c>
      <c r="D19" s="355">
        <v>0</v>
      </c>
      <c r="E19" s="355">
        <f>SUM(B19:D19)</f>
        <v>18475961</v>
      </c>
      <c r="F19" s="355">
        <f>'- 62 -'!G19</f>
        <v>830526</v>
      </c>
      <c r="G19" s="294">
        <f t="shared" si="1"/>
        <v>4.4951707789381024</v>
      </c>
      <c r="H19" s="403">
        <v>4.4951707789381026E-2</v>
      </c>
      <c r="I19" s="355">
        <v>18475961</v>
      </c>
      <c r="J19" s="1">
        <f t="shared" si="0"/>
        <v>0</v>
      </c>
      <c r="K19" s="1">
        <f t="shared" si="2"/>
        <v>0</v>
      </c>
    </row>
    <row r="20" spans="1:11" ht="14.1" customHeight="1">
      <c r="A20" s="236" t="s">
        <v>117</v>
      </c>
      <c r="B20" s="150"/>
      <c r="C20" s="150">
        <v>0</v>
      </c>
      <c r="D20" s="150"/>
      <c r="E20" s="150"/>
      <c r="F20" s="150"/>
      <c r="G20" s="379" t="s">
        <v>96</v>
      </c>
      <c r="H20" s="139"/>
      <c r="I20" s="150"/>
      <c r="J20" s="1">
        <f t="shared" si="0"/>
        <v>0</v>
      </c>
      <c r="K20" s="1">
        <v>0</v>
      </c>
    </row>
    <row r="21" spans="1:11" ht="14.1" customHeight="1">
      <c r="A21" s="357" t="s">
        <v>118</v>
      </c>
      <c r="B21" s="355">
        <f>'- 3 -'!B19</f>
        <v>43517536</v>
      </c>
      <c r="C21" s="355">
        <v>2037572</v>
      </c>
      <c r="D21" s="355">
        <v>0</v>
      </c>
      <c r="E21" s="355">
        <f t="shared" ref="E21:E48" si="3">SUM(B21:D21)</f>
        <v>45555108</v>
      </c>
      <c r="F21" s="355">
        <f>'- 62 -'!G21</f>
        <v>1692846</v>
      </c>
      <c r="G21" s="294">
        <f t="shared" si="1"/>
        <v>3.7160399224605065</v>
      </c>
      <c r="H21" s="403">
        <v>3.7160399224605067E-2</v>
      </c>
      <c r="I21" s="355">
        <v>45555108</v>
      </c>
      <c r="J21" s="1">
        <f t="shared" si="0"/>
        <v>0</v>
      </c>
      <c r="K21" s="1">
        <f t="shared" si="2"/>
        <v>0</v>
      </c>
    </row>
    <row r="22" spans="1:11" ht="14.1" customHeight="1">
      <c r="A22" s="236" t="s">
        <v>119</v>
      </c>
      <c r="B22" s="150">
        <f>'- 3 -'!B20</f>
        <v>75881855</v>
      </c>
      <c r="C22" s="150">
        <v>2777594</v>
      </c>
      <c r="D22" s="150">
        <v>0</v>
      </c>
      <c r="E22" s="150">
        <f t="shared" si="3"/>
        <v>78659449</v>
      </c>
      <c r="F22" s="150">
        <f>'- 62 -'!G22</f>
        <v>2565944</v>
      </c>
      <c r="G22" s="69">
        <f t="shared" si="1"/>
        <v>3.262092517327448</v>
      </c>
      <c r="H22" s="139">
        <v>3.262092517327448E-2</v>
      </c>
      <c r="I22" s="150">
        <v>78659449</v>
      </c>
      <c r="J22" s="1">
        <f t="shared" si="0"/>
        <v>0</v>
      </c>
      <c r="K22" s="1">
        <f t="shared" si="2"/>
        <v>0</v>
      </c>
    </row>
    <row r="23" spans="1:11" ht="14.1" customHeight="1">
      <c r="A23" s="357" t="s">
        <v>120</v>
      </c>
      <c r="B23" s="355">
        <f>'- 3 -'!B21</f>
        <v>35150827</v>
      </c>
      <c r="C23" s="355">
        <v>470152</v>
      </c>
      <c r="D23" s="355">
        <v>0</v>
      </c>
      <c r="E23" s="355">
        <f t="shared" si="3"/>
        <v>35620979</v>
      </c>
      <c r="F23" s="355">
        <f>'- 62 -'!G23</f>
        <v>1596717</v>
      </c>
      <c r="G23" s="294">
        <f t="shared" si="1"/>
        <v>4.4825185742368285</v>
      </c>
      <c r="H23" s="403">
        <v>4.4825185742368281E-2</v>
      </c>
      <c r="I23" s="355">
        <v>35620979</v>
      </c>
      <c r="J23" s="1">
        <f t="shared" si="0"/>
        <v>0</v>
      </c>
      <c r="K23" s="1">
        <f t="shared" si="2"/>
        <v>0</v>
      </c>
    </row>
    <row r="24" spans="1:11" ht="14.1" customHeight="1">
      <c r="A24" s="236" t="s">
        <v>121</v>
      </c>
      <c r="B24" s="150">
        <f>'- 3 -'!B22</f>
        <v>19453343</v>
      </c>
      <c r="C24" s="150">
        <v>246348</v>
      </c>
      <c r="D24" s="150">
        <v>-551670</v>
      </c>
      <c r="E24" s="150">
        <f t="shared" si="3"/>
        <v>19148021</v>
      </c>
      <c r="F24" s="150">
        <f>'- 62 -'!G24</f>
        <v>968569</v>
      </c>
      <c r="G24" s="69">
        <f t="shared" si="1"/>
        <v>5.0583243041147696</v>
      </c>
      <c r="H24" s="139">
        <v>5.0583243041147696E-2</v>
      </c>
      <c r="I24" s="150">
        <v>19148021</v>
      </c>
      <c r="J24" s="1">
        <f t="shared" si="0"/>
        <v>0</v>
      </c>
      <c r="K24" s="1">
        <f t="shared" si="2"/>
        <v>0</v>
      </c>
    </row>
    <row r="25" spans="1:11" ht="14.1" customHeight="1">
      <c r="A25" s="357" t="s">
        <v>122</v>
      </c>
      <c r="B25" s="355">
        <f>'- 3 -'!B23</f>
        <v>16297451</v>
      </c>
      <c r="C25" s="355">
        <v>704850</v>
      </c>
      <c r="D25" s="355">
        <v>-263862</v>
      </c>
      <c r="E25" s="355">
        <f t="shared" si="3"/>
        <v>16738439</v>
      </c>
      <c r="F25" s="355">
        <f>'- 62 -'!G25</f>
        <v>830104</v>
      </c>
      <c r="G25" s="294">
        <f t="shared" si="1"/>
        <v>4.9592677071021978</v>
      </c>
      <c r="H25" s="403">
        <v>4.9592677071021975E-2</v>
      </c>
      <c r="I25" s="355">
        <v>16738439</v>
      </c>
      <c r="J25" s="1">
        <f t="shared" si="0"/>
        <v>0</v>
      </c>
      <c r="K25" s="1">
        <f t="shared" si="2"/>
        <v>0</v>
      </c>
    </row>
    <row r="26" spans="1:11" ht="14.1" customHeight="1">
      <c r="A26" s="236" t="s">
        <v>123</v>
      </c>
      <c r="B26" s="150">
        <f>'- 3 -'!B24</f>
        <v>54435137</v>
      </c>
      <c r="C26" s="150">
        <v>2466641</v>
      </c>
      <c r="D26" s="150">
        <v>-325352</v>
      </c>
      <c r="E26" s="150">
        <f t="shared" si="3"/>
        <v>56576426</v>
      </c>
      <c r="F26" s="150">
        <f>'- 62 -'!G26</f>
        <v>2214674</v>
      </c>
      <c r="G26" s="69">
        <f t="shared" si="1"/>
        <v>3.9144819787662093</v>
      </c>
      <c r="H26" s="139">
        <v>3.9144819787662093E-2</v>
      </c>
      <c r="I26" s="150">
        <v>56576426</v>
      </c>
      <c r="J26" s="1">
        <f t="shared" si="0"/>
        <v>0</v>
      </c>
      <c r="K26" s="1">
        <f t="shared" si="2"/>
        <v>0</v>
      </c>
    </row>
    <row r="27" spans="1:11" ht="14.1" customHeight="1">
      <c r="A27" s="357" t="s">
        <v>124</v>
      </c>
      <c r="B27" s="355">
        <f>'- 3 -'!B25</f>
        <v>161132307</v>
      </c>
      <c r="C27" s="355">
        <v>3501961</v>
      </c>
      <c r="D27" s="355">
        <v>-1250607</v>
      </c>
      <c r="E27" s="355">
        <f t="shared" si="3"/>
        <v>163383661</v>
      </c>
      <c r="F27" s="355">
        <f>'- 62 -'!G27</f>
        <v>6130588</v>
      </c>
      <c r="G27" s="294">
        <f t="shared" si="1"/>
        <v>3.7522650444220367</v>
      </c>
      <c r="H27" s="403">
        <v>3.7522650444220366E-2</v>
      </c>
      <c r="I27" s="355">
        <v>163383661</v>
      </c>
      <c r="J27" s="1">
        <f t="shared" si="0"/>
        <v>0</v>
      </c>
      <c r="K27" s="1">
        <f t="shared" si="2"/>
        <v>0</v>
      </c>
    </row>
    <row r="28" spans="1:11" ht="14.1" customHeight="1">
      <c r="A28" s="236" t="s">
        <v>125</v>
      </c>
      <c r="B28" s="150">
        <f>'- 3 -'!B26</f>
        <v>38906923</v>
      </c>
      <c r="C28" s="150">
        <v>1106001</v>
      </c>
      <c r="D28" s="150">
        <v>0</v>
      </c>
      <c r="E28" s="150">
        <f t="shared" si="3"/>
        <v>40012924</v>
      </c>
      <c r="F28" s="150">
        <f>'- 62 -'!G28</f>
        <v>1752023</v>
      </c>
      <c r="G28" s="69">
        <f t="shared" si="1"/>
        <v>4.378642760524075</v>
      </c>
      <c r="H28" s="139">
        <v>4.3786427605240749E-2</v>
      </c>
      <c r="I28" s="150">
        <v>40012924</v>
      </c>
      <c r="J28" s="1">
        <f t="shared" si="0"/>
        <v>0</v>
      </c>
      <c r="K28" s="1">
        <f t="shared" si="2"/>
        <v>0</v>
      </c>
    </row>
    <row r="29" spans="1:11" ht="14.1" customHeight="1">
      <c r="A29" s="357" t="s">
        <v>126</v>
      </c>
      <c r="B29" s="355">
        <f>'- 3 -'!B27</f>
        <v>39049639</v>
      </c>
      <c r="C29" s="355">
        <v>1831890</v>
      </c>
      <c r="D29" s="355">
        <v>0</v>
      </c>
      <c r="E29" s="355">
        <f t="shared" si="3"/>
        <v>40881529</v>
      </c>
      <c r="F29" s="355">
        <f>'- 62 -'!G29</f>
        <v>2039419</v>
      </c>
      <c r="G29" s="294">
        <f t="shared" si="1"/>
        <v>4.9886074466539645</v>
      </c>
      <c r="H29" s="403">
        <v>4.9886074466539643E-2</v>
      </c>
      <c r="I29" s="355">
        <v>40881529</v>
      </c>
      <c r="J29" s="1">
        <f t="shared" si="0"/>
        <v>0</v>
      </c>
      <c r="K29" s="1">
        <f t="shared" si="2"/>
        <v>0</v>
      </c>
    </row>
    <row r="30" spans="1:11" ht="14.1" customHeight="1">
      <c r="A30" s="236" t="s">
        <v>127</v>
      </c>
      <c r="B30" s="150">
        <f>'- 3 -'!B28</f>
        <v>27632524</v>
      </c>
      <c r="C30" s="150">
        <v>43268</v>
      </c>
      <c r="D30" s="150">
        <v>-166675</v>
      </c>
      <c r="E30" s="150">
        <f t="shared" si="3"/>
        <v>27509117</v>
      </c>
      <c r="F30" s="150">
        <f>'- 62 -'!G30</f>
        <v>1217704</v>
      </c>
      <c r="G30" s="69">
        <f t="shared" si="1"/>
        <v>4.42654702439195</v>
      </c>
      <c r="H30" s="139">
        <v>4.4265470243919497E-2</v>
      </c>
      <c r="I30" s="150">
        <v>27509117</v>
      </c>
      <c r="J30" s="1">
        <f t="shared" si="0"/>
        <v>0</v>
      </c>
      <c r="K30" s="1">
        <f t="shared" si="2"/>
        <v>0</v>
      </c>
    </row>
    <row r="31" spans="1:11" ht="14.1" customHeight="1">
      <c r="A31" s="357" t="s">
        <v>128</v>
      </c>
      <c r="B31" s="355">
        <f>'- 3 -'!B29</f>
        <v>147806277</v>
      </c>
      <c r="C31" s="355">
        <v>3621037</v>
      </c>
      <c r="D31" s="355">
        <v>0</v>
      </c>
      <c r="E31" s="355">
        <f t="shared" si="3"/>
        <v>151427314</v>
      </c>
      <c r="F31" s="355">
        <f>'- 62 -'!G31</f>
        <v>5363014</v>
      </c>
      <c r="G31" s="294">
        <f t="shared" si="1"/>
        <v>3.541642427864764</v>
      </c>
      <c r="H31" s="403">
        <v>3.5416424278647642E-2</v>
      </c>
      <c r="I31" s="355">
        <v>151427314</v>
      </c>
      <c r="J31" s="1">
        <f t="shared" si="0"/>
        <v>0</v>
      </c>
      <c r="K31" s="1">
        <f t="shared" si="2"/>
        <v>0</v>
      </c>
    </row>
    <row r="32" spans="1:11" ht="14.1" customHeight="1">
      <c r="A32" s="236" t="s">
        <v>129</v>
      </c>
      <c r="B32" s="150">
        <f>'- 3 -'!B30</f>
        <v>13640693</v>
      </c>
      <c r="C32" s="150">
        <v>147471</v>
      </c>
      <c r="D32" s="150">
        <v>0</v>
      </c>
      <c r="E32" s="150">
        <f t="shared" si="3"/>
        <v>13788164</v>
      </c>
      <c r="F32" s="150">
        <f>'- 62 -'!G32</f>
        <v>639065</v>
      </c>
      <c r="G32" s="69">
        <f t="shared" si="1"/>
        <v>4.6348810472518309</v>
      </c>
      <c r="H32" s="139">
        <v>4.6348810472518313E-2</v>
      </c>
      <c r="I32" s="150">
        <v>13788164</v>
      </c>
      <c r="J32" s="1">
        <f t="shared" si="0"/>
        <v>0</v>
      </c>
      <c r="K32" s="1">
        <f t="shared" si="2"/>
        <v>0</v>
      </c>
    </row>
    <row r="33" spans="1:11" ht="14.1" customHeight="1">
      <c r="A33" s="357" t="s">
        <v>130</v>
      </c>
      <c r="B33" s="355">
        <f>'- 3 -'!B31</f>
        <v>35393415</v>
      </c>
      <c r="C33" s="355">
        <v>1084464</v>
      </c>
      <c r="D33" s="355">
        <v>0</v>
      </c>
      <c r="E33" s="355">
        <f t="shared" si="3"/>
        <v>36477879</v>
      </c>
      <c r="F33" s="355">
        <f>'- 62 -'!G33</f>
        <v>1323764</v>
      </c>
      <c r="G33" s="294">
        <f t="shared" si="1"/>
        <v>3.6289500274947457</v>
      </c>
      <c r="H33" s="403">
        <v>3.6289500274947456E-2</v>
      </c>
      <c r="I33" s="355">
        <v>36477879</v>
      </c>
      <c r="J33" s="1">
        <f t="shared" si="0"/>
        <v>0</v>
      </c>
      <c r="K33" s="1">
        <f t="shared" si="2"/>
        <v>0</v>
      </c>
    </row>
    <row r="34" spans="1:11" ht="14.1" customHeight="1">
      <c r="A34" s="236" t="s">
        <v>131</v>
      </c>
      <c r="B34" s="150">
        <f>'- 3 -'!B32</f>
        <v>26640968</v>
      </c>
      <c r="C34" s="150">
        <v>355057</v>
      </c>
      <c r="D34" s="150">
        <v>-254233</v>
      </c>
      <c r="E34" s="150">
        <f t="shared" si="3"/>
        <v>26741792</v>
      </c>
      <c r="F34" s="150">
        <f>'- 62 -'!G34</f>
        <v>1206438</v>
      </c>
      <c r="G34" s="69">
        <f t="shared" si="1"/>
        <v>4.511432891258746</v>
      </c>
      <c r="H34" s="139">
        <v>4.5114328912587459E-2</v>
      </c>
      <c r="I34" s="150">
        <v>26741792</v>
      </c>
      <c r="J34" s="1">
        <f t="shared" si="0"/>
        <v>0</v>
      </c>
      <c r="K34" s="1">
        <f t="shared" si="2"/>
        <v>0</v>
      </c>
    </row>
    <row r="35" spans="1:11" ht="14.1" customHeight="1">
      <c r="A35" s="357" t="s">
        <v>132</v>
      </c>
      <c r="B35" s="355">
        <f>'- 3 -'!B33</f>
        <v>26442097</v>
      </c>
      <c r="C35" s="355">
        <v>2851580</v>
      </c>
      <c r="D35" s="355">
        <v>0</v>
      </c>
      <c r="E35" s="355">
        <f t="shared" si="3"/>
        <v>29293677</v>
      </c>
      <c r="F35" s="355">
        <f>'- 62 -'!G35</f>
        <v>1073015</v>
      </c>
      <c r="G35" s="294">
        <f t="shared" si="1"/>
        <v>3.6629577092694778</v>
      </c>
      <c r="H35" s="403">
        <v>3.6629577092694779E-2</v>
      </c>
      <c r="I35" s="355">
        <v>29293677</v>
      </c>
      <c r="J35" s="1">
        <f t="shared" si="0"/>
        <v>0</v>
      </c>
      <c r="K35" s="1">
        <f t="shared" si="2"/>
        <v>0</v>
      </c>
    </row>
    <row r="36" spans="1:11" ht="14.1" customHeight="1">
      <c r="A36" s="236" t="s">
        <v>133</v>
      </c>
      <c r="B36" s="150">
        <f>'- 3 -'!B34</f>
        <v>26964324</v>
      </c>
      <c r="C36" s="150">
        <v>562741</v>
      </c>
      <c r="D36" s="150">
        <v>0</v>
      </c>
      <c r="E36" s="150">
        <f t="shared" si="3"/>
        <v>27527065</v>
      </c>
      <c r="F36" s="150">
        <f>'- 62 -'!G36</f>
        <v>1168219</v>
      </c>
      <c r="G36" s="69">
        <f t="shared" si="1"/>
        <v>4.2438923292403317</v>
      </c>
      <c r="H36" s="139">
        <v>4.2438923292403313E-2</v>
      </c>
      <c r="I36" s="150">
        <v>27527065</v>
      </c>
      <c r="J36" s="1">
        <f t="shared" si="0"/>
        <v>0</v>
      </c>
      <c r="K36" s="1">
        <f t="shared" si="2"/>
        <v>0</v>
      </c>
    </row>
    <row r="37" spans="1:11" ht="14.1" customHeight="1">
      <c r="A37" s="357" t="s">
        <v>134</v>
      </c>
      <c r="B37" s="355">
        <f>'- 3 -'!B35</f>
        <v>175329870</v>
      </c>
      <c r="C37" s="355">
        <v>3031539</v>
      </c>
      <c r="D37" s="355">
        <v>-980149</v>
      </c>
      <c r="E37" s="355">
        <f t="shared" si="3"/>
        <v>177381260</v>
      </c>
      <c r="F37" s="355">
        <f>'- 62 -'!G37</f>
        <v>6326329</v>
      </c>
      <c r="G37" s="294">
        <f t="shared" si="1"/>
        <v>3.5665148618292597</v>
      </c>
      <c r="H37" s="403">
        <v>3.5665148618292598E-2</v>
      </c>
      <c r="I37" s="355">
        <v>177381260</v>
      </c>
      <c r="J37" s="1">
        <f t="shared" si="0"/>
        <v>0</v>
      </c>
      <c r="K37" s="1">
        <f t="shared" si="2"/>
        <v>0</v>
      </c>
    </row>
    <row r="38" spans="1:11" ht="14.1" customHeight="1">
      <c r="A38" s="236" t="s">
        <v>135</v>
      </c>
      <c r="B38" s="150">
        <f>'- 3 -'!B36</f>
        <v>22044875</v>
      </c>
      <c r="C38" s="150">
        <v>1004879</v>
      </c>
      <c r="D38" s="150">
        <v>-117092</v>
      </c>
      <c r="E38" s="150">
        <f t="shared" si="3"/>
        <v>22932662</v>
      </c>
      <c r="F38" s="150">
        <f>'- 62 -'!G38</f>
        <v>1026645</v>
      </c>
      <c r="G38" s="69">
        <f t="shared" si="1"/>
        <v>4.4767807592507136</v>
      </c>
      <c r="H38" s="139">
        <v>4.476780759250714E-2</v>
      </c>
      <c r="I38" s="150">
        <v>22932662</v>
      </c>
      <c r="J38" s="1">
        <f t="shared" si="0"/>
        <v>0</v>
      </c>
      <c r="K38" s="1">
        <f t="shared" si="2"/>
        <v>0</v>
      </c>
    </row>
    <row r="39" spans="1:11" ht="14.1" customHeight="1">
      <c r="A39" s="357" t="s">
        <v>136</v>
      </c>
      <c r="B39" s="355">
        <f>'- 3 -'!B37</f>
        <v>45658286</v>
      </c>
      <c r="C39" s="355">
        <v>993688</v>
      </c>
      <c r="D39" s="355">
        <v>-296541</v>
      </c>
      <c r="E39" s="355">
        <f t="shared" si="3"/>
        <v>46355433</v>
      </c>
      <c r="F39" s="355">
        <f>'- 62 -'!G39</f>
        <v>1939058</v>
      </c>
      <c r="G39" s="294">
        <f t="shared" si="1"/>
        <v>4.1830220850272282</v>
      </c>
      <c r="H39" s="403">
        <v>4.1830220850272284E-2</v>
      </c>
      <c r="I39" s="355">
        <v>46355433</v>
      </c>
      <c r="J39" s="1">
        <f t="shared" si="0"/>
        <v>0</v>
      </c>
      <c r="K39" s="1">
        <f t="shared" si="2"/>
        <v>0</v>
      </c>
    </row>
    <row r="40" spans="1:11" ht="14.1" customHeight="1">
      <c r="A40" s="236" t="s">
        <v>137</v>
      </c>
      <c r="B40" s="150">
        <f>'- 3 -'!B38</f>
        <v>123265623</v>
      </c>
      <c r="C40" s="150">
        <v>4895478</v>
      </c>
      <c r="D40" s="150">
        <v>-748478</v>
      </c>
      <c r="E40" s="150">
        <f t="shared" si="3"/>
        <v>127412623</v>
      </c>
      <c r="F40" s="150">
        <f>'- 62 -'!G40</f>
        <v>4418480</v>
      </c>
      <c r="G40" s="69">
        <f t="shared" si="1"/>
        <v>3.4678510621353431</v>
      </c>
      <c r="H40" s="139">
        <v>3.467851062135343E-2</v>
      </c>
      <c r="I40" s="150">
        <v>127412623</v>
      </c>
      <c r="J40" s="1">
        <f t="shared" si="0"/>
        <v>0</v>
      </c>
      <c r="K40" s="1">
        <f t="shared" si="2"/>
        <v>0</v>
      </c>
    </row>
    <row r="41" spans="1:11" ht="14.1" customHeight="1">
      <c r="A41" s="357" t="s">
        <v>138</v>
      </c>
      <c r="B41" s="355">
        <f>'- 3 -'!B39</f>
        <v>20331440</v>
      </c>
      <c r="C41" s="355">
        <v>1003200</v>
      </c>
      <c r="D41" s="355">
        <v>0</v>
      </c>
      <c r="E41" s="355">
        <f t="shared" si="3"/>
        <v>21334640</v>
      </c>
      <c r="F41" s="355">
        <f>'- 62 -'!G41</f>
        <v>955991</v>
      </c>
      <c r="G41" s="294">
        <f t="shared" si="1"/>
        <v>4.4809333553319863</v>
      </c>
      <c r="H41" s="403">
        <v>4.4809333553319862E-2</v>
      </c>
      <c r="I41" s="355">
        <v>21334640</v>
      </c>
      <c r="J41" s="1">
        <f t="shared" si="0"/>
        <v>0</v>
      </c>
      <c r="K41" s="1">
        <f t="shared" si="2"/>
        <v>0</v>
      </c>
    </row>
    <row r="42" spans="1:11" ht="14.1" customHeight="1">
      <c r="A42" s="236" t="s">
        <v>139</v>
      </c>
      <c r="B42" s="150">
        <f>'- 3 -'!B40</f>
        <v>98226052</v>
      </c>
      <c r="C42" s="150">
        <v>5027016</v>
      </c>
      <c r="D42" s="150">
        <v>0</v>
      </c>
      <c r="E42" s="150">
        <f t="shared" si="3"/>
        <v>103253068</v>
      </c>
      <c r="F42" s="150">
        <f>'- 62 -'!G42</f>
        <v>3962558</v>
      </c>
      <c r="G42" s="69">
        <f t="shared" si="1"/>
        <v>3.8377145364823444</v>
      </c>
      <c r="H42" s="139">
        <v>3.8377145364823444E-2</v>
      </c>
      <c r="I42" s="150">
        <v>103253068</v>
      </c>
      <c r="J42" s="1">
        <f t="shared" si="0"/>
        <v>0</v>
      </c>
      <c r="K42" s="1">
        <f t="shared" si="2"/>
        <v>0</v>
      </c>
    </row>
    <row r="43" spans="1:11" ht="14.1" customHeight="1">
      <c r="A43" s="357" t="s">
        <v>140</v>
      </c>
      <c r="B43" s="355">
        <f>'- 3 -'!B41</f>
        <v>60529909</v>
      </c>
      <c r="C43" s="355">
        <v>1546414</v>
      </c>
      <c r="D43" s="355">
        <v>-969452</v>
      </c>
      <c r="E43" s="355">
        <f t="shared" si="3"/>
        <v>61106871</v>
      </c>
      <c r="F43" s="355">
        <f>'- 62 -'!G43</f>
        <v>2574192</v>
      </c>
      <c r="G43" s="294">
        <f t="shared" si="1"/>
        <v>4.2126064677734849</v>
      </c>
      <c r="H43" s="403">
        <v>4.2126064677734852E-2</v>
      </c>
      <c r="I43" s="355">
        <v>61106871</v>
      </c>
      <c r="J43" s="1">
        <f t="shared" si="0"/>
        <v>0</v>
      </c>
      <c r="K43" s="1">
        <f t="shared" si="2"/>
        <v>0</v>
      </c>
    </row>
    <row r="44" spans="1:11" ht="14.1" customHeight="1">
      <c r="A44" s="236" t="s">
        <v>141</v>
      </c>
      <c r="B44" s="150">
        <f>'- 3 -'!B42</f>
        <v>19900753</v>
      </c>
      <c r="C44" s="150">
        <v>1148707</v>
      </c>
      <c r="D44" s="150">
        <v>0</v>
      </c>
      <c r="E44" s="150">
        <f t="shared" si="3"/>
        <v>21049460</v>
      </c>
      <c r="F44" s="150">
        <f>'- 62 -'!G44</f>
        <v>983937</v>
      </c>
      <c r="G44" s="69">
        <f t="shared" si="1"/>
        <v>4.6744049491055835</v>
      </c>
      <c r="H44" s="139">
        <v>4.6744049491055831E-2</v>
      </c>
      <c r="I44" s="150">
        <v>21049460</v>
      </c>
      <c r="J44" s="1">
        <f t="shared" si="0"/>
        <v>0</v>
      </c>
      <c r="K44" s="1">
        <f t="shared" si="2"/>
        <v>0</v>
      </c>
    </row>
    <row r="45" spans="1:11" ht="14.1" customHeight="1">
      <c r="A45" s="357" t="s">
        <v>142</v>
      </c>
      <c r="B45" s="355">
        <f>'- 3 -'!B43</f>
        <v>12834547</v>
      </c>
      <c r="C45" s="355">
        <v>224761</v>
      </c>
      <c r="D45" s="355">
        <v>-201830</v>
      </c>
      <c r="E45" s="355">
        <f t="shared" si="3"/>
        <v>12857478</v>
      </c>
      <c r="F45" s="355">
        <f>'- 62 -'!G45</f>
        <v>556456</v>
      </c>
      <c r="G45" s="294">
        <f t="shared" si="1"/>
        <v>4.32787829775015</v>
      </c>
      <c r="H45" s="403">
        <v>4.3278782977501498E-2</v>
      </c>
      <c r="I45" s="355">
        <v>12857478</v>
      </c>
      <c r="J45" s="1">
        <f t="shared" si="0"/>
        <v>0</v>
      </c>
      <c r="K45" s="1">
        <f t="shared" si="2"/>
        <v>0</v>
      </c>
    </row>
    <row r="46" spans="1:11" ht="14.1" customHeight="1">
      <c r="A46" s="236" t="s">
        <v>143</v>
      </c>
      <c r="B46" s="150">
        <f>'- 3 -'!B44</f>
        <v>10754637</v>
      </c>
      <c r="C46" s="150">
        <v>422775</v>
      </c>
      <c r="D46" s="150">
        <v>0</v>
      </c>
      <c r="E46" s="150">
        <f t="shared" si="3"/>
        <v>11177412</v>
      </c>
      <c r="F46" s="150">
        <f>'- 62 -'!G46</f>
        <v>436804</v>
      </c>
      <c r="G46" s="69">
        <f t="shared" si="1"/>
        <v>3.907917145757891</v>
      </c>
      <c r="H46" s="139">
        <v>3.9079171457578908E-2</v>
      </c>
      <c r="I46" s="150">
        <v>11177412</v>
      </c>
      <c r="J46" s="1">
        <f t="shared" si="0"/>
        <v>0</v>
      </c>
      <c r="K46" s="1">
        <f t="shared" si="2"/>
        <v>0</v>
      </c>
    </row>
    <row r="47" spans="1:11" ht="14.1" customHeight="1">
      <c r="A47" s="357" t="s">
        <v>144</v>
      </c>
      <c r="B47" s="355">
        <f>'- 3 -'!B45</f>
        <v>17708254</v>
      </c>
      <c r="C47" s="355">
        <v>714574</v>
      </c>
      <c r="D47" s="355">
        <v>-368503</v>
      </c>
      <c r="E47" s="355">
        <f t="shared" si="3"/>
        <v>18054325</v>
      </c>
      <c r="F47" s="355">
        <f>'- 62 -'!G47</f>
        <v>826292</v>
      </c>
      <c r="G47" s="294">
        <f t="shared" si="1"/>
        <v>4.5766983811358219</v>
      </c>
      <c r="H47" s="403">
        <v>4.5766983811358221E-2</v>
      </c>
      <c r="I47" s="355">
        <v>18054325</v>
      </c>
      <c r="J47" s="1">
        <f t="shared" si="0"/>
        <v>0</v>
      </c>
      <c r="K47" s="1">
        <f t="shared" si="2"/>
        <v>0</v>
      </c>
    </row>
    <row r="48" spans="1:11" ht="14.1" customHeight="1">
      <c r="A48" s="236" t="s">
        <v>145</v>
      </c>
      <c r="B48" s="150">
        <f>'- 3 -'!B46</f>
        <v>370004100</v>
      </c>
      <c r="C48" s="150">
        <v>12446543</v>
      </c>
      <c r="D48" s="150">
        <v>-750365</v>
      </c>
      <c r="E48" s="150">
        <f t="shared" si="3"/>
        <v>381700278</v>
      </c>
      <c r="F48" s="150">
        <f>'- 62 -'!G48</f>
        <v>10577240</v>
      </c>
      <c r="G48" s="69">
        <f t="shared" si="1"/>
        <v>2.771085223050322</v>
      </c>
      <c r="H48" s="139">
        <v>2.7710852230503222E-2</v>
      </c>
      <c r="I48" s="150">
        <v>381700278</v>
      </c>
      <c r="J48" s="1">
        <f t="shared" si="0"/>
        <v>0</v>
      </c>
      <c r="K48" s="1">
        <f t="shared" si="2"/>
        <v>0</v>
      </c>
    </row>
    <row r="49" spans="1:11" ht="5.0999999999999996" customHeight="1">
      <c r="A49" s="129"/>
      <c r="B49" s="151"/>
      <c r="C49" s="151"/>
      <c r="D49" s="151"/>
      <c r="E49" s="151"/>
      <c r="F49" s="151"/>
      <c r="G49"/>
      <c r="H49" s="130"/>
      <c r="I49" s="151"/>
    </row>
    <row r="50" spans="1:11" ht="14.45" customHeight="1">
      <c r="A50" s="358" t="s">
        <v>146</v>
      </c>
      <c r="B50" s="359">
        <f>SUM(B13:B48)</f>
        <v>1951964961</v>
      </c>
      <c r="C50" s="359">
        <f>SUM(C13:C48)</f>
        <v>65607597</v>
      </c>
      <c r="D50" s="359">
        <f>SUM(D13:D48)</f>
        <v>-7910295</v>
      </c>
      <c r="E50" s="359">
        <f>SUM(E13:E48)</f>
        <v>2009662263</v>
      </c>
      <c r="F50" s="359">
        <f>SUM(F13:F48)</f>
        <v>74032734</v>
      </c>
      <c r="G50" s="297">
        <f t="shared" si="1"/>
        <v>3.6838395865325557</v>
      </c>
      <c r="H50" s="404"/>
      <c r="I50" s="359">
        <f>SUM(I13:I48)</f>
        <v>2009662263</v>
      </c>
      <c r="J50" s="1">
        <f>I50-E50</f>
        <v>0</v>
      </c>
    </row>
    <row r="51" spans="1:11" ht="5.0999999999999996" customHeight="1">
      <c r="A51" s="129" t="s">
        <v>8</v>
      </c>
      <c r="B51" s="151"/>
      <c r="C51" s="151"/>
      <c r="D51" s="151"/>
      <c r="E51" s="151"/>
      <c r="F51" s="151"/>
      <c r="G51"/>
      <c r="H51" s="130"/>
      <c r="I51" s="151"/>
    </row>
    <row r="52" spans="1:11" ht="14.45" customHeight="1">
      <c r="A52" s="236" t="s">
        <v>147</v>
      </c>
      <c r="B52" s="150">
        <f>'- 3 -'!B50</f>
        <v>3248227</v>
      </c>
      <c r="C52" s="150">
        <v>198436</v>
      </c>
      <c r="D52" s="150">
        <v>0</v>
      </c>
      <c r="E52" s="150">
        <f>SUM(B52:D52)</f>
        <v>3446663</v>
      </c>
      <c r="F52" s="150">
        <f>'- 62 -'!G52</f>
        <v>173362</v>
      </c>
      <c r="G52" s="69">
        <f t="shared" si="1"/>
        <v>5.0298506120267632</v>
      </c>
      <c r="H52" s="139">
        <v>5.0298506120267636E-2</v>
      </c>
      <c r="I52" s="150">
        <v>3446663</v>
      </c>
      <c r="J52" s="1">
        <f>I52-E52</f>
        <v>0</v>
      </c>
      <c r="K52" s="1">
        <f t="shared" si="2"/>
        <v>0</v>
      </c>
    </row>
    <row r="53" spans="1:11" ht="50.1" customHeight="1">
      <c r="A53" s="22"/>
      <c r="B53" s="22"/>
      <c r="C53" s="22"/>
      <c r="D53" s="22"/>
      <c r="E53" s="22"/>
      <c r="F53" s="22"/>
      <c r="G53" s="22"/>
    </row>
    <row r="54" spans="1:11" ht="14.45" customHeight="1">
      <c r="A54" s="595" t="s">
        <v>629</v>
      </c>
      <c r="B54" s="595"/>
      <c r="C54" s="595"/>
      <c r="D54" s="595"/>
      <c r="E54" s="595"/>
      <c r="F54" s="595"/>
      <c r="G54" s="595"/>
    </row>
    <row r="55" spans="1:11" ht="12" customHeight="1">
      <c r="A55" s="805"/>
      <c r="B55" s="805"/>
      <c r="C55" s="805"/>
      <c r="D55" s="805"/>
      <c r="E55" s="805"/>
      <c r="F55" s="805"/>
      <c r="G55" s="805"/>
    </row>
    <row r="56" spans="1:11" ht="14.45" customHeight="1">
      <c r="A56" s="37"/>
      <c r="B56" s="37"/>
      <c r="C56" s="37"/>
      <c r="D56" s="37"/>
    </row>
    <row r="57" spans="1:11" ht="14.45" customHeight="1">
      <c r="A57" s="37"/>
      <c r="B57" s="37"/>
      <c r="C57" s="37"/>
      <c r="D57" s="37"/>
    </row>
    <row r="58" spans="1:11" ht="14.45" customHeight="1">
      <c r="A58" s="37"/>
      <c r="B58" s="37"/>
      <c r="C58" s="37"/>
      <c r="D58" s="37"/>
    </row>
    <row r="59" spans="1:11">
      <c r="A59" s="37"/>
    </row>
  </sheetData>
  <mergeCells count="8">
    <mergeCell ref="B4:G4"/>
    <mergeCell ref="A54:G55"/>
    <mergeCell ref="B8:B11"/>
    <mergeCell ref="C8:C11"/>
    <mergeCell ref="D8:D11"/>
    <mergeCell ref="E9:E11"/>
    <mergeCell ref="F8:F11"/>
    <mergeCell ref="G6:G11"/>
  </mergeCells>
  <phoneticPr fontId="0" type="noConversion"/>
  <pageMargins left="0.5" right="0.5" top="0.6" bottom="0.2" header="0.3" footer="0.5"/>
  <pageSetup scale="88" orientation="portrait" r:id="rId1"/>
  <headerFooter alignWithMargins="0">
    <oddHeader>&amp;C&amp;"Arial,Regular"&amp;11&amp;A</oddHeader>
  </headerFooter>
</worksheet>
</file>

<file path=xl/worksheets/sheet57.xml><?xml version="1.0" encoding="utf-8"?>
<worksheet xmlns="http://schemas.openxmlformats.org/spreadsheetml/2006/main" xmlns:r="http://schemas.openxmlformats.org/officeDocument/2006/relationships">
  <sheetPr transitionEvaluation="1" transitionEntry="1" codeName="Sheet44">
    <pageSetUpPr autoPageBreaks="0" fitToPage="1"/>
  </sheetPr>
  <dimension ref="A1:I56"/>
  <sheetViews>
    <sheetView showGridLines="0" showZeros="0" defaultGridColor="0" colorId="22" workbookViewId="0"/>
  </sheetViews>
  <sheetFormatPr defaultColWidth="15.83203125" defaultRowHeight="12.75"/>
  <cols>
    <col min="1" max="1" width="28.1640625" style="480" customWidth="1"/>
    <col min="2" max="2" width="16.83203125" style="484" bestFit="1" customWidth="1"/>
    <col min="3" max="3" width="13" style="480" customWidth="1"/>
    <col min="4" max="4" width="11.83203125" style="480" customWidth="1"/>
    <col min="5" max="5" width="15.1640625" style="480" customWidth="1"/>
    <col min="6" max="6" width="15.5" style="480" customWidth="1"/>
    <col min="7" max="7" width="14.33203125" style="480" customWidth="1"/>
    <col min="8" max="8" width="8.5" style="480" customWidth="1"/>
    <col min="9" max="9" width="11.83203125" style="480" customWidth="1"/>
    <col min="10" max="16384" width="15.83203125" style="480"/>
  </cols>
  <sheetData>
    <row r="1" spans="1:9">
      <c r="A1" s="515"/>
      <c r="B1" s="516"/>
      <c r="C1" s="517"/>
      <c r="D1" s="517"/>
      <c r="E1" s="517"/>
      <c r="F1" s="517"/>
      <c r="G1" s="517"/>
      <c r="H1" s="517"/>
      <c r="I1" s="517"/>
    </row>
    <row r="2" spans="1:9" s="481" customFormat="1" ht="15.95" customHeight="1">
      <c r="A2" s="813" t="s">
        <v>385</v>
      </c>
      <c r="B2" s="813"/>
      <c r="C2" s="813"/>
      <c r="D2" s="813"/>
      <c r="E2" s="813"/>
      <c r="F2" s="813"/>
      <c r="G2" s="813"/>
      <c r="H2" s="813"/>
      <c r="I2" s="518"/>
    </row>
    <row r="3" spans="1:9" s="481" customFormat="1" ht="16.5" customHeight="1">
      <c r="A3" s="814" t="str">
        <f>Data!B5&amp;" "&amp;"ACTUAL"</f>
        <v>2014/15 ACTUAL</v>
      </c>
      <c r="B3" s="814"/>
      <c r="C3" s="814"/>
      <c r="D3" s="814"/>
      <c r="E3" s="814"/>
      <c r="F3" s="814"/>
      <c r="G3" s="814"/>
      <c r="H3" s="814"/>
      <c r="I3" s="519"/>
    </row>
    <row r="4" spans="1:9">
      <c r="A4" s="517"/>
      <c r="B4" s="520"/>
      <c r="C4" s="517"/>
      <c r="D4" s="517"/>
      <c r="E4" s="517"/>
      <c r="F4" s="517"/>
      <c r="G4" s="517"/>
      <c r="H4" s="517"/>
      <c r="I4" s="517"/>
    </row>
    <row r="5" spans="1:9">
      <c r="A5" s="517"/>
      <c r="B5" s="520"/>
      <c r="C5" s="517"/>
      <c r="D5" s="517"/>
      <c r="E5" s="517"/>
      <c r="F5" s="517"/>
      <c r="G5" s="517"/>
      <c r="H5" s="517"/>
      <c r="I5" s="517"/>
    </row>
    <row r="6" spans="1:9">
      <c r="A6" s="517"/>
      <c r="B6" s="517"/>
      <c r="C6" s="517"/>
      <c r="D6" s="517"/>
      <c r="E6" s="517"/>
      <c r="F6" s="517"/>
      <c r="G6" s="517"/>
      <c r="H6" s="517"/>
      <c r="I6" s="517"/>
    </row>
    <row r="7" spans="1:9">
      <c r="A7" s="517"/>
      <c r="B7" s="823"/>
      <c r="C7" s="823"/>
      <c r="D7" s="823"/>
      <c r="E7" s="823"/>
      <c r="F7" s="823"/>
      <c r="G7" s="823"/>
      <c r="H7" s="823"/>
      <c r="I7" s="517"/>
    </row>
    <row r="8" spans="1:9" ht="39" customHeight="1">
      <c r="A8" s="521"/>
      <c r="B8" s="815" t="s">
        <v>288</v>
      </c>
      <c r="C8" s="821" t="s">
        <v>374</v>
      </c>
      <c r="D8" s="822"/>
      <c r="E8" s="817" t="s">
        <v>289</v>
      </c>
      <c r="F8" s="818" t="s">
        <v>290</v>
      </c>
      <c r="G8" s="818" t="s">
        <v>375</v>
      </c>
      <c r="H8" s="818" t="s">
        <v>376</v>
      </c>
      <c r="I8" s="818" t="s">
        <v>291</v>
      </c>
    </row>
    <row r="9" spans="1:9" ht="19.5" customHeight="1">
      <c r="A9" s="522" t="s">
        <v>292</v>
      </c>
      <c r="B9" s="816"/>
      <c r="C9" s="511" t="s">
        <v>373</v>
      </c>
      <c r="D9" s="510" t="s">
        <v>25</v>
      </c>
      <c r="E9" s="816"/>
      <c r="F9" s="816"/>
      <c r="G9" s="816"/>
      <c r="H9" s="816"/>
      <c r="I9" s="816"/>
    </row>
    <row r="10" spans="1:9" ht="3.95" customHeight="1">
      <c r="A10" s="523"/>
      <c r="B10" s="520"/>
      <c r="C10" s="517"/>
      <c r="D10" s="517"/>
      <c r="E10" s="517"/>
      <c r="F10" s="517"/>
      <c r="G10" s="517"/>
      <c r="H10" s="517"/>
      <c r="I10" s="517"/>
    </row>
    <row r="11" spans="1:9">
      <c r="A11" s="357" t="s">
        <v>293</v>
      </c>
      <c r="B11" s="524">
        <v>9.7200000000000006</v>
      </c>
      <c r="C11" s="524">
        <v>107.45</v>
      </c>
      <c r="D11" s="524">
        <v>52.8</v>
      </c>
      <c r="E11" s="524">
        <v>40.519999999999996</v>
      </c>
      <c r="F11" s="524">
        <v>8.99</v>
      </c>
      <c r="G11" s="524">
        <v>2</v>
      </c>
      <c r="H11" s="524">
        <v>2.25</v>
      </c>
      <c r="I11" s="524">
        <f t="shared" ref="I11:I46" si="0">SUM(B11:H11)</f>
        <v>223.73000000000002</v>
      </c>
    </row>
    <row r="12" spans="1:9">
      <c r="A12" s="236" t="s">
        <v>294</v>
      </c>
      <c r="B12" s="525">
        <v>19.170000000000002</v>
      </c>
      <c r="C12" s="525">
        <v>170.37</v>
      </c>
      <c r="D12" s="525">
        <v>109.39</v>
      </c>
      <c r="E12" s="525">
        <v>67.319999999999993</v>
      </c>
      <c r="F12" s="525">
        <v>20.88</v>
      </c>
      <c r="G12" s="525">
        <v>6.64</v>
      </c>
      <c r="H12" s="525">
        <v>4.62</v>
      </c>
      <c r="I12" s="525">
        <f t="shared" si="0"/>
        <v>398.39</v>
      </c>
    </row>
    <row r="13" spans="1:9">
      <c r="A13" s="357" t="s">
        <v>295</v>
      </c>
      <c r="B13" s="524">
        <v>44.75</v>
      </c>
      <c r="C13" s="524">
        <v>600.21</v>
      </c>
      <c r="D13" s="524">
        <v>254.01</v>
      </c>
      <c r="E13" s="524">
        <v>121.83000000000001</v>
      </c>
      <c r="F13" s="524">
        <v>47.863</v>
      </c>
      <c r="G13" s="524">
        <v>21.25</v>
      </c>
      <c r="H13" s="524">
        <v>7</v>
      </c>
      <c r="I13" s="524">
        <f t="shared" si="0"/>
        <v>1096.913</v>
      </c>
    </row>
    <row r="14" spans="1:9">
      <c r="A14" s="236" t="s">
        <v>366</v>
      </c>
      <c r="B14" s="525">
        <v>52.42</v>
      </c>
      <c r="C14" s="525">
        <v>388.17</v>
      </c>
      <c r="D14" s="525">
        <v>264.95999999999998</v>
      </c>
      <c r="E14" s="525">
        <v>61.284999999999997</v>
      </c>
      <c r="F14" s="525">
        <v>52.29</v>
      </c>
      <c r="G14" s="525">
        <v>8.34</v>
      </c>
      <c r="H14" s="525">
        <v>6.8076923076923075</v>
      </c>
      <c r="I14" s="525">
        <f t="shared" si="0"/>
        <v>834.27269230769218</v>
      </c>
    </row>
    <row r="15" spans="1:9">
      <c r="A15" s="357" t="s">
        <v>296</v>
      </c>
      <c r="B15" s="524">
        <v>13.549999999999999</v>
      </c>
      <c r="C15" s="524">
        <v>102.48</v>
      </c>
      <c r="D15" s="524">
        <v>61.599999999999994</v>
      </c>
      <c r="E15" s="524">
        <v>36.549999999999997</v>
      </c>
      <c r="F15" s="524">
        <v>13.5</v>
      </c>
      <c r="G15" s="524">
        <v>2</v>
      </c>
      <c r="H15" s="524">
        <v>2</v>
      </c>
      <c r="I15" s="524">
        <f t="shared" si="0"/>
        <v>231.68</v>
      </c>
    </row>
    <row r="16" spans="1:9">
      <c r="A16" s="236" t="s">
        <v>297</v>
      </c>
      <c r="B16" s="525">
        <v>9.67</v>
      </c>
      <c r="C16" s="525">
        <v>71.5</v>
      </c>
      <c r="D16" s="525">
        <v>34</v>
      </c>
      <c r="E16" s="525">
        <v>21.3</v>
      </c>
      <c r="F16" s="525">
        <v>9.5</v>
      </c>
      <c r="G16" s="525">
        <v>1.8</v>
      </c>
      <c r="H16" s="525">
        <v>2</v>
      </c>
      <c r="I16" s="525">
        <f t="shared" si="0"/>
        <v>149.77000000000001</v>
      </c>
    </row>
    <row r="17" spans="1:9">
      <c r="A17" s="357" t="s">
        <v>298</v>
      </c>
      <c r="B17" s="524">
        <v>11</v>
      </c>
      <c r="C17" s="524">
        <v>93.29</v>
      </c>
      <c r="D17" s="524">
        <v>57.6</v>
      </c>
      <c r="E17" s="524">
        <v>49.93</v>
      </c>
      <c r="F17" s="524">
        <v>13.069999999999999</v>
      </c>
      <c r="G17" s="524">
        <v>2</v>
      </c>
      <c r="H17" s="524">
        <v>3</v>
      </c>
      <c r="I17" s="524">
        <f t="shared" si="0"/>
        <v>229.89000000000001</v>
      </c>
    </row>
    <row r="18" spans="1:9">
      <c r="A18" s="236" t="s">
        <v>299</v>
      </c>
      <c r="B18" s="525">
        <v>70.2</v>
      </c>
      <c r="C18" s="525">
        <v>469.4</v>
      </c>
      <c r="D18" s="525">
        <v>394.2</v>
      </c>
      <c r="E18" s="525">
        <v>284.85000000000002</v>
      </c>
      <c r="F18" s="525">
        <v>66.7</v>
      </c>
      <c r="G18" s="525">
        <v>11.7</v>
      </c>
      <c r="H18" s="525">
        <v>10.4</v>
      </c>
      <c r="I18" s="525">
        <f t="shared" si="0"/>
        <v>1307.4500000000003</v>
      </c>
    </row>
    <row r="19" spans="1:9">
      <c r="A19" s="357" t="s">
        <v>300</v>
      </c>
      <c r="B19" s="524">
        <v>21.5</v>
      </c>
      <c r="C19" s="524">
        <v>270.63000000000005</v>
      </c>
      <c r="D19" s="524">
        <v>134.59</v>
      </c>
      <c r="E19" s="524">
        <v>108.08</v>
      </c>
      <c r="F19" s="524">
        <v>18.5</v>
      </c>
      <c r="G19" s="524">
        <v>10</v>
      </c>
      <c r="H19" s="524">
        <v>8</v>
      </c>
      <c r="I19" s="524">
        <f t="shared" si="0"/>
        <v>571.30000000000007</v>
      </c>
    </row>
    <row r="20" spans="1:9">
      <c r="A20" s="236" t="s">
        <v>301</v>
      </c>
      <c r="B20" s="525">
        <v>46.94</v>
      </c>
      <c r="C20" s="525">
        <v>477.1</v>
      </c>
      <c r="D20" s="525">
        <v>184.89000000000001</v>
      </c>
      <c r="E20" s="525">
        <v>195.01</v>
      </c>
      <c r="F20" s="525">
        <v>76.72</v>
      </c>
      <c r="G20" s="525">
        <v>13.3</v>
      </c>
      <c r="H20" s="525">
        <v>10.33</v>
      </c>
      <c r="I20" s="525">
        <f t="shared" si="0"/>
        <v>1004.29</v>
      </c>
    </row>
    <row r="21" spans="1:9">
      <c r="A21" s="357" t="s">
        <v>302</v>
      </c>
      <c r="B21" s="524">
        <v>23</v>
      </c>
      <c r="C21" s="524">
        <v>212.08</v>
      </c>
      <c r="D21" s="524">
        <v>96.75</v>
      </c>
      <c r="E21" s="524">
        <v>74.5</v>
      </c>
      <c r="F21" s="524">
        <v>23.05</v>
      </c>
      <c r="G21" s="524">
        <v>6.5</v>
      </c>
      <c r="H21" s="524">
        <v>7</v>
      </c>
      <c r="I21" s="524">
        <f t="shared" si="0"/>
        <v>442.88000000000005</v>
      </c>
    </row>
    <row r="22" spans="1:9">
      <c r="A22" s="236" t="s">
        <v>303</v>
      </c>
      <c r="B22" s="525">
        <v>10.7</v>
      </c>
      <c r="C22" s="525">
        <v>110.7</v>
      </c>
      <c r="D22" s="525">
        <v>58.97</v>
      </c>
      <c r="E22" s="525">
        <v>36.5</v>
      </c>
      <c r="F22" s="525">
        <v>18.75</v>
      </c>
      <c r="G22" s="525">
        <v>2</v>
      </c>
      <c r="H22" s="525">
        <v>2</v>
      </c>
      <c r="I22" s="525">
        <f t="shared" si="0"/>
        <v>239.62</v>
      </c>
    </row>
    <row r="23" spans="1:9">
      <c r="A23" s="357" t="s">
        <v>304</v>
      </c>
      <c r="B23" s="524">
        <v>11.4</v>
      </c>
      <c r="C23" s="524">
        <v>89.1</v>
      </c>
      <c r="D23" s="524">
        <v>68.5</v>
      </c>
      <c r="E23" s="524">
        <v>35.700000000000003</v>
      </c>
      <c r="F23" s="524">
        <v>9.75</v>
      </c>
      <c r="G23" s="524">
        <v>3.5</v>
      </c>
      <c r="H23" s="524">
        <v>2</v>
      </c>
      <c r="I23" s="524">
        <f t="shared" si="0"/>
        <v>219.95</v>
      </c>
    </row>
    <row r="24" spans="1:9">
      <c r="A24" s="236" t="s">
        <v>305</v>
      </c>
      <c r="B24" s="525">
        <v>29</v>
      </c>
      <c r="C24" s="525">
        <v>312.35000000000002</v>
      </c>
      <c r="D24" s="525">
        <v>186.38</v>
      </c>
      <c r="E24" s="525">
        <v>124.91999999999999</v>
      </c>
      <c r="F24" s="525">
        <v>31.5</v>
      </c>
      <c r="G24" s="525">
        <v>11.5</v>
      </c>
      <c r="H24" s="525">
        <v>9</v>
      </c>
      <c r="I24" s="525">
        <f t="shared" si="0"/>
        <v>704.65</v>
      </c>
    </row>
    <row r="25" spans="1:9">
      <c r="A25" s="357" t="s">
        <v>306</v>
      </c>
      <c r="B25" s="524">
        <v>81</v>
      </c>
      <c r="C25" s="524">
        <v>908.52</v>
      </c>
      <c r="D25" s="524">
        <v>506.15</v>
      </c>
      <c r="E25" s="524">
        <v>168.53</v>
      </c>
      <c r="F25" s="524">
        <v>116.97</v>
      </c>
      <c r="G25" s="524">
        <v>33.18</v>
      </c>
      <c r="H25" s="524">
        <v>17</v>
      </c>
      <c r="I25" s="524">
        <f t="shared" si="0"/>
        <v>1831.3500000000001</v>
      </c>
    </row>
    <row r="26" spans="1:9">
      <c r="A26" s="236" t="s">
        <v>307</v>
      </c>
      <c r="B26" s="525">
        <v>28.130000000000003</v>
      </c>
      <c r="C26" s="525">
        <v>217.4</v>
      </c>
      <c r="D26" s="525">
        <v>121.93</v>
      </c>
      <c r="E26" s="525">
        <v>114.38</v>
      </c>
      <c r="F26" s="525">
        <v>24.71</v>
      </c>
      <c r="G26" s="525">
        <v>5.9</v>
      </c>
      <c r="H26" s="525">
        <v>5</v>
      </c>
      <c r="I26" s="525">
        <f t="shared" si="0"/>
        <v>517.45000000000005</v>
      </c>
    </row>
    <row r="27" spans="1:9">
      <c r="A27" s="357" t="s">
        <v>308</v>
      </c>
      <c r="B27" s="524">
        <v>19.5</v>
      </c>
      <c r="C27" s="524">
        <v>232</v>
      </c>
      <c r="D27" s="524">
        <v>94.9</v>
      </c>
      <c r="E27" s="524">
        <v>40.5</v>
      </c>
      <c r="F27" s="524">
        <v>25</v>
      </c>
      <c r="G27" s="524">
        <v>8.9</v>
      </c>
      <c r="H27" s="524">
        <v>6</v>
      </c>
      <c r="I27" s="524">
        <f t="shared" si="0"/>
        <v>426.79999999999995</v>
      </c>
    </row>
    <row r="28" spans="1:9">
      <c r="A28" s="236" t="s">
        <v>309</v>
      </c>
      <c r="B28" s="525">
        <v>15.55</v>
      </c>
      <c r="C28" s="525">
        <v>163.78</v>
      </c>
      <c r="D28" s="525">
        <v>95.44</v>
      </c>
      <c r="E28" s="525">
        <v>52.75</v>
      </c>
      <c r="F28" s="525">
        <v>17.599999999999998</v>
      </c>
      <c r="G28" s="525">
        <v>4.2</v>
      </c>
      <c r="H28" s="525">
        <v>4.2</v>
      </c>
      <c r="I28" s="525">
        <f t="shared" si="0"/>
        <v>353.52</v>
      </c>
    </row>
    <row r="29" spans="1:9">
      <c r="A29" s="357" t="s">
        <v>310</v>
      </c>
      <c r="B29" s="524">
        <v>73.55</v>
      </c>
      <c r="C29" s="524">
        <v>822.44999999999993</v>
      </c>
      <c r="D29" s="524">
        <v>430.53000000000003</v>
      </c>
      <c r="E29" s="524">
        <v>157.99</v>
      </c>
      <c r="F29" s="524">
        <v>100.34</v>
      </c>
      <c r="G29" s="524">
        <v>28.8</v>
      </c>
      <c r="H29" s="524">
        <v>19.93</v>
      </c>
      <c r="I29" s="524">
        <f t="shared" si="0"/>
        <v>1633.59</v>
      </c>
    </row>
    <row r="30" spans="1:9">
      <c r="A30" s="236" t="s">
        <v>311</v>
      </c>
      <c r="B30" s="525">
        <v>11.599999999999998</v>
      </c>
      <c r="C30" s="525">
        <v>74.72</v>
      </c>
      <c r="D30" s="525">
        <v>34.020000000000003</v>
      </c>
      <c r="E30" s="525">
        <v>37.5</v>
      </c>
      <c r="F30" s="525">
        <v>9.2899999999999991</v>
      </c>
      <c r="G30" s="525">
        <v>2.5</v>
      </c>
      <c r="H30" s="525">
        <v>2</v>
      </c>
      <c r="I30" s="525">
        <f t="shared" si="0"/>
        <v>171.63</v>
      </c>
    </row>
    <row r="31" spans="1:9">
      <c r="A31" s="357" t="s">
        <v>312</v>
      </c>
      <c r="B31" s="524">
        <v>21.71</v>
      </c>
      <c r="C31" s="524">
        <v>233.82</v>
      </c>
      <c r="D31" s="524">
        <v>141.43</v>
      </c>
      <c r="E31" s="524">
        <v>78.77000000000001</v>
      </c>
      <c r="F31" s="524">
        <v>20.12</v>
      </c>
      <c r="G31" s="524">
        <v>6.65</v>
      </c>
      <c r="H31" s="524">
        <v>6.14</v>
      </c>
      <c r="I31" s="524">
        <f t="shared" si="0"/>
        <v>508.64</v>
      </c>
    </row>
    <row r="32" spans="1:9">
      <c r="A32" s="236" t="s">
        <v>313</v>
      </c>
      <c r="B32" s="525">
        <v>14.999999999999998</v>
      </c>
      <c r="C32" s="525">
        <v>157.66</v>
      </c>
      <c r="D32" s="525">
        <v>85.929999999999993</v>
      </c>
      <c r="E32" s="525">
        <v>64.02</v>
      </c>
      <c r="F32" s="525">
        <v>19.11</v>
      </c>
      <c r="G32" s="525">
        <v>3.2</v>
      </c>
      <c r="H32" s="525">
        <v>5</v>
      </c>
      <c r="I32" s="525">
        <f t="shared" si="0"/>
        <v>349.91999999999996</v>
      </c>
    </row>
    <row r="33" spans="1:9">
      <c r="A33" s="357" t="s">
        <v>314</v>
      </c>
      <c r="B33" s="524">
        <v>19.43</v>
      </c>
      <c r="C33" s="524">
        <v>144.94</v>
      </c>
      <c r="D33" s="524">
        <v>99.38</v>
      </c>
      <c r="E33" s="524">
        <v>81.539999999999992</v>
      </c>
      <c r="F33" s="524">
        <v>19.54</v>
      </c>
      <c r="G33" s="524">
        <v>4.8499999999999996</v>
      </c>
      <c r="H33" s="524">
        <v>5.5</v>
      </c>
      <c r="I33" s="524">
        <f t="shared" si="0"/>
        <v>375.18</v>
      </c>
    </row>
    <row r="34" spans="1:9">
      <c r="A34" s="236" t="s">
        <v>315</v>
      </c>
      <c r="B34" s="525">
        <v>15.25</v>
      </c>
      <c r="C34" s="525">
        <v>148.45999999999998</v>
      </c>
      <c r="D34" s="525">
        <v>73.099999999999994</v>
      </c>
      <c r="E34" s="525">
        <v>79.75</v>
      </c>
      <c r="F34" s="525">
        <v>18.89</v>
      </c>
      <c r="G34" s="525">
        <v>4.5</v>
      </c>
      <c r="H34" s="525">
        <v>4</v>
      </c>
      <c r="I34" s="525">
        <f t="shared" si="0"/>
        <v>343.94999999999993</v>
      </c>
    </row>
    <row r="35" spans="1:9">
      <c r="A35" s="357" t="s">
        <v>316</v>
      </c>
      <c r="B35" s="524">
        <v>92.46</v>
      </c>
      <c r="C35" s="524">
        <v>1062.7500000000002</v>
      </c>
      <c r="D35" s="524">
        <v>412.42</v>
      </c>
      <c r="E35" s="524">
        <v>290.94</v>
      </c>
      <c r="F35" s="524">
        <v>122</v>
      </c>
      <c r="G35" s="524">
        <v>29.49</v>
      </c>
      <c r="H35" s="524">
        <v>15</v>
      </c>
      <c r="I35" s="524">
        <f t="shared" si="0"/>
        <v>2025.0600000000004</v>
      </c>
    </row>
    <row r="36" spans="1:9">
      <c r="A36" s="236" t="s">
        <v>317</v>
      </c>
      <c r="B36" s="525">
        <v>13.88</v>
      </c>
      <c r="C36" s="525">
        <v>123.96</v>
      </c>
      <c r="D36" s="525">
        <v>70.25</v>
      </c>
      <c r="E36" s="525">
        <v>59.569999999999993</v>
      </c>
      <c r="F36" s="525">
        <v>14.85</v>
      </c>
      <c r="G36" s="525">
        <v>2.25</v>
      </c>
      <c r="H36" s="525">
        <v>2.4</v>
      </c>
      <c r="I36" s="525">
        <f t="shared" si="0"/>
        <v>287.15999999999997</v>
      </c>
    </row>
    <row r="37" spans="1:9">
      <c r="A37" s="357" t="s">
        <v>318</v>
      </c>
      <c r="B37" s="524">
        <v>28</v>
      </c>
      <c r="C37" s="524">
        <v>262.45999999999998</v>
      </c>
      <c r="D37" s="524">
        <v>127.54</v>
      </c>
      <c r="E37" s="524">
        <v>118.8</v>
      </c>
      <c r="F37" s="524">
        <v>28.25</v>
      </c>
      <c r="G37" s="524">
        <v>9.5</v>
      </c>
      <c r="H37" s="524">
        <v>4</v>
      </c>
      <c r="I37" s="524">
        <f t="shared" si="0"/>
        <v>578.54999999999995</v>
      </c>
    </row>
    <row r="38" spans="1:9">
      <c r="A38" s="236" t="s">
        <v>319</v>
      </c>
      <c r="B38" s="525">
        <v>67.41</v>
      </c>
      <c r="C38" s="525">
        <v>700.5</v>
      </c>
      <c r="D38" s="525">
        <v>313.58</v>
      </c>
      <c r="E38" s="525">
        <v>145.07999999999998</v>
      </c>
      <c r="F38" s="525">
        <v>71.820000000000007</v>
      </c>
      <c r="G38" s="525">
        <v>27.520000000000003</v>
      </c>
      <c r="H38" s="525">
        <v>9</v>
      </c>
      <c r="I38" s="525">
        <f t="shared" si="0"/>
        <v>1334.9099999999999</v>
      </c>
    </row>
    <row r="39" spans="1:9">
      <c r="A39" s="357" t="s">
        <v>320</v>
      </c>
      <c r="B39" s="524">
        <v>11.55</v>
      </c>
      <c r="C39" s="524">
        <v>115.968</v>
      </c>
      <c r="D39" s="524">
        <v>55.1</v>
      </c>
      <c r="E39" s="524">
        <v>62.58</v>
      </c>
      <c r="F39" s="524">
        <v>14.5</v>
      </c>
      <c r="G39" s="524">
        <v>2.3199999999999998</v>
      </c>
      <c r="H39" s="524">
        <v>3.5</v>
      </c>
      <c r="I39" s="524">
        <f t="shared" si="0"/>
        <v>265.51799999999997</v>
      </c>
    </row>
    <row r="40" spans="1:9">
      <c r="A40" s="236" t="s">
        <v>321</v>
      </c>
      <c r="B40" s="525">
        <v>56.550000000000004</v>
      </c>
      <c r="C40" s="525">
        <v>544.51</v>
      </c>
      <c r="D40" s="525">
        <v>296.58</v>
      </c>
      <c r="E40" s="525">
        <v>98.63000000000001</v>
      </c>
      <c r="F40" s="525">
        <v>90.27000000000001</v>
      </c>
      <c r="G40" s="525">
        <v>26.62</v>
      </c>
      <c r="H40" s="525">
        <v>13</v>
      </c>
      <c r="I40" s="525">
        <f t="shared" si="0"/>
        <v>1126.1599999999999</v>
      </c>
    </row>
    <row r="41" spans="1:9">
      <c r="A41" s="357" t="s">
        <v>322</v>
      </c>
      <c r="B41" s="524">
        <v>27.98</v>
      </c>
      <c r="C41" s="524">
        <v>325.69</v>
      </c>
      <c r="D41" s="524">
        <v>144.05000000000001</v>
      </c>
      <c r="E41" s="524">
        <v>150.69499999999999</v>
      </c>
      <c r="F41" s="524">
        <v>40.25</v>
      </c>
      <c r="G41" s="524">
        <v>10.689999999999998</v>
      </c>
      <c r="H41" s="524">
        <v>6</v>
      </c>
      <c r="I41" s="524">
        <f t="shared" si="0"/>
        <v>705.35500000000002</v>
      </c>
    </row>
    <row r="42" spans="1:9">
      <c r="A42" s="236" t="s">
        <v>323</v>
      </c>
      <c r="B42" s="525">
        <v>11.26</v>
      </c>
      <c r="C42" s="525">
        <v>107.36999999999999</v>
      </c>
      <c r="D42" s="525">
        <v>65.509999999999991</v>
      </c>
      <c r="E42" s="525">
        <v>60.68</v>
      </c>
      <c r="F42" s="525">
        <v>18.680000000000003</v>
      </c>
      <c r="G42" s="525">
        <v>2.8</v>
      </c>
      <c r="H42" s="525">
        <v>3</v>
      </c>
      <c r="I42" s="525">
        <f t="shared" si="0"/>
        <v>269.3</v>
      </c>
    </row>
    <row r="43" spans="1:9">
      <c r="A43" s="357" t="s">
        <v>324</v>
      </c>
      <c r="B43" s="524">
        <v>6.71</v>
      </c>
      <c r="C43" s="524">
        <v>79.59</v>
      </c>
      <c r="D43" s="524">
        <v>40.65</v>
      </c>
      <c r="E43" s="524">
        <v>33.44</v>
      </c>
      <c r="F43" s="524">
        <v>7.1947000000000001</v>
      </c>
      <c r="G43" s="524">
        <v>3</v>
      </c>
      <c r="H43" s="524">
        <v>1</v>
      </c>
      <c r="I43" s="524">
        <f t="shared" si="0"/>
        <v>171.5847</v>
      </c>
    </row>
    <row r="44" spans="1:9">
      <c r="A44" s="236" t="s">
        <v>325</v>
      </c>
      <c r="B44" s="525">
        <v>5.85</v>
      </c>
      <c r="C44" s="525">
        <v>59.025000000000006</v>
      </c>
      <c r="D44" s="525">
        <v>45.6</v>
      </c>
      <c r="E44" s="525">
        <v>34.5</v>
      </c>
      <c r="F44" s="525">
        <v>7.339999999999999</v>
      </c>
      <c r="G44" s="525">
        <v>1.35</v>
      </c>
      <c r="H44" s="525">
        <v>2</v>
      </c>
      <c r="I44" s="525">
        <f t="shared" si="0"/>
        <v>155.66499999999999</v>
      </c>
    </row>
    <row r="45" spans="1:9">
      <c r="A45" s="357" t="s">
        <v>326</v>
      </c>
      <c r="B45" s="524">
        <v>10</v>
      </c>
      <c r="C45" s="524">
        <v>110.7</v>
      </c>
      <c r="D45" s="524">
        <v>66.67</v>
      </c>
      <c r="E45" s="524">
        <v>35.6</v>
      </c>
      <c r="F45" s="524">
        <v>10.98</v>
      </c>
      <c r="G45" s="524">
        <v>2.4000000000000004</v>
      </c>
      <c r="H45" s="524">
        <v>3</v>
      </c>
      <c r="I45" s="524">
        <f t="shared" si="0"/>
        <v>239.35</v>
      </c>
    </row>
    <row r="46" spans="1:9">
      <c r="A46" s="236" t="s">
        <v>327</v>
      </c>
      <c r="B46" s="525">
        <v>137.97</v>
      </c>
      <c r="C46" s="525">
        <v>2104</v>
      </c>
      <c r="D46" s="525">
        <v>1100</v>
      </c>
      <c r="E46" s="525">
        <v>645.43000000000006</v>
      </c>
      <c r="F46" s="525">
        <v>280.3</v>
      </c>
      <c r="G46" s="525">
        <v>85.49</v>
      </c>
      <c r="H46" s="525">
        <v>40.5</v>
      </c>
      <c r="I46" s="525">
        <f t="shared" si="0"/>
        <v>4393.6899999999996</v>
      </c>
    </row>
    <row r="47" spans="1:9" ht="6" customHeight="1">
      <c r="A47" s="129"/>
      <c r="B47" s="525"/>
      <c r="C47" s="525"/>
      <c r="D47" s="525"/>
      <c r="E47" s="525"/>
      <c r="F47" s="525"/>
      <c r="G47" s="525"/>
      <c r="H47" s="525"/>
      <c r="I47" s="525"/>
    </row>
    <row r="48" spans="1:9">
      <c r="A48" s="358" t="s">
        <v>222</v>
      </c>
      <c r="B48" s="526">
        <f t="shared" ref="B48:I48" si="1">SUM(B11:B46)</f>
        <v>1143.3599999999999</v>
      </c>
      <c r="C48" s="526">
        <f t="shared" si="1"/>
        <v>12175.103000000001</v>
      </c>
      <c r="D48" s="526">
        <f t="shared" si="1"/>
        <v>6379.4000000000005</v>
      </c>
      <c r="E48" s="526">
        <f t="shared" si="1"/>
        <v>3869.9700000000012</v>
      </c>
      <c r="F48" s="526">
        <f t="shared" si="1"/>
        <v>1489.0677000000001</v>
      </c>
      <c r="G48" s="526">
        <f t="shared" si="1"/>
        <v>408.64000000000004</v>
      </c>
      <c r="H48" s="526">
        <f t="shared" si="1"/>
        <v>253.5776923076923</v>
      </c>
      <c r="I48" s="526">
        <f t="shared" si="1"/>
        <v>25719.118392307686</v>
      </c>
    </row>
    <row r="49" spans="1:9" ht="6" customHeight="1">
      <c r="A49" s="517"/>
      <c r="B49" s="527"/>
      <c r="C49" s="527"/>
      <c r="D49" s="527"/>
      <c r="E49" s="527"/>
      <c r="F49" s="527"/>
      <c r="G49" s="527"/>
      <c r="H49" s="527"/>
      <c r="I49" s="527"/>
    </row>
    <row r="50" spans="1:9">
      <c r="A50" s="528" t="s">
        <v>328</v>
      </c>
      <c r="B50" s="525">
        <v>1.9899999999999998</v>
      </c>
      <c r="C50" s="525">
        <v>20.71</v>
      </c>
      <c r="D50" s="525">
        <v>9.0399999999999991</v>
      </c>
      <c r="E50" s="525">
        <v>4.67</v>
      </c>
      <c r="F50" s="525">
        <v>3.1699999999999995</v>
      </c>
      <c r="G50" s="525">
        <v>0.26</v>
      </c>
      <c r="H50" s="525">
        <v>0</v>
      </c>
      <c r="I50" s="525">
        <f>SUM(B50:H50)</f>
        <v>39.839999999999996</v>
      </c>
    </row>
    <row r="51" spans="1:9">
      <c r="A51" s="529" t="s">
        <v>329</v>
      </c>
      <c r="B51" s="524">
        <v>17</v>
      </c>
      <c r="C51" s="524">
        <v>34.5</v>
      </c>
      <c r="D51" s="524">
        <v>11</v>
      </c>
      <c r="E51" s="524">
        <v>23</v>
      </c>
      <c r="F51" s="524">
        <v>22.5</v>
      </c>
      <c r="G51" s="524">
        <v>0</v>
      </c>
      <c r="H51" s="524">
        <v>3</v>
      </c>
      <c r="I51" s="524">
        <f>SUM(B51:H51)</f>
        <v>111</v>
      </c>
    </row>
    <row r="52" spans="1:9" ht="49.5" customHeight="1">
      <c r="A52" s="482"/>
      <c r="B52" s="482"/>
      <c r="C52" s="483">
        <v>0</v>
      </c>
      <c r="D52" s="482"/>
      <c r="E52" s="482"/>
      <c r="F52" s="482"/>
      <c r="G52" s="482"/>
      <c r="H52" s="482"/>
      <c r="I52" s="482"/>
    </row>
    <row r="53" spans="1:9">
      <c r="A53" s="819" t="s">
        <v>405</v>
      </c>
      <c r="B53" s="819"/>
      <c r="C53" s="819"/>
      <c r="D53" s="819"/>
      <c r="E53" s="819"/>
      <c r="F53" s="819"/>
      <c r="G53" s="819"/>
      <c r="H53" s="819"/>
      <c r="I53" s="819"/>
    </row>
    <row r="54" spans="1:9" ht="11.25" customHeight="1">
      <c r="A54" s="820"/>
      <c r="B54" s="820"/>
      <c r="C54" s="820"/>
      <c r="D54" s="820"/>
      <c r="E54" s="820"/>
      <c r="F54" s="820"/>
      <c r="G54" s="820"/>
      <c r="H54" s="820"/>
      <c r="I54" s="820"/>
    </row>
    <row r="55" spans="1:9">
      <c r="A55" s="132" t="s">
        <v>382</v>
      </c>
      <c r="B55" s="480"/>
      <c r="C55" s="484"/>
    </row>
    <row r="56" spans="1:9">
      <c r="A56" s="132" t="s">
        <v>406</v>
      </c>
      <c r="B56" s="480"/>
      <c r="C56" s="484"/>
    </row>
  </sheetData>
  <mergeCells count="11">
    <mergeCell ref="A53:I54"/>
    <mergeCell ref="H8:H9"/>
    <mergeCell ref="C8:D8"/>
    <mergeCell ref="I8:I9"/>
    <mergeCell ref="B7:H7"/>
    <mergeCell ref="A2:H2"/>
    <mergeCell ref="A3:H3"/>
    <mergeCell ref="B8:B9"/>
    <mergeCell ref="E8:E9"/>
    <mergeCell ref="F8:F9"/>
    <mergeCell ref="G8:G9"/>
  </mergeCells>
  <phoneticPr fontId="6" type="noConversion"/>
  <pageMargins left="0.51181102362204722" right="0.51181102362204722" top="0.59055118110236227" bottom="0.19685039370078741" header="0.31496062992125984" footer="0.51181102362204722"/>
  <pageSetup scale="87" orientation="portrait" r:id="rId1"/>
  <headerFooter alignWithMargins="0">
    <oddHeader>&amp;C&amp;"Arial,Regular"&amp;11&amp;A</oddHeader>
  </headerFooter>
</worksheet>
</file>

<file path=xl/worksheets/sheet58.xml><?xml version="1.0" encoding="utf-8"?>
<worksheet xmlns="http://schemas.openxmlformats.org/spreadsheetml/2006/main" xmlns:r="http://schemas.openxmlformats.org/officeDocument/2006/relationships">
  <sheetPr codeName="Sheet55"/>
  <dimension ref="A1:M57"/>
  <sheetViews>
    <sheetView showGridLines="0" workbookViewId="0"/>
  </sheetViews>
  <sheetFormatPr defaultColWidth="19.83203125" defaultRowHeight="12"/>
  <cols>
    <col min="1" max="1" width="30.83203125" style="458" customWidth="1"/>
    <col min="2" max="2" width="17" style="458" customWidth="1"/>
    <col min="3" max="3" width="12" style="458" customWidth="1"/>
    <col min="4" max="4" width="16.83203125" style="458" customWidth="1"/>
    <col min="5" max="5" width="11.5" style="458" customWidth="1"/>
    <col min="6" max="6" width="13.33203125" style="458" customWidth="1"/>
    <col min="7" max="7" width="12.5" style="458" customWidth="1"/>
    <col min="8" max="9" width="19.83203125" style="458"/>
    <col min="10" max="10" width="25.5" style="458" bestFit="1" customWidth="1"/>
    <col min="11" max="11" width="21.1640625" style="458" bestFit="1" customWidth="1"/>
    <col min="12" max="16384" width="19.83203125" style="458"/>
  </cols>
  <sheetData>
    <row r="1" spans="1:13" ht="6.95" customHeight="1">
      <c r="A1" s="456"/>
      <c r="B1" s="457"/>
      <c r="C1" s="457"/>
    </row>
    <row r="2" spans="1:13" ht="15.95" customHeight="1">
      <c r="A2" s="459" t="s">
        <v>330</v>
      </c>
      <c r="B2" s="460"/>
      <c r="C2" s="460"/>
      <c r="D2" s="460"/>
      <c r="E2" s="460"/>
      <c r="F2" s="460"/>
      <c r="G2" s="460"/>
    </row>
    <row r="3" spans="1:13" ht="15.95" customHeight="1">
      <c r="A3" s="548" t="str">
        <f>+'- 66 -'!A3</f>
        <v>2013/14 AND 2014/15 ACTUAL</v>
      </c>
      <c r="B3" s="461"/>
      <c r="C3" s="461"/>
      <c r="D3" s="461"/>
      <c r="E3" s="461"/>
      <c r="F3" s="461"/>
      <c r="G3" s="461"/>
    </row>
    <row r="4" spans="1:13" ht="15.95" customHeight="1">
      <c r="B4" s="457"/>
      <c r="C4" s="457"/>
      <c r="J4" s="502"/>
      <c r="K4" s="502"/>
      <c r="L4" s="502"/>
      <c r="M4" s="502"/>
    </row>
    <row r="5" spans="1:13" ht="12" customHeight="1">
      <c r="B5" s="457"/>
      <c r="C5" s="457"/>
      <c r="J5" s="502"/>
      <c r="K5" s="502"/>
      <c r="L5" s="502"/>
      <c r="M5" s="502"/>
    </row>
    <row r="6" spans="1:13" ht="15.75" customHeight="1">
      <c r="B6" s="830" t="s">
        <v>636</v>
      </c>
      <c r="C6" s="831"/>
      <c r="D6" s="831"/>
      <c r="E6" s="832"/>
      <c r="F6" s="824" t="s">
        <v>635</v>
      </c>
      <c r="G6" s="825"/>
      <c r="J6" s="503"/>
      <c r="K6" s="502" t="str">
        <f>+'- 15 -'!E6</f>
        <v>STUDENT SUPPORT
 SERVICES</v>
      </c>
      <c r="L6" s="502" t="str">
        <f>+'- 16 -'!G6</f>
        <v>INSTRUCTIONAL &amp; OTHER 
SUPPORT SERVICES</v>
      </c>
      <c r="M6" s="502"/>
    </row>
    <row r="7" spans="1:13">
      <c r="B7" s="833"/>
      <c r="C7" s="826"/>
      <c r="D7" s="826"/>
      <c r="E7" s="834"/>
      <c r="F7" s="826"/>
      <c r="G7" s="827"/>
      <c r="J7" s="503" t="str">
        <f>+'- 15 -'!B7</f>
        <v>REGULAR INSTRUCTION</v>
      </c>
      <c r="K7" s="502">
        <f>+'- 15 -'!E7</f>
        <v>0</v>
      </c>
      <c r="L7" s="502">
        <f>+'- 16 -'!G7</f>
        <v>0</v>
      </c>
      <c r="M7" s="502"/>
    </row>
    <row r="8" spans="1:13">
      <c r="A8" s="573"/>
      <c r="B8" s="835"/>
      <c r="C8" s="836"/>
      <c r="D8" s="836"/>
      <c r="E8" s="837"/>
      <c r="F8" s="828"/>
      <c r="G8" s="829"/>
      <c r="J8" s="503"/>
      <c r="K8" s="502"/>
      <c r="L8" s="502"/>
      <c r="M8" s="502"/>
    </row>
    <row r="9" spans="1:13" ht="29.25" customHeight="1">
      <c r="A9" s="462" t="s">
        <v>43</v>
      </c>
      <c r="B9" s="574" t="str">
        <f>+'- 66 -'!B9</f>
        <v>2013/14</v>
      </c>
      <c r="C9" s="575" t="s">
        <v>383</v>
      </c>
      <c r="D9" s="574" t="str">
        <f>+'- 66 -'!C9</f>
        <v>2014/15</v>
      </c>
      <c r="E9" s="575" t="s">
        <v>383</v>
      </c>
      <c r="F9" s="479" t="str">
        <f>+B9</f>
        <v>2013/14</v>
      </c>
      <c r="G9" s="479" t="str">
        <f>+D9</f>
        <v>2014/15</v>
      </c>
      <c r="J9" s="502"/>
      <c r="K9" s="502"/>
      <c r="L9" s="502"/>
      <c r="M9" s="502"/>
    </row>
    <row r="10" spans="1:13" ht="5.0999999999999996" customHeight="1">
      <c r="A10" s="463"/>
      <c r="B10" s="464"/>
      <c r="C10" s="464"/>
      <c r="D10" s="456"/>
      <c r="E10" s="456"/>
      <c r="F10" s="456"/>
      <c r="J10" s="502"/>
      <c r="K10" s="502"/>
      <c r="L10" s="502"/>
      <c r="M10" s="502"/>
    </row>
    <row r="11" spans="1:13" ht="14.1" customHeight="1">
      <c r="A11" s="473" t="s">
        <v>111</v>
      </c>
      <c r="B11" s="474">
        <v>12778822</v>
      </c>
      <c r="C11" s="475">
        <v>76.802987106246235</v>
      </c>
      <c r="D11" s="474">
        <v>13475154</v>
      </c>
      <c r="E11" s="475">
        <f>+D11/'- 3 -'!F11*100</f>
        <v>77.157416967543753</v>
      </c>
      <c r="F11" s="474">
        <v>8616.872555630478</v>
      </c>
      <c r="G11" s="474">
        <f>+D11/'- 7 -'!E11</f>
        <v>8427.2382739212007</v>
      </c>
      <c r="I11" s="465" t="str">
        <f>IF(D11=M11,"",M11-D11)</f>
        <v/>
      </c>
      <c r="J11" s="503">
        <f>+'- 15 -'!B11</f>
        <v>10874487</v>
      </c>
      <c r="K11" s="502">
        <f>+'- 15 -'!E11</f>
        <v>2251337</v>
      </c>
      <c r="L11" s="502">
        <f>+'- 16 -'!G11</f>
        <v>349330</v>
      </c>
      <c r="M11" s="503">
        <f>+J11+K11+L11</f>
        <v>13475154</v>
      </c>
    </row>
    <row r="12" spans="1:13" ht="14.1" customHeight="1">
      <c r="A12" s="466" t="s">
        <v>112</v>
      </c>
      <c r="B12" s="467">
        <v>22341480</v>
      </c>
      <c r="C12" s="468">
        <v>76.483197319910516</v>
      </c>
      <c r="D12" s="467">
        <v>23566799</v>
      </c>
      <c r="E12" s="468">
        <f>+D12/'- 3 -'!F12*100</f>
        <v>75.97059084264022</v>
      </c>
      <c r="F12" s="467">
        <v>10209.980806142034</v>
      </c>
      <c r="G12" s="467">
        <f>+D12/'- 7 -'!E12</f>
        <v>11044.521042272005</v>
      </c>
      <c r="I12" s="465" t="str">
        <f>IF(D12=M12,"",M12-D12)</f>
        <v/>
      </c>
      <c r="J12" s="503">
        <f>+'- 15 -'!B12</f>
        <v>18041595</v>
      </c>
      <c r="K12" s="502">
        <f>+'- 15 -'!E12</f>
        <v>4785918</v>
      </c>
      <c r="L12" s="502">
        <f>+'- 16 -'!G12</f>
        <v>739286</v>
      </c>
      <c r="M12" s="503">
        <f t="shared" ref="M12:M48" si="0">+J12+K12+L12</f>
        <v>23566799</v>
      </c>
    </row>
    <row r="13" spans="1:13" ht="14.1" customHeight="1">
      <c r="A13" s="473" t="s">
        <v>113</v>
      </c>
      <c r="B13" s="474">
        <v>70652108</v>
      </c>
      <c r="C13" s="475">
        <v>84.489019140933394</v>
      </c>
      <c r="D13" s="474">
        <v>72657627</v>
      </c>
      <c r="E13" s="475">
        <f>+D13/'- 3 -'!F13*100</f>
        <v>84.23942503010359</v>
      </c>
      <c r="F13" s="474">
        <v>8830.9615649021944</v>
      </c>
      <c r="G13" s="474">
        <f>+D13/'- 7 -'!E13</f>
        <v>9019.0698857994048</v>
      </c>
      <c r="I13" s="465" t="str">
        <f t="shared" ref="I13:I48" si="1">IF(D13=M13,"",M13-D13)</f>
        <v/>
      </c>
      <c r="J13" s="503">
        <f>+'- 15 -'!B13</f>
        <v>52357219</v>
      </c>
      <c r="K13" s="502">
        <f>+'- 15 -'!E13</f>
        <v>17815990</v>
      </c>
      <c r="L13" s="502">
        <f>+'- 16 -'!G13</f>
        <v>2484418</v>
      </c>
      <c r="M13" s="504">
        <f t="shared" si="0"/>
        <v>72657627</v>
      </c>
    </row>
    <row r="14" spans="1:13" ht="14.1" customHeight="1">
      <c r="A14" s="466" t="s">
        <v>365</v>
      </c>
      <c r="B14" s="467">
        <v>52593647</v>
      </c>
      <c r="C14" s="468">
        <v>73.156759711049872</v>
      </c>
      <c r="D14" s="467">
        <v>56583320</v>
      </c>
      <c r="E14" s="468">
        <f>+D14/'- 3 -'!F14*100</f>
        <v>74.173170715817065</v>
      </c>
      <c r="F14" s="467">
        <v>10112.218227263988</v>
      </c>
      <c r="G14" s="467">
        <f>+D14/'- 7 -'!E14</f>
        <v>10798.343511450381</v>
      </c>
      <c r="I14" s="465" t="str">
        <f t="shared" si="1"/>
        <v/>
      </c>
      <c r="J14" s="503">
        <f>+'- 15 -'!B14</f>
        <v>44937727</v>
      </c>
      <c r="K14" s="502">
        <f>+'- 15 -'!E14</f>
        <v>8931738</v>
      </c>
      <c r="L14" s="502">
        <f>+'- 16 -'!G14</f>
        <v>2713855</v>
      </c>
      <c r="M14" s="503">
        <f t="shared" si="0"/>
        <v>56583320</v>
      </c>
    </row>
    <row r="15" spans="1:13" ht="14.1" customHeight="1">
      <c r="A15" s="473" t="s">
        <v>114</v>
      </c>
      <c r="B15" s="474">
        <v>14010874</v>
      </c>
      <c r="C15" s="475">
        <v>74.075295563668845</v>
      </c>
      <c r="D15" s="474">
        <v>14192983</v>
      </c>
      <c r="E15" s="475">
        <f>+D15/'- 3 -'!F15*100</f>
        <v>72.415413843131375</v>
      </c>
      <c r="F15" s="474">
        <v>9393.8142809252422</v>
      </c>
      <c r="G15" s="474">
        <f>+D15/'- 7 -'!E15</f>
        <v>9771.4168674698794</v>
      </c>
      <c r="I15" s="465" t="str">
        <f t="shared" si="1"/>
        <v/>
      </c>
      <c r="J15" s="503">
        <f>+'- 15 -'!B15</f>
        <v>10289674</v>
      </c>
      <c r="K15" s="502">
        <f>+'- 15 -'!E15</f>
        <v>3259555</v>
      </c>
      <c r="L15" s="502">
        <f>+'- 16 -'!G15</f>
        <v>643754</v>
      </c>
      <c r="M15" s="503">
        <f t="shared" si="0"/>
        <v>14192983</v>
      </c>
    </row>
    <row r="16" spans="1:13" ht="14.1" customHeight="1">
      <c r="A16" s="466" t="s">
        <v>115</v>
      </c>
      <c r="B16" s="467">
        <v>9641434</v>
      </c>
      <c r="C16" s="468">
        <v>74.592406167967326</v>
      </c>
      <c r="D16" s="467">
        <v>9951682</v>
      </c>
      <c r="E16" s="468">
        <f>+D16/'- 3 -'!F16*100</f>
        <v>73.64894057438832</v>
      </c>
      <c r="F16" s="467">
        <v>10022.280665280665</v>
      </c>
      <c r="G16" s="467">
        <f>+D16/'- 7 -'!E16</f>
        <v>10895.206919202978</v>
      </c>
      <c r="I16" s="465" t="str">
        <f t="shared" si="1"/>
        <v/>
      </c>
      <c r="J16" s="503">
        <f>+'- 15 -'!B16</f>
        <v>7359113</v>
      </c>
      <c r="K16" s="502">
        <f>+'- 15 -'!E16</f>
        <v>2293938</v>
      </c>
      <c r="L16" s="502">
        <f>+'- 16 -'!G16</f>
        <v>298631</v>
      </c>
      <c r="M16" s="503">
        <f t="shared" si="0"/>
        <v>9951682</v>
      </c>
    </row>
    <row r="17" spans="1:13" ht="14.1" customHeight="1">
      <c r="A17" s="473" t="s">
        <v>116</v>
      </c>
      <c r="B17" s="474">
        <v>11856339</v>
      </c>
      <c r="C17" s="475">
        <v>73.672213755655591</v>
      </c>
      <c r="D17" s="474">
        <v>12554690</v>
      </c>
      <c r="E17" s="475">
        <f>+D17/'- 3 -'!F17*100</f>
        <v>73.775090246703996</v>
      </c>
      <c r="F17" s="474">
        <v>9212.6913983149625</v>
      </c>
      <c r="G17" s="474">
        <f>+D17/'- 7 -'!E17</f>
        <v>9397.2230538922158</v>
      </c>
      <c r="I17" s="465" t="str">
        <f t="shared" si="1"/>
        <v/>
      </c>
      <c r="J17" s="503">
        <f>+'- 15 -'!B17</f>
        <v>9671261</v>
      </c>
      <c r="K17" s="502">
        <f>+'- 15 -'!E17</f>
        <v>2131825</v>
      </c>
      <c r="L17" s="502">
        <f>+'- 16 -'!G17</f>
        <v>751604</v>
      </c>
      <c r="M17" s="503">
        <f t="shared" si="0"/>
        <v>12554690</v>
      </c>
    </row>
    <row r="18" spans="1:13" ht="14.1" customHeight="1">
      <c r="A18" s="466" t="s">
        <v>117</v>
      </c>
      <c r="B18" s="467">
        <v>75510603</v>
      </c>
      <c r="C18" s="468">
        <v>66.057602241562989</v>
      </c>
      <c r="D18" s="467">
        <v>76373265</v>
      </c>
      <c r="E18" s="468">
        <f>+D18/'- 3 -'!F18*100</f>
        <v>64.924555824765633</v>
      </c>
      <c r="F18" s="467">
        <v>12448.581061030696</v>
      </c>
      <c r="G18" s="467">
        <f>+D18/'- 7 -'!E18</f>
        <v>12585.673511560955</v>
      </c>
      <c r="I18" s="465" t="str">
        <f t="shared" si="1"/>
        <v/>
      </c>
      <c r="J18" s="503">
        <f>+'- 15 -'!B18</f>
        <v>51967984</v>
      </c>
      <c r="K18" s="502">
        <f>+'- 15 -'!E18</f>
        <v>18111839</v>
      </c>
      <c r="L18" s="502">
        <f>+'- 16 -'!G18</f>
        <v>6293442</v>
      </c>
      <c r="M18" s="503">
        <f t="shared" si="0"/>
        <v>76373265</v>
      </c>
    </row>
    <row r="19" spans="1:13" ht="14.1" customHeight="1">
      <c r="A19" s="473" t="s">
        <v>118</v>
      </c>
      <c r="B19" s="474">
        <v>34885851</v>
      </c>
      <c r="C19" s="475">
        <v>80.685573112286392</v>
      </c>
      <c r="D19" s="474">
        <v>34364304</v>
      </c>
      <c r="E19" s="475">
        <f>+D19/'- 3 -'!F19*100</f>
        <v>79.892065296004304</v>
      </c>
      <c r="F19" s="474">
        <v>8319.6248688352571</v>
      </c>
      <c r="G19" s="474">
        <f>+D19/'- 7 -'!E19</f>
        <v>8152.2795530567219</v>
      </c>
      <c r="I19" s="465" t="str">
        <f t="shared" si="1"/>
        <v/>
      </c>
      <c r="J19" s="503">
        <f>+'- 15 -'!B19</f>
        <v>25537347</v>
      </c>
      <c r="K19" s="502">
        <f>+'- 15 -'!E19</f>
        <v>7767024</v>
      </c>
      <c r="L19" s="502">
        <f>+'- 16 -'!G19</f>
        <v>1059933</v>
      </c>
      <c r="M19" s="503">
        <f t="shared" si="0"/>
        <v>34364304</v>
      </c>
    </row>
    <row r="20" spans="1:13" ht="14.1" customHeight="1">
      <c r="A20" s="466" t="s">
        <v>119</v>
      </c>
      <c r="B20" s="467">
        <v>55984320</v>
      </c>
      <c r="C20" s="468">
        <v>79.424574629313554</v>
      </c>
      <c r="D20" s="467">
        <v>59107219</v>
      </c>
      <c r="E20" s="468">
        <f>+D20/'- 3 -'!F20*100</f>
        <v>79.358012477905987</v>
      </c>
      <c r="F20" s="467">
        <v>7586.9792654831281</v>
      </c>
      <c r="G20" s="467">
        <f>+D20/'- 7 -'!E20</f>
        <v>8018.8873965540633</v>
      </c>
      <c r="I20" s="465" t="str">
        <f t="shared" si="1"/>
        <v/>
      </c>
      <c r="J20" s="503">
        <f>+'- 15 -'!B20</f>
        <v>47705377</v>
      </c>
      <c r="K20" s="502">
        <f>+'- 15 -'!E20</f>
        <v>9327766</v>
      </c>
      <c r="L20" s="502">
        <f>+'- 16 -'!G20</f>
        <v>2074076</v>
      </c>
      <c r="M20" s="503">
        <f t="shared" si="0"/>
        <v>59107219</v>
      </c>
    </row>
    <row r="21" spans="1:13" ht="14.1" customHeight="1">
      <c r="A21" s="473" t="s">
        <v>120</v>
      </c>
      <c r="B21" s="474">
        <v>26201614</v>
      </c>
      <c r="C21" s="475">
        <v>76.198976658434006</v>
      </c>
      <c r="D21" s="474">
        <v>26801402</v>
      </c>
      <c r="E21" s="475">
        <f>+D21/'- 3 -'!F21*100</f>
        <v>77.566860655674844</v>
      </c>
      <c r="F21" s="474">
        <v>9693.5308916019239</v>
      </c>
      <c r="G21" s="474">
        <f>+D21/'- 7 -'!E21</f>
        <v>10011.730295106463</v>
      </c>
      <c r="I21" s="465" t="str">
        <f t="shared" si="1"/>
        <v/>
      </c>
      <c r="J21" s="503">
        <f>+'- 15 -'!B21</f>
        <v>19622745</v>
      </c>
      <c r="K21" s="502">
        <f>+'- 15 -'!E21</f>
        <v>5626546</v>
      </c>
      <c r="L21" s="502">
        <f>+'- 16 -'!G21</f>
        <v>1552111</v>
      </c>
      <c r="M21" s="503">
        <f t="shared" si="0"/>
        <v>26801402</v>
      </c>
    </row>
    <row r="22" spans="1:13" ht="14.1" customHeight="1">
      <c r="A22" s="466" t="s">
        <v>121</v>
      </c>
      <c r="B22" s="467">
        <v>14562510</v>
      </c>
      <c r="C22" s="468">
        <v>78.205218192274657</v>
      </c>
      <c r="D22" s="467">
        <v>14669909</v>
      </c>
      <c r="E22" s="468">
        <f>+D22/'- 3 -'!F22*100</f>
        <v>77.908625308383577</v>
      </c>
      <c r="F22" s="467">
        <v>9286.1305955872976</v>
      </c>
      <c r="G22" s="467">
        <f>+D22/'- 7 -'!E22</f>
        <v>9576.2836999804167</v>
      </c>
      <c r="I22" s="465" t="str">
        <f t="shared" si="1"/>
        <v/>
      </c>
      <c r="J22" s="503">
        <f>+'- 15 -'!B22</f>
        <v>9745555</v>
      </c>
      <c r="K22" s="502">
        <f>+'- 15 -'!E22</f>
        <v>4455832</v>
      </c>
      <c r="L22" s="502">
        <f>+'- 16 -'!G22</f>
        <v>468522</v>
      </c>
      <c r="M22" s="503">
        <f t="shared" si="0"/>
        <v>14669909</v>
      </c>
    </row>
    <row r="23" spans="1:13" ht="14.1" customHeight="1">
      <c r="A23" s="473" t="s">
        <v>122</v>
      </c>
      <c r="B23" s="474">
        <v>11734321</v>
      </c>
      <c r="C23" s="475">
        <v>74.855708628265518</v>
      </c>
      <c r="D23" s="474">
        <v>11705100</v>
      </c>
      <c r="E23" s="475">
        <f>+D23/'- 3 -'!F23*100</f>
        <v>74.533072279843097</v>
      </c>
      <c r="F23" s="474">
        <v>10147.285541335177</v>
      </c>
      <c r="G23" s="474">
        <f>+D23/'- 7 -'!E23</f>
        <v>10432.35294117647</v>
      </c>
      <c r="I23" s="465" t="str">
        <f t="shared" si="1"/>
        <v/>
      </c>
      <c r="J23" s="503">
        <f>+'- 15 -'!B23</f>
        <v>8571366</v>
      </c>
      <c r="K23" s="502">
        <f>+'- 15 -'!E23</f>
        <v>2639498</v>
      </c>
      <c r="L23" s="502">
        <f>+'- 16 -'!G23</f>
        <v>494236</v>
      </c>
      <c r="M23" s="503">
        <f t="shared" si="0"/>
        <v>11705100</v>
      </c>
    </row>
    <row r="24" spans="1:13" ht="14.1" customHeight="1">
      <c r="A24" s="466" t="s">
        <v>123</v>
      </c>
      <c r="B24" s="467">
        <v>40714952</v>
      </c>
      <c r="C24" s="468">
        <v>79.034404397171571</v>
      </c>
      <c r="D24" s="467">
        <v>41711737</v>
      </c>
      <c r="E24" s="468">
        <f>+D24/'- 3 -'!F24*100</f>
        <v>78.126482838268814</v>
      </c>
      <c r="F24" s="467">
        <v>9872.9241737190532</v>
      </c>
      <c r="G24" s="467">
        <f>+D24/'- 7 -'!E24</f>
        <v>10306.574337179709</v>
      </c>
      <c r="I24" s="465" t="str">
        <f t="shared" si="1"/>
        <v/>
      </c>
      <c r="J24" s="503">
        <f>+'- 15 -'!B24</f>
        <v>31224512</v>
      </c>
      <c r="K24" s="502">
        <f>+'- 15 -'!E24</f>
        <v>9010382</v>
      </c>
      <c r="L24" s="502">
        <f>+'- 16 -'!G24</f>
        <v>1476843</v>
      </c>
      <c r="M24" s="503">
        <f t="shared" si="0"/>
        <v>41711737</v>
      </c>
    </row>
    <row r="25" spans="1:13" ht="14.1" customHeight="1">
      <c r="A25" s="473" t="s">
        <v>124</v>
      </c>
      <c r="B25" s="474">
        <v>124715472</v>
      </c>
      <c r="C25" s="475">
        <v>81.541160879424851</v>
      </c>
      <c r="D25" s="474">
        <v>127666927</v>
      </c>
      <c r="E25" s="475">
        <f>+D25/'- 3 -'!F25*100</f>
        <v>81.093709304684452</v>
      </c>
      <c r="F25" s="474">
        <v>9021.0106329113933</v>
      </c>
      <c r="G25" s="474">
        <f>+D25/'- 7 -'!E25</f>
        <v>9188.7034597917082</v>
      </c>
      <c r="I25" s="465" t="str">
        <f t="shared" si="1"/>
        <v/>
      </c>
      <c r="J25" s="503">
        <f>+'- 15 -'!B25</f>
        <v>88297129</v>
      </c>
      <c r="K25" s="502">
        <f>+'- 15 -'!E25</f>
        <v>32240610</v>
      </c>
      <c r="L25" s="502">
        <f>+'- 16 -'!G25</f>
        <v>7129188</v>
      </c>
      <c r="M25" s="503">
        <f t="shared" si="0"/>
        <v>127666927</v>
      </c>
    </row>
    <row r="26" spans="1:13" ht="14.1" customHeight="1">
      <c r="A26" s="466" t="s">
        <v>125</v>
      </c>
      <c r="B26" s="467">
        <v>27763701</v>
      </c>
      <c r="C26" s="468">
        <v>74.027889542501441</v>
      </c>
      <c r="D26" s="467">
        <v>28466792</v>
      </c>
      <c r="E26" s="468">
        <f>+D26/'- 3 -'!F26*100</f>
        <v>73.364473408450664</v>
      </c>
      <c r="F26" s="467">
        <v>8910.0452503209235</v>
      </c>
      <c r="G26" s="467">
        <f>+D26/'- 7 -'!E26</f>
        <v>9160.6732099758647</v>
      </c>
      <c r="I26" s="465" t="str">
        <f t="shared" si="1"/>
        <v/>
      </c>
      <c r="J26" s="503">
        <f>+'- 15 -'!B26</f>
        <v>21957752</v>
      </c>
      <c r="K26" s="502">
        <f>+'- 15 -'!E26</f>
        <v>5313020</v>
      </c>
      <c r="L26" s="502">
        <f>+'- 16 -'!G26</f>
        <v>1196020</v>
      </c>
      <c r="M26" s="503">
        <f t="shared" si="0"/>
        <v>28466792</v>
      </c>
    </row>
    <row r="27" spans="1:13" ht="14.1" customHeight="1">
      <c r="A27" s="473" t="s">
        <v>126</v>
      </c>
      <c r="B27" s="474">
        <v>30221397</v>
      </c>
      <c r="C27" s="475">
        <v>82.200681429012647</v>
      </c>
      <c r="D27" s="474">
        <v>31429822</v>
      </c>
      <c r="E27" s="475">
        <f>+D27/'- 3 -'!F27*100</f>
        <v>80.580561750967334</v>
      </c>
      <c r="F27" s="474">
        <v>10887.847029578123</v>
      </c>
      <c r="G27" s="474">
        <f>+D27/'- 7 -'!E27</f>
        <v>10999.062817147857</v>
      </c>
      <c r="I27" s="465" t="str">
        <f t="shared" si="1"/>
        <v/>
      </c>
      <c r="J27" s="503">
        <f>+'- 15 -'!B27</f>
        <v>21695312</v>
      </c>
      <c r="K27" s="502">
        <f>+'- 15 -'!E27</f>
        <v>8014466</v>
      </c>
      <c r="L27" s="502">
        <f>+'- 16 -'!G27</f>
        <v>1720044</v>
      </c>
      <c r="M27" s="503">
        <f t="shared" si="0"/>
        <v>31429822</v>
      </c>
    </row>
    <row r="28" spans="1:13" ht="14.1" customHeight="1">
      <c r="A28" s="466" t="s">
        <v>127</v>
      </c>
      <c r="B28" s="467">
        <v>19774650</v>
      </c>
      <c r="C28" s="468">
        <v>73.909574342836009</v>
      </c>
      <c r="D28" s="467">
        <v>20285110</v>
      </c>
      <c r="E28" s="468">
        <f>+D28/'- 3 -'!F28*100</f>
        <v>74.372435338128582</v>
      </c>
      <c r="F28" s="467">
        <v>9845.4817027632562</v>
      </c>
      <c r="G28" s="467">
        <f>+D28/'- 7 -'!E28</f>
        <v>10137.486256871563</v>
      </c>
      <c r="I28" s="465" t="str">
        <f t="shared" si="1"/>
        <v/>
      </c>
      <c r="J28" s="503">
        <f>+'- 15 -'!B28</f>
        <v>16047852</v>
      </c>
      <c r="K28" s="502">
        <f>+'- 15 -'!E28</f>
        <v>3506016</v>
      </c>
      <c r="L28" s="502">
        <f>+'- 16 -'!G28</f>
        <v>731242</v>
      </c>
      <c r="M28" s="503">
        <f t="shared" si="0"/>
        <v>20285110</v>
      </c>
    </row>
    <row r="29" spans="1:13" ht="14.1" customHeight="1">
      <c r="A29" s="473" t="s">
        <v>128</v>
      </c>
      <c r="B29" s="474">
        <v>112764169</v>
      </c>
      <c r="C29" s="475">
        <v>80.701736343591463</v>
      </c>
      <c r="D29" s="474">
        <v>117385808</v>
      </c>
      <c r="E29" s="475">
        <f>+D29/'- 3 -'!F29*100</f>
        <v>81.164341604488754</v>
      </c>
      <c r="F29" s="474">
        <v>9240.9195505912612</v>
      </c>
      <c r="G29" s="474">
        <f>+D29/'- 7 -'!E29</f>
        <v>9438.2825716399184</v>
      </c>
      <c r="I29" s="465" t="str">
        <f t="shared" si="1"/>
        <v/>
      </c>
      <c r="J29" s="503">
        <f>+'- 15 -'!B29</f>
        <v>82429956</v>
      </c>
      <c r="K29" s="502">
        <f>+'- 15 -'!E29</f>
        <v>29208632</v>
      </c>
      <c r="L29" s="502">
        <f>+'- 16 -'!G29</f>
        <v>5747220</v>
      </c>
      <c r="M29" s="503">
        <f t="shared" si="0"/>
        <v>117385808</v>
      </c>
    </row>
    <row r="30" spans="1:13" ht="14.1" customHeight="1">
      <c r="A30" s="466" t="s">
        <v>129</v>
      </c>
      <c r="B30" s="467">
        <v>9950939</v>
      </c>
      <c r="C30" s="468">
        <v>74.037091537964656</v>
      </c>
      <c r="D30" s="467">
        <v>10164545</v>
      </c>
      <c r="E30" s="468">
        <f>+D30/'- 3 -'!F30*100</f>
        <v>74.835646863303651</v>
      </c>
      <c r="F30" s="467">
        <v>9391.7539687033986</v>
      </c>
      <c r="G30" s="467">
        <f>+D30/'- 7 -'!E30</f>
        <v>9740.8193579300423</v>
      </c>
      <c r="I30" s="465" t="str">
        <f t="shared" si="1"/>
        <v/>
      </c>
      <c r="J30" s="503">
        <f>+'- 15 -'!B30</f>
        <v>8185758</v>
      </c>
      <c r="K30" s="502">
        <f>+'- 15 -'!E30</f>
        <v>1459579</v>
      </c>
      <c r="L30" s="502">
        <f>+'- 16 -'!G30</f>
        <v>519208</v>
      </c>
      <c r="M30" s="503">
        <f t="shared" si="0"/>
        <v>10164545</v>
      </c>
    </row>
    <row r="31" spans="1:13" ht="14.1" customHeight="1">
      <c r="A31" s="473" t="s">
        <v>130</v>
      </c>
      <c r="B31" s="474">
        <v>27136897</v>
      </c>
      <c r="C31" s="475">
        <v>80.617734958943828</v>
      </c>
      <c r="D31" s="474">
        <v>28474059</v>
      </c>
      <c r="E31" s="475">
        <f>+D31/'- 3 -'!F31*100</f>
        <v>80.69567554091482</v>
      </c>
      <c r="F31" s="474">
        <v>8529.5920163444916</v>
      </c>
      <c r="G31" s="474">
        <f>+D31/'- 7 -'!E31</f>
        <v>8766.6437807881775</v>
      </c>
      <c r="I31" s="465" t="str">
        <f t="shared" si="1"/>
        <v/>
      </c>
      <c r="J31" s="503">
        <f>+'- 15 -'!B31</f>
        <v>20613216</v>
      </c>
      <c r="K31" s="502">
        <f>+'- 15 -'!E31</f>
        <v>6662268</v>
      </c>
      <c r="L31" s="502">
        <f>+'- 16 -'!G31</f>
        <v>1198575</v>
      </c>
      <c r="M31" s="503">
        <f t="shared" si="0"/>
        <v>28474059</v>
      </c>
    </row>
    <row r="32" spans="1:13" ht="14.1" customHeight="1">
      <c r="A32" s="466" t="s">
        <v>131</v>
      </c>
      <c r="B32" s="467">
        <v>19180788</v>
      </c>
      <c r="C32" s="468">
        <v>74.520449719819666</v>
      </c>
      <c r="D32" s="467">
        <v>19871021</v>
      </c>
      <c r="E32" s="468">
        <f>+D32/'- 3 -'!F32*100</f>
        <v>76.084628868907515</v>
      </c>
      <c r="F32" s="467">
        <v>9486.0474777448071</v>
      </c>
      <c r="G32" s="467">
        <f>+D32/'- 7 -'!E32</f>
        <v>9489.5038204393513</v>
      </c>
      <c r="I32" s="465" t="str">
        <f t="shared" si="1"/>
        <v/>
      </c>
      <c r="J32" s="503">
        <f>+'- 15 -'!B32</f>
        <v>15960121</v>
      </c>
      <c r="K32" s="502">
        <f>+'- 15 -'!E32</f>
        <v>3376516</v>
      </c>
      <c r="L32" s="502">
        <f>+'- 16 -'!G32</f>
        <v>534384</v>
      </c>
      <c r="M32" s="503">
        <f t="shared" si="0"/>
        <v>19871021</v>
      </c>
    </row>
    <row r="33" spans="1:13" ht="14.1" customHeight="1">
      <c r="A33" s="473" t="s">
        <v>132</v>
      </c>
      <c r="B33" s="474">
        <v>18893843</v>
      </c>
      <c r="C33" s="475">
        <v>72.255052895505528</v>
      </c>
      <c r="D33" s="474">
        <v>19396632</v>
      </c>
      <c r="E33" s="475">
        <f>+D33/'- 3 -'!F33*100</f>
        <v>73.701117130574161</v>
      </c>
      <c r="F33" s="474">
        <v>9447.8662866286613</v>
      </c>
      <c r="G33" s="474">
        <f>+D33/'- 7 -'!E33</f>
        <v>9666.8985796162469</v>
      </c>
      <c r="I33" s="465" t="str">
        <f t="shared" si="1"/>
        <v/>
      </c>
      <c r="J33" s="503">
        <f>+'- 15 -'!B33</f>
        <v>15265640</v>
      </c>
      <c r="K33" s="502">
        <f>+'- 15 -'!E33</f>
        <v>3360312</v>
      </c>
      <c r="L33" s="502">
        <f>+'- 16 -'!G33</f>
        <v>770680</v>
      </c>
      <c r="M33" s="503">
        <f t="shared" si="0"/>
        <v>19396632</v>
      </c>
    </row>
    <row r="34" spans="1:13" ht="14.1" customHeight="1">
      <c r="A34" s="466" t="s">
        <v>133</v>
      </c>
      <c r="B34" s="467">
        <v>18548380</v>
      </c>
      <c r="C34" s="468">
        <v>73.63950935208166</v>
      </c>
      <c r="D34" s="467">
        <v>19767399</v>
      </c>
      <c r="E34" s="468">
        <f>+D34/'- 3 -'!F34*100</f>
        <v>74.71037416907788</v>
      </c>
      <c r="F34" s="467">
        <v>9415.4213197969548</v>
      </c>
      <c r="G34" s="467">
        <f>+D34/'- 7 -'!E34</f>
        <v>9929.5741324921128</v>
      </c>
      <c r="I34" s="465" t="str">
        <f t="shared" si="1"/>
        <v/>
      </c>
      <c r="J34" s="503">
        <f>+'- 15 -'!B34</f>
        <v>15030982</v>
      </c>
      <c r="K34" s="502">
        <f>+'- 15 -'!E34</f>
        <v>4002669</v>
      </c>
      <c r="L34" s="502">
        <f>+'- 16 -'!G34</f>
        <v>733748</v>
      </c>
      <c r="M34" s="503">
        <f t="shared" si="0"/>
        <v>19767399</v>
      </c>
    </row>
    <row r="35" spans="1:13" ht="14.1" customHeight="1">
      <c r="A35" s="473" t="s">
        <v>134</v>
      </c>
      <c r="B35" s="474">
        <v>135484535</v>
      </c>
      <c r="C35" s="475">
        <v>80.193458289042354</v>
      </c>
      <c r="D35" s="474">
        <v>139795816</v>
      </c>
      <c r="E35" s="475">
        <f>+D35/'- 3 -'!F35*100</f>
        <v>81.126874640376812</v>
      </c>
      <c r="F35" s="474">
        <v>8705.2741992482406</v>
      </c>
      <c r="G35" s="474">
        <f>+D35/'- 7 -'!E35</f>
        <v>8990.6628078976137</v>
      </c>
      <c r="I35" s="465" t="str">
        <f t="shared" si="1"/>
        <v/>
      </c>
      <c r="J35" s="503">
        <f>+'- 15 -'!B35</f>
        <v>99403860</v>
      </c>
      <c r="K35" s="502">
        <f>+'- 15 -'!E35</f>
        <v>33121988</v>
      </c>
      <c r="L35" s="502">
        <f>+'- 16 -'!G35</f>
        <v>7269968</v>
      </c>
      <c r="M35" s="503">
        <f t="shared" si="0"/>
        <v>139795816</v>
      </c>
    </row>
    <row r="36" spans="1:13" ht="14.1" customHeight="1">
      <c r="A36" s="466" t="s">
        <v>135</v>
      </c>
      <c r="B36" s="467">
        <v>16020146</v>
      </c>
      <c r="C36" s="468">
        <v>75.403662438294987</v>
      </c>
      <c r="D36" s="467">
        <v>16391904</v>
      </c>
      <c r="E36" s="468">
        <f>+D36/'- 3 -'!F36*100</f>
        <v>75.598039475671584</v>
      </c>
      <c r="F36" s="467">
        <v>9843.4076804915512</v>
      </c>
      <c r="G36" s="467">
        <f>+D36/'- 7 -'!E36</f>
        <v>9940.5118253486962</v>
      </c>
      <c r="I36" s="465" t="str">
        <f t="shared" si="1"/>
        <v/>
      </c>
      <c r="J36" s="503">
        <f>+'- 15 -'!B36</f>
        <v>12878863</v>
      </c>
      <c r="K36" s="502">
        <f>+'- 15 -'!E36</f>
        <v>2761106</v>
      </c>
      <c r="L36" s="502">
        <f>+'- 16 -'!G36</f>
        <v>751935</v>
      </c>
      <c r="M36" s="503">
        <f t="shared" si="0"/>
        <v>16391904</v>
      </c>
    </row>
    <row r="37" spans="1:13" ht="14.1" customHeight="1">
      <c r="A37" s="473" t="s">
        <v>136</v>
      </c>
      <c r="B37" s="474">
        <v>32411279</v>
      </c>
      <c r="C37" s="475">
        <v>77.364039319526938</v>
      </c>
      <c r="D37" s="474">
        <v>34546089</v>
      </c>
      <c r="E37" s="475">
        <f>+D37/'- 3 -'!F37*100</f>
        <v>77.492331204053116</v>
      </c>
      <c r="F37" s="474">
        <v>8281.9161875558966</v>
      </c>
      <c r="G37" s="474">
        <f>+D37/'- 7 -'!E37</f>
        <v>8739.2079433341769</v>
      </c>
      <c r="I37" s="465" t="str">
        <f t="shared" si="1"/>
        <v/>
      </c>
      <c r="J37" s="503">
        <f>+'- 15 -'!B37</f>
        <v>25580661</v>
      </c>
      <c r="K37" s="502">
        <f>+'- 15 -'!E37</f>
        <v>7463516</v>
      </c>
      <c r="L37" s="502">
        <f>+'- 16 -'!G37</f>
        <v>1501912</v>
      </c>
      <c r="M37" s="503">
        <f t="shared" si="0"/>
        <v>34546089</v>
      </c>
    </row>
    <row r="38" spans="1:13" ht="14.1" customHeight="1">
      <c r="A38" s="466" t="s">
        <v>137</v>
      </c>
      <c r="B38" s="467">
        <v>93124725</v>
      </c>
      <c r="C38" s="468">
        <v>82.581379434390414</v>
      </c>
      <c r="D38" s="467">
        <v>98483086</v>
      </c>
      <c r="E38" s="468">
        <f>+D38/'- 3 -'!F38*100</f>
        <v>82.393596518132966</v>
      </c>
      <c r="F38" s="467">
        <v>8909.9222143554216</v>
      </c>
      <c r="G38" s="467">
        <f>+D38/'- 7 -'!E38</f>
        <v>9347.5598204200942</v>
      </c>
      <c r="I38" s="465" t="str">
        <f t="shared" si="1"/>
        <v/>
      </c>
      <c r="J38" s="503">
        <f>+'- 15 -'!B38</f>
        <v>72013594</v>
      </c>
      <c r="K38" s="502">
        <f>+'- 15 -'!E38</f>
        <v>21995853</v>
      </c>
      <c r="L38" s="502">
        <f>+'- 16 -'!G38</f>
        <v>4473639</v>
      </c>
      <c r="M38" s="503">
        <f t="shared" si="0"/>
        <v>98483086</v>
      </c>
    </row>
    <row r="39" spans="1:13" ht="14.1" customHeight="1">
      <c r="A39" s="473" t="s">
        <v>138</v>
      </c>
      <c r="B39" s="474">
        <v>14536281</v>
      </c>
      <c r="C39" s="475">
        <v>72.012695113179021</v>
      </c>
      <c r="D39" s="474">
        <v>14762965</v>
      </c>
      <c r="E39" s="475">
        <f>+D39/'- 3 -'!F39*100</f>
        <v>73.661693388698907</v>
      </c>
      <c r="F39" s="474">
        <v>9345.0858244937317</v>
      </c>
      <c r="G39" s="474">
        <f>+D39/'- 7 -'!E39</f>
        <v>9546.0491432266408</v>
      </c>
      <c r="I39" s="465" t="str">
        <f t="shared" si="1"/>
        <v/>
      </c>
      <c r="J39" s="503">
        <f>+'- 15 -'!B39</f>
        <v>11617063</v>
      </c>
      <c r="K39" s="502">
        <f>+'- 15 -'!E39</f>
        <v>2606863</v>
      </c>
      <c r="L39" s="502">
        <f>+'- 16 -'!G39</f>
        <v>539039</v>
      </c>
      <c r="M39" s="503">
        <f t="shared" si="0"/>
        <v>14762965</v>
      </c>
    </row>
    <row r="40" spans="1:13" ht="14.1" customHeight="1">
      <c r="A40" s="466" t="s">
        <v>139</v>
      </c>
      <c r="B40" s="467">
        <v>77426586</v>
      </c>
      <c r="C40" s="468">
        <v>82.317424755015921</v>
      </c>
      <c r="D40" s="467">
        <v>79083052</v>
      </c>
      <c r="E40" s="468">
        <f>+D40/'- 3 -'!F40*100</f>
        <v>81.777635728341508</v>
      </c>
      <c r="F40" s="467">
        <v>9746.978530020835</v>
      </c>
      <c r="G40" s="467">
        <f>+D40/'- 7 -'!E40</f>
        <v>10030.065190371102</v>
      </c>
      <c r="I40" s="465" t="str">
        <f t="shared" si="1"/>
        <v/>
      </c>
      <c r="J40" s="503">
        <f>+'- 15 -'!B40</f>
        <v>55259675</v>
      </c>
      <c r="K40" s="502">
        <f>+'- 15 -'!E40</f>
        <v>20264480</v>
      </c>
      <c r="L40" s="502">
        <f>+'- 16 -'!G40</f>
        <v>3558897</v>
      </c>
      <c r="M40" s="503">
        <f t="shared" si="0"/>
        <v>79083052</v>
      </c>
    </row>
    <row r="41" spans="1:13" ht="14.1" customHeight="1">
      <c r="A41" s="473" t="s">
        <v>140</v>
      </c>
      <c r="B41" s="474">
        <v>43276312</v>
      </c>
      <c r="C41" s="475">
        <v>75.463574684249224</v>
      </c>
      <c r="D41" s="474">
        <v>44011945</v>
      </c>
      <c r="E41" s="475">
        <f>+D41/'- 3 -'!F41*100</f>
        <v>75.267015938527095</v>
      </c>
      <c r="F41" s="474">
        <v>9819.9028817789876</v>
      </c>
      <c r="G41" s="474">
        <f>+D41/'- 7 -'!E41</f>
        <v>10104.912180002297</v>
      </c>
      <c r="I41" s="465" t="str">
        <f t="shared" si="1"/>
        <v/>
      </c>
      <c r="J41" s="503">
        <f>+'- 15 -'!B41</f>
        <v>31816017</v>
      </c>
      <c r="K41" s="502">
        <f>+'- 15 -'!E41</f>
        <v>10881169</v>
      </c>
      <c r="L41" s="502">
        <f>+'- 16 -'!G41</f>
        <v>1314759</v>
      </c>
      <c r="M41" s="503">
        <f t="shared" si="0"/>
        <v>44011945</v>
      </c>
    </row>
    <row r="42" spans="1:13" ht="14.1" customHeight="1">
      <c r="A42" s="466" t="s">
        <v>141</v>
      </c>
      <c r="B42" s="467">
        <v>15001523</v>
      </c>
      <c r="C42" s="468">
        <v>75.227859604564287</v>
      </c>
      <c r="D42" s="467">
        <v>14631005</v>
      </c>
      <c r="E42" s="468">
        <f>+D42/'- 3 -'!F42*100</f>
        <v>74.354663135020417</v>
      </c>
      <c r="F42" s="467">
        <v>10336.610624956935</v>
      </c>
      <c r="G42" s="467">
        <f>+D42/'- 7 -'!E42</f>
        <v>10381.016744714063</v>
      </c>
      <c r="I42" s="465" t="str">
        <f t="shared" si="1"/>
        <v/>
      </c>
      <c r="J42" s="503">
        <f>+'- 15 -'!B42</f>
        <v>11212660</v>
      </c>
      <c r="K42" s="502">
        <f>+'- 15 -'!E42</f>
        <v>2995001</v>
      </c>
      <c r="L42" s="502">
        <f>+'- 16 -'!G42</f>
        <v>423344</v>
      </c>
      <c r="M42" s="503">
        <f t="shared" si="0"/>
        <v>14631005</v>
      </c>
    </row>
    <row r="43" spans="1:13" ht="14.1" customHeight="1">
      <c r="A43" s="473" t="s">
        <v>142</v>
      </c>
      <c r="B43" s="474">
        <v>9188565</v>
      </c>
      <c r="C43" s="475">
        <v>75.851431141322152</v>
      </c>
      <c r="D43" s="474">
        <v>9706996</v>
      </c>
      <c r="E43" s="475">
        <f>+D43/'- 3 -'!F43*100</f>
        <v>77.079732254423092</v>
      </c>
      <c r="F43" s="474">
        <v>9387.581732733961</v>
      </c>
      <c r="G43" s="474">
        <f>+D43/'- 7 -'!E43</f>
        <v>10077.547418581231</v>
      </c>
      <c r="I43" s="465" t="str">
        <f t="shared" si="1"/>
        <v/>
      </c>
      <c r="J43" s="503">
        <f>+'- 15 -'!B43</f>
        <v>7122955</v>
      </c>
      <c r="K43" s="502">
        <f>+'- 15 -'!E43</f>
        <v>2132024</v>
      </c>
      <c r="L43" s="502">
        <f>+'- 16 -'!G43</f>
        <v>452017</v>
      </c>
      <c r="M43" s="503">
        <f t="shared" si="0"/>
        <v>9706996</v>
      </c>
    </row>
    <row r="44" spans="1:13" ht="14.1" customHeight="1">
      <c r="A44" s="466" t="s">
        <v>143</v>
      </c>
      <c r="B44" s="467">
        <v>7614656</v>
      </c>
      <c r="C44" s="468">
        <v>74.116537679571607</v>
      </c>
      <c r="D44" s="467">
        <v>7836973</v>
      </c>
      <c r="E44" s="468">
        <f>+D44/'- 3 -'!F44*100</f>
        <v>74.405000048419907</v>
      </c>
      <c r="F44" s="467">
        <v>10854.819672131147</v>
      </c>
      <c r="G44" s="467">
        <f>+D44/'- 7 -'!E44</f>
        <v>11276.220143884892</v>
      </c>
      <c r="I44" s="465" t="str">
        <f t="shared" si="1"/>
        <v/>
      </c>
      <c r="J44" s="503">
        <f>+'- 15 -'!B44</f>
        <v>5875906</v>
      </c>
      <c r="K44" s="502">
        <f>+'- 15 -'!E44</f>
        <v>1700707</v>
      </c>
      <c r="L44" s="502">
        <f>+'- 16 -'!G44</f>
        <v>260360</v>
      </c>
      <c r="M44" s="503">
        <f t="shared" si="0"/>
        <v>7836973</v>
      </c>
    </row>
    <row r="45" spans="1:13" ht="14.1" customHeight="1">
      <c r="A45" s="473" t="s">
        <v>144</v>
      </c>
      <c r="B45" s="474">
        <v>13090175</v>
      </c>
      <c r="C45" s="475">
        <v>79.427907061974906</v>
      </c>
      <c r="D45" s="474">
        <v>13501796</v>
      </c>
      <c r="E45" s="475">
        <f>+D45/'- 3 -'!F45*100</f>
        <v>79.226593122872899</v>
      </c>
      <c r="F45" s="474">
        <v>8092.8438948995363</v>
      </c>
      <c r="G45" s="474">
        <f>+D45/'- 7 -'!E45</f>
        <v>8401.8643434972</v>
      </c>
      <c r="I45" s="465" t="str">
        <f t="shared" si="1"/>
        <v/>
      </c>
      <c r="J45" s="503">
        <f>+'- 15 -'!B45</f>
        <v>10378210</v>
      </c>
      <c r="K45" s="502">
        <f>+'- 15 -'!E45</f>
        <v>2574440</v>
      </c>
      <c r="L45" s="502">
        <f>+'- 16 -'!G45</f>
        <v>549146</v>
      </c>
      <c r="M45" s="503">
        <f t="shared" si="0"/>
        <v>13501796</v>
      </c>
    </row>
    <row r="46" spans="1:13" ht="14.1" customHeight="1">
      <c r="A46" s="466" t="s">
        <v>145</v>
      </c>
      <c r="B46" s="467">
        <v>282582450</v>
      </c>
      <c r="C46" s="468">
        <v>81.459083913515514</v>
      </c>
      <c r="D46" s="467">
        <v>293094782</v>
      </c>
      <c r="E46" s="468">
        <f>+D46/'- 3 -'!F46*100</f>
        <v>81.780089769574232</v>
      </c>
      <c r="F46" s="467">
        <v>9467.2562013374263</v>
      </c>
      <c r="G46" s="467">
        <f>+D46/'- 7 -'!E46</f>
        <v>9801.1898742643116</v>
      </c>
      <c r="I46" s="465" t="str">
        <f t="shared" si="1"/>
        <v/>
      </c>
      <c r="J46" s="503">
        <f>+'- 15 -'!B46</f>
        <v>197459165</v>
      </c>
      <c r="K46" s="502">
        <f>+'- 15 -'!E46</f>
        <v>85689551</v>
      </c>
      <c r="L46" s="502">
        <f>+'- 16 -'!G46</f>
        <v>9946066</v>
      </c>
      <c r="M46" s="503">
        <f t="shared" si="0"/>
        <v>293094782</v>
      </c>
    </row>
    <row r="47" spans="1:13" ht="5.0999999999999996" customHeight="1">
      <c r="B47" s="465"/>
      <c r="C47" s="465"/>
      <c r="D47" s="465"/>
      <c r="E47" s="465"/>
      <c r="F47" s="465"/>
      <c r="G47" s="465"/>
      <c r="I47" s="465" t="str">
        <f t="shared" si="1"/>
        <v/>
      </c>
      <c r="J47" s="503">
        <f>+'- 15 -'!B47</f>
        <v>0</v>
      </c>
      <c r="K47" s="502">
        <f>+'- 15 -'!E47</f>
        <v>0</v>
      </c>
      <c r="L47" s="502">
        <f>+'- 16 -'!G47</f>
        <v>0</v>
      </c>
      <c r="M47" s="503">
        <f t="shared" si="0"/>
        <v>0</v>
      </c>
    </row>
    <row r="48" spans="1:13" ht="14.1" customHeight="1">
      <c r="A48" s="476" t="s">
        <v>146</v>
      </c>
      <c r="B48" s="477">
        <v>1602176344</v>
      </c>
      <c r="C48" s="478">
        <v>78.631845754255664</v>
      </c>
      <c r="D48" s="477">
        <f>SUM(D11:D46)</f>
        <v>1656469715</v>
      </c>
      <c r="E48" s="478">
        <f>+D48/'- 3 -'!F48*100</f>
        <v>78.683643344465068</v>
      </c>
      <c r="F48" s="477">
        <v>9313.7145080049486</v>
      </c>
      <c r="G48" s="477">
        <f>+D48/'- 7 -'!E48</f>
        <v>9602.9979931019479</v>
      </c>
      <c r="I48" s="465" t="str">
        <f t="shared" si="1"/>
        <v/>
      </c>
      <c r="J48" s="503">
        <f>+'- 15 -'!B48</f>
        <v>1194008309</v>
      </c>
      <c r="K48" s="502">
        <f>+'- 15 -'!E48</f>
        <v>389739974</v>
      </c>
      <c r="L48" s="502">
        <f>+'- 16 -'!G48</f>
        <v>72721432</v>
      </c>
      <c r="M48" s="503">
        <f t="shared" si="0"/>
        <v>1656469715</v>
      </c>
    </row>
    <row r="49" spans="1:7" ht="5.0999999999999996" customHeight="1">
      <c r="B49" s="465"/>
      <c r="C49" s="465"/>
      <c r="D49" s="465"/>
      <c r="E49" s="465"/>
      <c r="F49" s="465"/>
      <c r="G49" s="465"/>
    </row>
    <row r="50" spans="1:7" ht="49.5" customHeight="1">
      <c r="A50" s="469"/>
      <c r="B50" s="470"/>
      <c r="C50" s="470"/>
      <c r="D50" s="470"/>
      <c r="E50" s="470"/>
      <c r="F50" s="470"/>
      <c r="G50" s="470"/>
    </row>
    <row r="51" spans="1:7" ht="12" customHeight="1">
      <c r="A51" s="838" t="s">
        <v>637</v>
      </c>
      <c r="B51" s="839"/>
      <c r="C51" s="839"/>
      <c r="D51" s="839"/>
      <c r="E51" s="839"/>
      <c r="F51" s="839"/>
      <c r="G51" s="839"/>
    </row>
    <row r="52" spans="1:7">
      <c r="A52" s="840"/>
      <c r="B52" s="840"/>
      <c r="C52" s="840"/>
      <c r="D52" s="840"/>
      <c r="E52" s="840"/>
      <c r="F52" s="840"/>
      <c r="G52" s="840"/>
    </row>
    <row r="53" spans="1:7" ht="10.5" customHeight="1">
      <c r="A53" s="471" t="s">
        <v>384</v>
      </c>
      <c r="B53" s="471"/>
      <c r="C53" s="471"/>
    </row>
    <row r="54" spans="1:7" ht="12" customHeight="1">
      <c r="B54" s="471"/>
      <c r="C54" s="471"/>
    </row>
    <row r="55" spans="1:7" ht="12" customHeight="1">
      <c r="A55" s="472"/>
      <c r="B55" s="471"/>
      <c r="C55" s="471"/>
    </row>
    <row r="56" spans="1:7" ht="12" customHeight="1">
      <c r="A56" s="472"/>
      <c r="B56" s="471"/>
      <c r="C56" s="471"/>
    </row>
    <row r="57" spans="1:7" ht="14.45" customHeight="1">
      <c r="A57" s="471"/>
    </row>
  </sheetData>
  <mergeCells count="3">
    <mergeCell ref="F6:G8"/>
    <mergeCell ref="B6:E8"/>
    <mergeCell ref="A51:G52"/>
  </mergeCells>
  <phoneticPr fontId="19" type="noConversion"/>
  <pageMargins left="0.51181102362204722" right="0.51181102362204722" top="0.59055118110236227" bottom="0.19685039370078741" header="0.31496062992125984" footer="0.51181102362204722"/>
  <pageSetup scale="95" orientation="portrait" r:id="rId1"/>
  <headerFooter alignWithMargins="0">
    <oddHeader>&amp;C&amp;"Arial,Regular"&amp;10&amp;A</oddHeader>
  </headerFooter>
</worksheet>
</file>

<file path=xl/worksheets/sheet59.xml><?xml version="1.0" encoding="utf-8"?>
<worksheet xmlns="http://schemas.openxmlformats.org/spreadsheetml/2006/main" xmlns:r="http://schemas.openxmlformats.org/officeDocument/2006/relationships">
  <sheetPr codeName="Sheet61">
    <pageSetUpPr fitToPage="1"/>
  </sheetPr>
  <dimension ref="A1:I58"/>
  <sheetViews>
    <sheetView showGridLines="0" showZeros="0" workbookViewId="0"/>
  </sheetViews>
  <sheetFormatPr defaultColWidth="12.83203125" defaultRowHeight="12"/>
  <cols>
    <col min="1" max="1" width="30.83203125" style="1" customWidth="1"/>
    <col min="2" max="8" width="12.83203125" style="1" customWidth="1"/>
    <col min="9" max="16384" width="12.83203125" style="1"/>
  </cols>
  <sheetData>
    <row r="1" spans="1:9" ht="6.95" customHeight="1">
      <c r="A1" s="6"/>
      <c r="B1" s="7"/>
      <c r="C1" s="7"/>
    </row>
    <row r="2" spans="1:9" ht="15.95" customHeight="1">
      <c r="A2" s="244" t="s">
        <v>232</v>
      </c>
      <c r="B2" s="245"/>
      <c r="C2" s="245"/>
      <c r="D2" s="245"/>
      <c r="E2" s="245"/>
      <c r="F2" s="141"/>
      <c r="G2" s="141"/>
      <c r="H2" s="141"/>
      <c r="I2" s="141"/>
    </row>
    <row r="3" spans="1:9" ht="15.95" customHeight="1">
      <c r="A3" s="549" t="str">
        <f>B9&amp;" AND "&amp;C9&amp;" ACTUAL"</f>
        <v>2013/14 AND 2014/15 ACTUAL</v>
      </c>
      <c r="B3" s="246"/>
      <c r="C3" s="247"/>
      <c r="D3" s="247"/>
      <c r="E3" s="247"/>
      <c r="F3" s="248"/>
      <c r="G3" s="248"/>
      <c r="H3" s="248"/>
      <c r="I3" s="248"/>
    </row>
    <row r="4" spans="1:9" ht="15.95" customHeight="1">
      <c r="B4" s="30"/>
      <c r="C4" s="7"/>
    </row>
    <row r="5" spans="1:9" ht="15.95" customHeight="1">
      <c r="B5" s="226"/>
      <c r="C5" s="7"/>
    </row>
    <row r="6" spans="1:9" ht="15.95" customHeight="1">
      <c r="B6" s="850" t="s">
        <v>641</v>
      </c>
      <c r="C6" s="851"/>
      <c r="D6" s="576"/>
      <c r="E6" s="380"/>
      <c r="F6" s="845" t="s">
        <v>639</v>
      </c>
      <c r="G6" s="846"/>
      <c r="H6" s="383"/>
      <c r="I6" s="384"/>
    </row>
    <row r="7" spans="1:9" ht="15.95" customHeight="1">
      <c r="B7" s="852"/>
      <c r="C7" s="853"/>
      <c r="D7" s="848" t="s">
        <v>640</v>
      </c>
      <c r="E7" s="842"/>
      <c r="F7" s="847"/>
      <c r="G7" s="842"/>
      <c r="H7" s="841" t="s">
        <v>638</v>
      </c>
      <c r="I7" s="842"/>
    </row>
    <row r="8" spans="1:9" ht="15.95" customHeight="1">
      <c r="A8" s="406"/>
      <c r="B8" s="854"/>
      <c r="C8" s="855"/>
      <c r="D8" s="849"/>
      <c r="E8" s="844"/>
      <c r="F8" s="843"/>
      <c r="G8" s="844"/>
      <c r="H8" s="843"/>
      <c r="I8" s="844"/>
    </row>
    <row r="9" spans="1:9" ht="15.95" customHeight="1">
      <c r="A9" s="34" t="s">
        <v>43</v>
      </c>
      <c r="B9" s="577" t="str">
        <f>PrevY</f>
        <v>2013/14</v>
      </c>
      <c r="C9" s="578" t="str">
        <f>+CurrY</f>
        <v>2014/15</v>
      </c>
      <c r="D9" s="493" t="str">
        <f>+B9</f>
        <v>2013/14</v>
      </c>
      <c r="E9" s="494" t="s">
        <v>415</v>
      </c>
      <c r="F9" s="494">
        <v>2013</v>
      </c>
      <c r="G9" s="494" t="s">
        <v>416</v>
      </c>
      <c r="H9" s="494">
        <f>+F9</f>
        <v>2013</v>
      </c>
      <c r="I9" s="494" t="s">
        <v>417</v>
      </c>
    </row>
    <row r="10" spans="1:9" ht="5.0999999999999996" customHeight="1">
      <c r="A10" s="5"/>
      <c r="C10" s="249"/>
    </row>
    <row r="11" spans="1:9" ht="14.1" customHeight="1">
      <c r="A11" s="355" t="s">
        <v>111</v>
      </c>
      <c r="B11" s="355">
        <v>11219</v>
      </c>
      <c r="C11" s="355">
        <f>'- 4 -'!E11</f>
        <v>10922</v>
      </c>
      <c r="D11" s="356">
        <v>13.211581291759467</v>
      </c>
      <c r="E11" s="356">
        <f>'- 9 -'!C11</f>
        <v>14.054671706073655</v>
      </c>
      <c r="F11" s="355">
        <v>334569</v>
      </c>
      <c r="G11" s="355">
        <f>'- 55 -'!F11</f>
        <v>388093</v>
      </c>
      <c r="H11" s="356">
        <v>14.773414251757448</v>
      </c>
      <c r="I11" s="356">
        <f>'- 53 -'!G11</f>
        <v>13.191450998307207</v>
      </c>
    </row>
    <row r="12" spans="1:9" ht="14.1" customHeight="1">
      <c r="A12" s="150" t="s">
        <v>112</v>
      </c>
      <c r="B12" s="150">
        <v>13349</v>
      </c>
      <c r="C12" s="150">
        <f>'- 4 -'!E12</f>
        <v>14538</v>
      </c>
      <c r="D12" s="237">
        <v>11.395034106052536</v>
      </c>
      <c r="E12" s="237">
        <f>'- 9 -'!C12</f>
        <v>11.494290023701787</v>
      </c>
      <c r="F12" s="150">
        <v>267863</v>
      </c>
      <c r="G12" s="150">
        <f>'- 55 -'!F12</f>
        <v>311740</v>
      </c>
      <c r="H12" s="237">
        <v>18.149988788655811</v>
      </c>
      <c r="I12" s="237">
        <f>'- 53 -'!G12</f>
        <v>16.800000153498914</v>
      </c>
    </row>
    <row r="13" spans="1:9" ht="14.1" customHeight="1">
      <c r="A13" s="355" t="s">
        <v>113</v>
      </c>
      <c r="B13" s="355">
        <v>10452</v>
      </c>
      <c r="C13" s="355">
        <f>'- 4 -'!E13</f>
        <v>10706</v>
      </c>
      <c r="D13" s="356">
        <v>12.448652517582621</v>
      </c>
      <c r="E13" s="356">
        <f>'- 9 -'!C13</f>
        <v>12.687413380370415</v>
      </c>
      <c r="F13" s="355">
        <v>293805</v>
      </c>
      <c r="G13" s="355">
        <f>'- 55 -'!F13</f>
        <v>330615</v>
      </c>
      <c r="H13" s="356">
        <v>16.577755047306972</v>
      </c>
      <c r="I13" s="356">
        <f>'- 53 -'!G13</f>
        <v>15.503878318572109</v>
      </c>
    </row>
    <row r="14" spans="1:9" ht="14.1" customHeight="1">
      <c r="A14" s="150" t="s">
        <v>365</v>
      </c>
      <c r="B14" s="150">
        <v>13823</v>
      </c>
      <c r="C14" s="150">
        <f>'- 4 -'!E14</f>
        <v>14558</v>
      </c>
      <c r="D14" s="237">
        <v>12.795847069822369</v>
      </c>
      <c r="E14" s="237">
        <f>'- 9 -'!C14</f>
        <v>12.169349032722543</v>
      </c>
      <c r="F14" s="150">
        <v>332918</v>
      </c>
      <c r="G14" s="150">
        <f>'- 55 -'!F14</f>
        <v>380268</v>
      </c>
      <c r="H14" s="237">
        <v>0</v>
      </c>
      <c r="I14" s="237">
        <f>'- 53 -'!G14</f>
        <v>0</v>
      </c>
    </row>
    <row r="15" spans="1:9" ht="14.1" customHeight="1">
      <c r="A15" s="355" t="s">
        <v>114</v>
      </c>
      <c r="B15" s="355">
        <v>12681</v>
      </c>
      <c r="C15" s="355">
        <f>'- 4 -'!E15</f>
        <v>13494</v>
      </c>
      <c r="D15" s="356">
        <v>12.981982766124121</v>
      </c>
      <c r="E15" s="356">
        <f>'- 9 -'!C15</f>
        <v>12.861949880456919</v>
      </c>
      <c r="F15" s="355">
        <v>523644</v>
      </c>
      <c r="G15" s="355">
        <f>'- 55 -'!F15</f>
        <v>559099</v>
      </c>
      <c r="H15" s="356">
        <v>11.506448245555587</v>
      </c>
      <c r="I15" s="356">
        <f>'- 53 -'!G15</f>
        <v>11.445407414871621</v>
      </c>
    </row>
    <row r="16" spans="1:9" ht="14.1" customHeight="1">
      <c r="A16" s="150" t="s">
        <v>115</v>
      </c>
      <c r="B16" s="150">
        <v>13436</v>
      </c>
      <c r="C16" s="150">
        <f>'- 4 -'!E16</f>
        <v>14793</v>
      </c>
      <c r="D16" s="237">
        <v>12.254777070063694</v>
      </c>
      <c r="E16" s="237">
        <f>'- 9 -'!C16</f>
        <v>11.635668789808918</v>
      </c>
      <c r="F16" s="150">
        <v>161888</v>
      </c>
      <c r="G16" s="150">
        <f>'- 55 -'!F16</f>
        <v>171711</v>
      </c>
      <c r="H16" s="237">
        <v>17.976861937571606</v>
      </c>
      <c r="I16" s="237">
        <f>'- 53 -'!G16</f>
        <v>19.759731717131807</v>
      </c>
    </row>
    <row r="17" spans="1:9" ht="14.1" customHeight="1">
      <c r="A17" s="355" t="s">
        <v>116</v>
      </c>
      <c r="B17" s="355">
        <v>12505</v>
      </c>
      <c r="C17" s="355">
        <f>'- 4 -'!E17</f>
        <v>12738</v>
      </c>
      <c r="D17" s="356">
        <v>12.981209833136401</v>
      </c>
      <c r="E17" s="356">
        <f>'- 9 -'!C17</f>
        <v>13.189850923092111</v>
      </c>
      <c r="F17" s="355">
        <v>500788</v>
      </c>
      <c r="G17" s="355">
        <f>'- 55 -'!F17</f>
        <v>633237</v>
      </c>
      <c r="H17" s="356">
        <v>11.830673908994086</v>
      </c>
      <c r="I17" s="356">
        <f>'- 53 -'!G17</f>
        <v>9.7989453264793145</v>
      </c>
    </row>
    <row r="18" spans="1:9" ht="14.1" customHeight="1">
      <c r="A18" s="150" t="s">
        <v>117</v>
      </c>
      <c r="B18" s="150">
        <v>18845</v>
      </c>
      <c r="C18" s="150">
        <f>'- 4 -'!E18</f>
        <v>19385</v>
      </c>
      <c r="D18" s="237">
        <v>11.767969735182849</v>
      </c>
      <c r="E18" s="237">
        <f>'- 9 -'!C18</f>
        <v>11.865995307000393</v>
      </c>
      <c r="F18" s="150">
        <v>74484</v>
      </c>
      <c r="G18" s="150">
        <f>'- 55 -'!F18</f>
        <v>84950</v>
      </c>
      <c r="H18" s="237">
        <v>16.500003201250781</v>
      </c>
      <c r="I18" s="237">
        <f>'- 53 -'!G18</f>
        <v>15.399089808959722</v>
      </c>
    </row>
    <row r="19" spans="1:9" ht="14.1" customHeight="1">
      <c r="A19" s="355" t="s">
        <v>118</v>
      </c>
      <c r="B19" s="355">
        <v>10311</v>
      </c>
      <c r="C19" s="355">
        <f>'- 4 -'!E19</f>
        <v>10204</v>
      </c>
      <c r="D19" s="356">
        <v>14.421516026963818</v>
      </c>
      <c r="E19" s="356">
        <f>'- 9 -'!C19</f>
        <v>14.732114773005275</v>
      </c>
      <c r="F19" s="355">
        <v>191134</v>
      </c>
      <c r="G19" s="355">
        <f>'- 55 -'!F19</f>
        <v>219610</v>
      </c>
      <c r="H19" s="356">
        <v>19.810443430881755</v>
      </c>
      <c r="I19" s="356">
        <f>'- 53 -'!G19</f>
        <v>18.048591468952221</v>
      </c>
    </row>
    <row r="20" spans="1:9" ht="14.1" customHeight="1">
      <c r="A20" s="150" t="s">
        <v>119</v>
      </c>
      <c r="B20" s="150">
        <v>9552</v>
      </c>
      <c r="C20" s="150">
        <f>'- 4 -'!E20</f>
        <v>10105</v>
      </c>
      <c r="D20" s="237">
        <v>14.925161812297734</v>
      </c>
      <c r="E20" s="237">
        <f>'- 9 -'!C20</f>
        <v>14.451807701356755</v>
      </c>
      <c r="F20" s="150">
        <v>200957</v>
      </c>
      <c r="G20" s="150">
        <f>'- 55 -'!F20</f>
        <v>228503</v>
      </c>
      <c r="H20" s="237">
        <v>16.786458600169674</v>
      </c>
      <c r="I20" s="237">
        <f>'- 53 -'!G20</f>
        <v>15.592550945418797</v>
      </c>
    </row>
    <row r="21" spans="1:9" ht="14.1" customHeight="1">
      <c r="A21" s="355" t="s">
        <v>120</v>
      </c>
      <c r="B21" s="355">
        <v>12721</v>
      </c>
      <c r="C21" s="355">
        <f>'- 4 -'!E21</f>
        <v>12907</v>
      </c>
      <c r="D21" s="356">
        <v>11.925350745610164</v>
      </c>
      <c r="E21" s="356">
        <f>'- 9 -'!C21</f>
        <v>11.685873930504627</v>
      </c>
      <c r="F21" s="355">
        <v>326239</v>
      </c>
      <c r="G21" s="355">
        <f>'- 55 -'!F21</f>
        <v>382995</v>
      </c>
      <c r="H21" s="356">
        <v>15.034367295845755</v>
      </c>
      <c r="I21" s="356">
        <f>'- 53 -'!G21</f>
        <v>14.002574922053272</v>
      </c>
    </row>
    <row r="22" spans="1:9" ht="14.1" customHeight="1">
      <c r="A22" s="150" t="s">
        <v>121</v>
      </c>
      <c r="B22" s="150">
        <v>11874</v>
      </c>
      <c r="C22" s="150">
        <f>'- 4 -'!E22</f>
        <v>12292</v>
      </c>
      <c r="D22" s="237">
        <v>13.228173766343316</v>
      </c>
      <c r="E22" s="237">
        <f>'- 9 -'!C22</f>
        <v>12.92197385069591</v>
      </c>
      <c r="F22" s="150">
        <v>118193</v>
      </c>
      <c r="G22" s="150">
        <f>'- 55 -'!F22</f>
        <v>138197</v>
      </c>
      <c r="H22" s="237">
        <v>22.353353273156841</v>
      </c>
      <c r="I22" s="237">
        <f>'- 53 -'!G22</f>
        <v>20.045892611289585</v>
      </c>
    </row>
    <row r="23" spans="1:9" ht="14.1" customHeight="1">
      <c r="A23" s="355" t="s">
        <v>122</v>
      </c>
      <c r="B23" s="355">
        <v>13556</v>
      </c>
      <c r="C23" s="355">
        <f>'- 4 -'!E23</f>
        <v>13997</v>
      </c>
      <c r="D23" s="356">
        <v>11.587174348697394</v>
      </c>
      <c r="E23" s="356">
        <f>'- 9 -'!C23</f>
        <v>11.596899224806201</v>
      </c>
      <c r="F23" s="355">
        <v>192554</v>
      </c>
      <c r="G23" s="355">
        <f>'- 55 -'!F23</f>
        <v>221961</v>
      </c>
      <c r="H23" s="356">
        <v>19.995764725935832</v>
      </c>
      <c r="I23" s="356">
        <f>'- 53 -'!G23</f>
        <v>18.741523598823758</v>
      </c>
    </row>
    <row r="24" spans="1:9" ht="14.1" customHeight="1">
      <c r="A24" s="150" t="s">
        <v>123</v>
      </c>
      <c r="B24" s="150">
        <v>12492</v>
      </c>
      <c r="C24" s="150">
        <f>'- 4 -'!E24</f>
        <v>13192</v>
      </c>
      <c r="D24" s="237">
        <v>12.461547759344874</v>
      </c>
      <c r="E24" s="237">
        <f>'- 9 -'!C24</f>
        <v>12.068286864469956</v>
      </c>
      <c r="F24" s="150">
        <v>378335</v>
      </c>
      <c r="G24" s="150">
        <f>'- 55 -'!F24</f>
        <v>419300</v>
      </c>
      <c r="H24" s="237">
        <v>14.466649987853678</v>
      </c>
      <c r="I24" s="237">
        <f>'- 53 -'!G24</f>
        <v>14.133029629070325</v>
      </c>
    </row>
    <row r="25" spans="1:9" ht="14.1" customHeight="1">
      <c r="A25" s="355" t="s">
        <v>124</v>
      </c>
      <c r="B25" s="355">
        <v>11063</v>
      </c>
      <c r="C25" s="355">
        <f>'- 4 -'!E25</f>
        <v>11331</v>
      </c>
      <c r="D25" s="356">
        <v>14.053367217280814</v>
      </c>
      <c r="E25" s="356">
        <f>'- 9 -'!C25</f>
        <v>14.301198122529645</v>
      </c>
      <c r="F25" s="355">
        <v>386163</v>
      </c>
      <c r="G25" s="355">
        <f>'- 55 -'!F25</f>
        <v>434989</v>
      </c>
      <c r="H25" s="356">
        <v>13.283493527850837</v>
      </c>
      <c r="I25" s="356">
        <f>'- 53 -'!G25</f>
        <v>12.484783995009286</v>
      </c>
    </row>
    <row r="26" spans="1:9" ht="14.1" customHeight="1">
      <c r="A26" s="150" t="s">
        <v>125</v>
      </c>
      <c r="B26" s="150">
        <v>12036</v>
      </c>
      <c r="C26" s="150">
        <f>'- 4 -'!E26</f>
        <v>12487</v>
      </c>
      <c r="D26" s="237">
        <v>13.181049069373943</v>
      </c>
      <c r="E26" s="237">
        <f>'- 9 -'!C26</f>
        <v>13.084210526315788</v>
      </c>
      <c r="F26" s="150">
        <v>239481</v>
      </c>
      <c r="G26" s="150">
        <f>'- 55 -'!F26</f>
        <v>288455</v>
      </c>
      <c r="H26" s="237">
        <v>19.090216824236443</v>
      </c>
      <c r="I26" s="237">
        <f>'- 53 -'!G26</f>
        <v>16.547459983579991</v>
      </c>
    </row>
    <row r="27" spans="1:9" ht="14.1" customHeight="1">
      <c r="A27" s="355" t="s">
        <v>126</v>
      </c>
      <c r="B27" s="355">
        <v>13245</v>
      </c>
      <c r="C27" s="355">
        <f>'- 4 -'!E27</f>
        <v>13650</v>
      </c>
      <c r="D27" s="356">
        <v>11.469360770216108</v>
      </c>
      <c r="E27" s="356">
        <f>'- 9 -'!C27</f>
        <v>11.540791599353797</v>
      </c>
      <c r="F27" s="355">
        <v>183297</v>
      </c>
      <c r="G27" s="355">
        <f>'- 55 -'!F27</f>
        <v>191460</v>
      </c>
      <c r="H27" s="356">
        <v>18.635027696905503</v>
      </c>
      <c r="I27" s="356">
        <f>'- 53 -'!G27</f>
        <v>17.726462227685616</v>
      </c>
    </row>
    <row r="28" spans="1:9" ht="14.1" customHeight="1">
      <c r="A28" s="150" t="s">
        <v>127</v>
      </c>
      <c r="B28" s="150">
        <v>13321</v>
      </c>
      <c r="C28" s="150">
        <f>'- 4 -'!E28</f>
        <v>13631</v>
      </c>
      <c r="D28" s="237">
        <v>10.948487326246934</v>
      </c>
      <c r="E28" s="237">
        <f>'- 9 -'!C28</f>
        <v>11.425797978644436</v>
      </c>
      <c r="F28" s="150">
        <v>328838</v>
      </c>
      <c r="G28" s="150">
        <f>'- 55 -'!F28</f>
        <v>407407</v>
      </c>
      <c r="H28" s="237">
        <v>15.160461091796163</v>
      </c>
      <c r="I28" s="237">
        <f>'- 53 -'!G28</f>
        <v>12.784190530898323</v>
      </c>
    </row>
    <row r="29" spans="1:9" ht="14.1" customHeight="1">
      <c r="A29" s="355" t="s">
        <v>128</v>
      </c>
      <c r="B29" s="355">
        <v>11451</v>
      </c>
      <c r="C29" s="355">
        <f>'- 4 -'!E29</f>
        <v>11629</v>
      </c>
      <c r="D29" s="356">
        <v>14.078684741851745</v>
      </c>
      <c r="E29" s="356">
        <f>'- 9 -'!C29</f>
        <v>14.182336507212499</v>
      </c>
      <c r="F29" s="355">
        <v>477729</v>
      </c>
      <c r="G29" s="355">
        <f>'- 55 -'!F29</f>
        <v>551445</v>
      </c>
      <c r="H29" s="356">
        <v>13.227617198353357</v>
      </c>
      <c r="I29" s="356">
        <f>'- 53 -'!G29</f>
        <v>12.149599950433091</v>
      </c>
    </row>
    <row r="30" spans="1:9" ht="14.1" customHeight="1">
      <c r="A30" s="150" t="s">
        <v>129</v>
      </c>
      <c r="B30" s="150">
        <v>12685</v>
      </c>
      <c r="C30" s="150">
        <f>'- 4 -'!E30</f>
        <v>13016</v>
      </c>
      <c r="D30" s="237">
        <v>12.646693721651948</v>
      </c>
      <c r="E30" s="237">
        <f>'- 9 -'!C30</f>
        <v>12.494013409961687</v>
      </c>
      <c r="F30" s="150">
        <v>281298</v>
      </c>
      <c r="G30" s="150">
        <f>'- 55 -'!F30</f>
        <v>343756</v>
      </c>
      <c r="H30" s="237">
        <v>17.092347782855803</v>
      </c>
      <c r="I30" s="237">
        <f>'- 53 -'!G30</f>
        <v>14.145540122933898</v>
      </c>
    </row>
    <row r="31" spans="1:9" ht="14.1" customHeight="1">
      <c r="A31" s="355" t="s">
        <v>130</v>
      </c>
      <c r="B31" s="355">
        <v>10580</v>
      </c>
      <c r="C31" s="355">
        <f>'- 4 -'!E31</f>
        <v>10864</v>
      </c>
      <c r="D31" s="356">
        <v>12.973535048729763</v>
      </c>
      <c r="E31" s="356">
        <f>'- 9 -'!C31</f>
        <v>12.912972607641235</v>
      </c>
      <c r="F31" s="355">
        <v>292151</v>
      </c>
      <c r="G31" s="355">
        <f>'- 55 -'!F31</f>
        <v>333560</v>
      </c>
      <c r="H31" s="356">
        <v>15.729658604768465</v>
      </c>
      <c r="I31" s="356">
        <f>'- 53 -'!G31</f>
        <v>14.53646802063893</v>
      </c>
    </row>
    <row r="32" spans="1:9" ht="14.1" customHeight="1">
      <c r="A32" s="150" t="s">
        <v>131</v>
      </c>
      <c r="B32" s="150">
        <v>12729</v>
      </c>
      <c r="C32" s="150">
        <f>'- 4 -'!E32</f>
        <v>12472</v>
      </c>
      <c r="D32" s="237">
        <v>12.152172606526834</v>
      </c>
      <c r="E32" s="237">
        <f>'- 9 -'!C32</f>
        <v>12.364194615021258</v>
      </c>
      <c r="F32" s="150">
        <v>359016</v>
      </c>
      <c r="G32" s="150">
        <f>'- 55 -'!F32</f>
        <v>430405</v>
      </c>
      <c r="H32" s="237">
        <v>14.473853859252268</v>
      </c>
      <c r="I32" s="237">
        <f>'- 53 -'!G32</f>
        <v>12.937327383458204</v>
      </c>
    </row>
    <row r="33" spans="1:9" ht="14.1" customHeight="1">
      <c r="A33" s="355" t="s">
        <v>132</v>
      </c>
      <c r="B33" s="355">
        <v>13076</v>
      </c>
      <c r="C33" s="355">
        <f>'- 4 -'!E33</f>
        <v>13116</v>
      </c>
      <c r="D33" s="356">
        <v>12.593198992443325</v>
      </c>
      <c r="E33" s="356">
        <f>'- 9 -'!C33</f>
        <v>12.511691712913887</v>
      </c>
      <c r="F33" s="355">
        <v>336280</v>
      </c>
      <c r="G33" s="355">
        <f>'- 55 -'!F33</f>
        <v>405331</v>
      </c>
      <c r="H33" s="356">
        <v>15.888112386483442</v>
      </c>
      <c r="I33" s="356">
        <f>'- 53 -'!G33</f>
        <v>14.126698638773998</v>
      </c>
    </row>
    <row r="34" spans="1:9" ht="14.1" customHeight="1">
      <c r="A34" s="150" t="s">
        <v>133</v>
      </c>
      <c r="B34" s="150">
        <v>12786</v>
      </c>
      <c r="C34" s="150">
        <f>'- 4 -'!E34</f>
        <v>13291</v>
      </c>
      <c r="D34" s="237">
        <v>12.4651986838775</v>
      </c>
      <c r="E34" s="237">
        <f>'- 9 -'!C34</f>
        <v>12.418189757345147</v>
      </c>
      <c r="F34" s="150">
        <v>356869</v>
      </c>
      <c r="G34" s="150">
        <f>'- 55 -'!F34</f>
        <v>429151</v>
      </c>
      <c r="H34" s="237">
        <v>16.799831080446435</v>
      </c>
      <c r="I34" s="237">
        <f>'- 53 -'!G34</f>
        <v>15.359471480886524</v>
      </c>
    </row>
    <row r="35" spans="1:9" ht="14.1" customHeight="1">
      <c r="A35" s="355" t="s">
        <v>134</v>
      </c>
      <c r="B35" s="355">
        <v>10855</v>
      </c>
      <c r="C35" s="355">
        <f>'- 4 -'!E35</f>
        <v>11082</v>
      </c>
      <c r="D35" s="356">
        <v>13.557764343084132</v>
      </c>
      <c r="E35" s="356">
        <f>'- 9 -'!C35</f>
        <v>13.715147612705186</v>
      </c>
      <c r="F35" s="355">
        <v>322250</v>
      </c>
      <c r="G35" s="355">
        <f>'- 55 -'!F35</f>
        <v>367541</v>
      </c>
      <c r="H35" s="356">
        <v>14.638837452834139</v>
      </c>
      <c r="I35" s="356">
        <f>'- 53 -'!G35</f>
        <v>13.297131264911027</v>
      </c>
    </row>
    <row r="36" spans="1:9" ht="14.1" customHeight="1">
      <c r="A36" s="150" t="s">
        <v>135</v>
      </c>
      <c r="B36" s="150">
        <v>13054</v>
      </c>
      <c r="C36" s="150">
        <f>'- 4 -'!E36</f>
        <v>13149</v>
      </c>
      <c r="D36" s="237">
        <v>12.284873188405799</v>
      </c>
      <c r="E36" s="237">
        <f>'- 9 -'!C36</f>
        <v>12.240656200126192</v>
      </c>
      <c r="F36" s="150">
        <v>385158</v>
      </c>
      <c r="G36" s="150">
        <f>'- 55 -'!F36</f>
        <v>465319</v>
      </c>
      <c r="H36" s="237">
        <v>15.18739967854483</v>
      </c>
      <c r="I36" s="237">
        <f>'- 53 -'!G36</f>
        <v>13.258150836731502</v>
      </c>
    </row>
    <row r="37" spans="1:9" ht="14.1" customHeight="1">
      <c r="A37" s="355" t="s">
        <v>136</v>
      </c>
      <c r="B37" s="355">
        <v>10705</v>
      </c>
      <c r="C37" s="355">
        <f>'- 4 -'!E37</f>
        <v>11278</v>
      </c>
      <c r="D37" s="356">
        <v>14.330965284898198</v>
      </c>
      <c r="E37" s="356">
        <f>'- 9 -'!C37</f>
        <v>13.933241690458567</v>
      </c>
      <c r="F37" s="355">
        <v>244382</v>
      </c>
      <c r="G37" s="355">
        <f>'- 55 -'!F37</f>
        <v>269763</v>
      </c>
      <c r="H37" s="356">
        <v>15.536429544550314</v>
      </c>
      <c r="I37" s="356">
        <f>'- 53 -'!G37</f>
        <v>14.499335449878744</v>
      </c>
    </row>
    <row r="38" spans="1:9" ht="14.1" customHeight="1">
      <c r="A38" s="150" t="s">
        <v>137</v>
      </c>
      <c r="B38" s="150">
        <v>10789</v>
      </c>
      <c r="C38" s="150">
        <f>'- 4 -'!E38</f>
        <v>11345</v>
      </c>
      <c r="D38" s="237">
        <v>14.036044262999575</v>
      </c>
      <c r="E38" s="237">
        <f>'- 9 -'!C38</f>
        <v>13.958267090620033</v>
      </c>
      <c r="F38" s="150">
        <v>250226</v>
      </c>
      <c r="G38" s="150">
        <f>'- 55 -'!F38</f>
        <v>293689</v>
      </c>
      <c r="H38" s="237">
        <v>16.958346909368956</v>
      </c>
      <c r="I38" s="237">
        <f>'- 53 -'!G38</f>
        <v>14.933318426763881</v>
      </c>
    </row>
    <row r="39" spans="1:9" ht="14.1" customHeight="1">
      <c r="A39" s="355" t="s">
        <v>138</v>
      </c>
      <c r="B39" s="355">
        <v>12977</v>
      </c>
      <c r="C39" s="355">
        <f>'- 4 -'!E39</f>
        <v>12959</v>
      </c>
      <c r="D39" s="356">
        <v>12.444000000000001</v>
      </c>
      <c r="E39" s="356">
        <f>'- 9 -'!C39</f>
        <v>12.419891100081916</v>
      </c>
      <c r="F39" s="355">
        <v>435619</v>
      </c>
      <c r="G39" s="355">
        <f>'- 55 -'!F39</f>
        <v>601208</v>
      </c>
      <c r="H39" s="356">
        <v>14.968209923612523</v>
      </c>
      <c r="I39" s="356">
        <f>'- 53 -'!G39</f>
        <v>11.307003974110645</v>
      </c>
    </row>
    <row r="40" spans="1:9" ht="14.1" customHeight="1">
      <c r="A40" s="150" t="s">
        <v>139</v>
      </c>
      <c r="B40" s="150">
        <v>11841</v>
      </c>
      <c r="C40" s="150">
        <f>'- 4 -'!E40</f>
        <v>12265</v>
      </c>
      <c r="D40" s="237">
        <v>13.95802217497496</v>
      </c>
      <c r="E40" s="237">
        <f>'- 9 -'!C40</f>
        <v>13.429510653880875</v>
      </c>
      <c r="F40" s="150">
        <v>462268</v>
      </c>
      <c r="G40" s="150">
        <f>'- 55 -'!F40</f>
        <v>535756</v>
      </c>
      <c r="H40" s="237">
        <v>13.398505086892365</v>
      </c>
      <c r="I40" s="237">
        <f>'- 53 -'!G40</f>
        <v>12.150705147562073</v>
      </c>
    </row>
    <row r="41" spans="1:9" ht="14.1" customHeight="1">
      <c r="A41" s="355" t="s">
        <v>140</v>
      </c>
      <c r="B41" s="355">
        <v>13013</v>
      </c>
      <c r="C41" s="355">
        <f>'- 4 -'!E41</f>
        <v>13425</v>
      </c>
      <c r="D41" s="356">
        <v>12.450559385241268</v>
      </c>
      <c r="E41" s="356">
        <f>'- 9 -'!C41</f>
        <v>12.58196839703036</v>
      </c>
      <c r="F41" s="355">
        <v>396963</v>
      </c>
      <c r="G41" s="355">
        <f>'- 55 -'!F41</f>
        <v>452339</v>
      </c>
      <c r="H41" s="356">
        <v>14.857944819805915</v>
      </c>
      <c r="I41" s="356">
        <f>'- 53 -'!G41</f>
        <v>13.778411867481402</v>
      </c>
    </row>
    <row r="42" spans="1:9" ht="14.1" customHeight="1">
      <c r="A42" s="150" t="s">
        <v>141</v>
      </c>
      <c r="B42" s="150">
        <v>13740</v>
      </c>
      <c r="C42" s="150">
        <f>'- 4 -'!E42</f>
        <v>13961</v>
      </c>
      <c r="D42" s="237">
        <v>12.105263157894736</v>
      </c>
      <c r="E42" s="237">
        <f>'- 9 -'!C42</f>
        <v>12.18993253762325</v>
      </c>
      <c r="F42" s="150">
        <v>241928</v>
      </c>
      <c r="G42" s="150">
        <f>'- 55 -'!F42</f>
        <v>292574</v>
      </c>
      <c r="H42" s="237">
        <v>18.678137856399569</v>
      </c>
      <c r="I42" s="237">
        <f>'- 53 -'!G42</f>
        <v>16.303344583292652</v>
      </c>
    </row>
    <row r="43" spans="1:9" ht="14.1" customHeight="1">
      <c r="A43" s="355" t="s">
        <v>142</v>
      </c>
      <c r="B43" s="355">
        <v>12376</v>
      </c>
      <c r="C43" s="355">
        <f>'- 4 -'!E43</f>
        <v>13074</v>
      </c>
      <c r="D43" s="356">
        <v>12.481509818923744</v>
      </c>
      <c r="E43" s="356">
        <f>'- 9 -'!C43</f>
        <v>11.426215895610914</v>
      </c>
      <c r="F43" s="355">
        <v>354995</v>
      </c>
      <c r="G43" s="355">
        <f>'- 55 -'!F43</f>
        <v>422493</v>
      </c>
      <c r="H43" s="356">
        <v>16.366904290057438</v>
      </c>
      <c r="I43" s="356">
        <f>'- 53 -'!G43</f>
        <v>14.551783702463959</v>
      </c>
    </row>
    <row r="44" spans="1:9" ht="14.1" customHeight="1">
      <c r="A44" s="150" t="s">
        <v>143</v>
      </c>
      <c r="B44" s="150">
        <v>14646</v>
      </c>
      <c r="C44" s="150">
        <f>'- 4 -'!E44</f>
        <v>15155</v>
      </c>
      <c r="D44" s="237">
        <v>11.111991129415491</v>
      </c>
      <c r="E44" s="237">
        <f>'- 9 -'!C44</f>
        <v>11.036125446605794</v>
      </c>
      <c r="F44" s="150">
        <v>186381</v>
      </c>
      <c r="G44" s="150">
        <f>'- 55 -'!F44</f>
        <v>209531</v>
      </c>
      <c r="H44" s="237">
        <v>19.320924401324479</v>
      </c>
      <c r="I44" s="237">
        <f>'- 53 -'!G44</f>
        <v>18.699481204322574</v>
      </c>
    </row>
    <row r="45" spans="1:9" ht="14.1" customHeight="1">
      <c r="A45" s="355" t="s">
        <v>144</v>
      </c>
      <c r="B45" s="355">
        <v>10189</v>
      </c>
      <c r="C45" s="355">
        <f>'- 4 -'!E45</f>
        <v>10605</v>
      </c>
      <c r="D45" s="356">
        <v>13.701821262177043</v>
      </c>
      <c r="E45" s="356">
        <f>'- 9 -'!C45</f>
        <v>13.653355989804588</v>
      </c>
      <c r="F45" s="355">
        <v>247105</v>
      </c>
      <c r="G45" s="355">
        <f>'- 55 -'!F45</f>
        <v>277782</v>
      </c>
      <c r="H45" s="356">
        <v>18.381702655581645</v>
      </c>
      <c r="I45" s="356">
        <f>'- 53 -'!G45</f>
        <v>17.058503766076356</v>
      </c>
    </row>
    <row r="46" spans="1:9" ht="14.1" customHeight="1">
      <c r="A46" s="150" t="s">
        <v>145</v>
      </c>
      <c r="B46" s="150">
        <v>11622</v>
      </c>
      <c r="C46" s="150">
        <f>'- 4 -'!E46</f>
        <v>11985</v>
      </c>
      <c r="D46" s="237">
        <v>13.56147516776694</v>
      </c>
      <c r="E46" s="237">
        <f>'- 9 -'!C46</f>
        <v>13.404035016158891</v>
      </c>
      <c r="F46" s="150">
        <v>313494</v>
      </c>
      <c r="G46" s="150">
        <f>'- 55 -'!F46</f>
        <v>360068</v>
      </c>
      <c r="H46" s="237">
        <v>16.733323868677022</v>
      </c>
      <c r="I46" s="237">
        <f>'- 53 -'!G46</f>
        <v>15.04641358769644</v>
      </c>
    </row>
    <row r="47" spans="1:9" ht="5.0999999999999996" customHeight="1">
      <c r="A47"/>
      <c r="B47"/>
      <c r="C47"/>
      <c r="D47" s="381"/>
      <c r="E47" s="381"/>
      <c r="F47"/>
      <c r="G47"/>
      <c r="H47" s="381"/>
      <c r="I47" s="381"/>
    </row>
    <row r="48" spans="1:9" ht="14.1" customHeight="1">
      <c r="A48" s="358" t="s">
        <v>146</v>
      </c>
      <c r="B48" s="359">
        <v>11845</v>
      </c>
      <c r="C48" s="359">
        <f>'- 4 -'!E48</f>
        <v>12205</v>
      </c>
      <c r="D48" s="382">
        <v>13.259317349107096</v>
      </c>
      <c r="E48" s="382">
        <f>'- 9 -'!C48</f>
        <v>13.212881005292349</v>
      </c>
      <c r="F48" s="359">
        <v>322846.28653302381</v>
      </c>
      <c r="G48" s="359">
        <f>'- 55 -'!F48</f>
        <v>371860.10778698581</v>
      </c>
      <c r="H48" s="382">
        <v>15.286442903116251</v>
      </c>
      <c r="I48" s="382">
        <f>'- 53 -'!G48</f>
        <v>13.923862577589491</v>
      </c>
    </row>
    <row r="49" spans="1:9" ht="5.0999999999999996" customHeight="1">
      <c r="A49" s="129"/>
      <c r="B49" s="151"/>
      <c r="C49" s="151"/>
      <c r="D49" s="239"/>
      <c r="E49" s="239"/>
      <c r="F49" s="151"/>
      <c r="G49" s="151"/>
      <c r="H49" s="239"/>
      <c r="I49" s="239"/>
    </row>
    <row r="50" spans="1:9" ht="14.1" customHeight="1">
      <c r="A50" s="150" t="s">
        <v>147</v>
      </c>
      <c r="B50" s="150">
        <v>17996</v>
      </c>
      <c r="C50" s="150">
        <f>'- 4 -'!E50</f>
        <v>19126</v>
      </c>
      <c r="D50" s="237">
        <v>8.5888077858880774</v>
      </c>
      <c r="E50" s="237">
        <f>'- 9 -'!C50</f>
        <v>7.4551971326164876</v>
      </c>
      <c r="F50" s="150"/>
      <c r="G50" s="150"/>
      <c r="H50" s="237">
        <v>0</v>
      </c>
      <c r="I50" s="237">
        <f>'- 53 -'!G50</f>
        <v>0</v>
      </c>
    </row>
    <row r="51" spans="1:9" ht="14.1" customHeight="1">
      <c r="A51" s="355" t="s">
        <v>643</v>
      </c>
      <c r="B51" s="355">
        <v>13607</v>
      </c>
      <c r="C51" s="355">
        <f>'- 4 -'!E51</f>
        <v>15963</v>
      </c>
      <c r="D51" s="356">
        <v>18.072499999999998</v>
      </c>
      <c r="E51" s="356">
        <f>'- 9 -'!C51</f>
        <v>18.345679012345681</v>
      </c>
      <c r="F51" s="355"/>
      <c r="G51" s="355"/>
      <c r="H51" s="356">
        <v>0</v>
      </c>
      <c r="I51" s="356">
        <f>'- 53 -'!G51</f>
        <v>0</v>
      </c>
    </row>
    <row r="52" spans="1:9" ht="50.1" customHeight="1">
      <c r="A52" s="22"/>
      <c r="B52" s="22"/>
      <c r="C52" s="22"/>
      <c r="D52" s="22"/>
      <c r="E52" s="22"/>
      <c r="F52" s="22"/>
      <c r="G52" s="22"/>
      <c r="H52" s="22"/>
      <c r="I52" s="22"/>
    </row>
    <row r="53" spans="1:9" ht="15" customHeight="1">
      <c r="A53" s="37" t="s">
        <v>339</v>
      </c>
      <c r="B53" s="37"/>
      <c r="C53" s="37"/>
    </row>
    <row r="54" spans="1:9" ht="12" customHeight="1">
      <c r="A54" s="37" t="s">
        <v>340</v>
      </c>
      <c r="B54" s="37"/>
      <c r="C54" s="37"/>
    </row>
    <row r="55" spans="1:9" ht="12" customHeight="1">
      <c r="A55" s="132" t="s">
        <v>441</v>
      </c>
      <c r="B55" s="37"/>
      <c r="C55" s="37"/>
    </row>
    <row r="56" spans="1:9" ht="12" customHeight="1">
      <c r="A56" s="132" t="s">
        <v>442</v>
      </c>
      <c r="B56" s="37"/>
      <c r="C56" s="37"/>
    </row>
    <row r="57" spans="1:9" ht="12" customHeight="1">
      <c r="A57" s="37"/>
      <c r="B57" s="37"/>
      <c r="C57" s="37"/>
    </row>
    <row r="58" spans="1:9" ht="12" customHeight="1">
      <c r="B58" s="37"/>
      <c r="C58" s="37"/>
    </row>
  </sheetData>
  <mergeCells count="4">
    <mergeCell ref="H7:I8"/>
    <mergeCell ref="F6:G8"/>
    <mergeCell ref="D7:E8"/>
    <mergeCell ref="B6:C8"/>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6.xml><?xml version="1.0" encoding="utf-8"?>
<worksheet xmlns="http://schemas.openxmlformats.org/spreadsheetml/2006/main" xmlns:r="http://schemas.openxmlformats.org/officeDocument/2006/relationships">
  <sheetPr codeName="Sheet5">
    <pageSetUpPr fitToPage="1"/>
  </sheetPr>
  <dimension ref="A1:H57"/>
  <sheetViews>
    <sheetView showGridLines="0" showZeros="0" workbookViewId="0"/>
  </sheetViews>
  <sheetFormatPr defaultColWidth="16.83203125" defaultRowHeight="12"/>
  <cols>
    <col min="1" max="1" width="32.83203125" style="1" customWidth="1"/>
    <col min="2" max="6" width="16.83203125" style="1" customWidth="1"/>
    <col min="7" max="16384" width="16.83203125" style="1"/>
  </cols>
  <sheetData>
    <row r="1" spans="1:7" ht="6.95" customHeight="1">
      <c r="A1" s="6"/>
      <c r="B1" s="7"/>
      <c r="C1" s="7"/>
      <c r="D1" s="7"/>
      <c r="E1" s="7"/>
      <c r="F1" s="7"/>
      <c r="G1" s="7"/>
    </row>
    <row r="2" spans="1:7" ht="15.95" customHeight="1">
      <c r="A2" s="62"/>
      <c r="B2" s="71" t="s">
        <v>87</v>
      </c>
      <c r="C2" s="9"/>
      <c r="D2" s="9"/>
      <c r="E2" s="9"/>
      <c r="F2" s="72"/>
      <c r="G2" s="72"/>
    </row>
    <row r="3" spans="1:7" ht="15.95" customHeight="1">
      <c r="A3" s="547"/>
      <c r="B3" s="73" t="s">
        <v>228</v>
      </c>
      <c r="C3" s="11"/>
      <c r="D3" s="11"/>
      <c r="E3" s="11"/>
      <c r="F3" s="74"/>
      <c r="G3" s="74"/>
    </row>
    <row r="4" spans="1:7" ht="15.95" customHeight="1">
      <c r="B4" s="7"/>
      <c r="C4" s="7"/>
      <c r="D4" s="7"/>
      <c r="E4" s="7"/>
      <c r="F4" s="7"/>
      <c r="G4" s="7"/>
    </row>
    <row r="5" spans="1:7" ht="15.95" customHeight="1"/>
    <row r="6" spans="1:7" ht="15.95" customHeight="1">
      <c r="B6" s="533" t="s">
        <v>241</v>
      </c>
      <c r="C6" s="534"/>
      <c r="D6" s="535"/>
      <c r="E6" s="536" t="s">
        <v>242</v>
      </c>
      <c r="F6" s="536" t="s">
        <v>243</v>
      </c>
      <c r="G6" s="537" t="s">
        <v>243</v>
      </c>
    </row>
    <row r="7" spans="1:7" ht="15.95" customHeight="1">
      <c r="B7" s="612" t="s">
        <v>414</v>
      </c>
      <c r="C7" s="613"/>
      <c r="D7" s="614"/>
      <c r="E7" s="397" t="s">
        <v>414</v>
      </c>
      <c r="F7" s="455" t="s">
        <v>401</v>
      </c>
      <c r="G7" s="455" t="s">
        <v>393</v>
      </c>
    </row>
    <row r="8" spans="1:7" ht="15.95" customHeight="1">
      <c r="A8" s="406"/>
      <c r="B8" s="582" t="s">
        <v>481</v>
      </c>
      <c r="C8" s="605" t="s">
        <v>482</v>
      </c>
      <c r="D8" s="605" t="s">
        <v>483</v>
      </c>
      <c r="E8" s="606" t="s">
        <v>478</v>
      </c>
      <c r="F8" s="606" t="s">
        <v>483</v>
      </c>
      <c r="G8" s="610" t="s">
        <v>483</v>
      </c>
    </row>
    <row r="9" spans="1:7" ht="15.95" customHeight="1">
      <c r="A9" s="407" t="s">
        <v>43</v>
      </c>
      <c r="B9" s="615"/>
      <c r="C9" s="616"/>
      <c r="D9" s="616"/>
      <c r="E9" s="609"/>
      <c r="F9" s="609"/>
      <c r="G9" s="611"/>
    </row>
    <row r="10" spans="1:7" ht="5.0999999999999996" customHeight="1">
      <c r="A10" s="5"/>
    </row>
    <row r="11" spans="1:7" ht="14.1" customHeight="1">
      <c r="A11" s="287" t="s">
        <v>111</v>
      </c>
      <c r="B11" s="288">
        <v>1659</v>
      </c>
      <c r="C11" s="288">
        <v>0</v>
      </c>
      <c r="D11" s="288">
        <f>+B11-C11</f>
        <v>1659</v>
      </c>
      <c r="E11" s="294">
        <f>'- 7 -'!E11</f>
        <v>1599</v>
      </c>
      <c r="F11" s="294">
        <v>1478</v>
      </c>
      <c r="G11" s="294">
        <v>1496.5</v>
      </c>
    </row>
    <row r="12" spans="1:7" ht="14.1" customHeight="1">
      <c r="A12" s="18" t="s">
        <v>112</v>
      </c>
      <c r="B12" s="19">
        <v>2199</v>
      </c>
      <c r="C12" s="19">
        <v>0</v>
      </c>
      <c r="D12" s="19">
        <f t="shared" ref="D12:D46" si="0">+B12-C12</f>
        <v>2199</v>
      </c>
      <c r="E12" s="69">
        <f>'- 7 -'!E12</f>
        <v>2133.7999999999997</v>
      </c>
      <c r="F12" s="69">
        <v>2065.2999999999997</v>
      </c>
      <c r="G12" s="69">
        <v>2154.9</v>
      </c>
    </row>
    <row r="13" spans="1:7" ht="14.1" customHeight="1">
      <c r="A13" s="287" t="s">
        <v>113</v>
      </c>
      <c r="B13" s="288">
        <v>8404</v>
      </c>
      <c r="C13" s="288">
        <v>0</v>
      </c>
      <c r="D13" s="288">
        <f t="shared" si="0"/>
        <v>8404</v>
      </c>
      <c r="E13" s="294">
        <f>'- 7 -'!E13</f>
        <v>8056</v>
      </c>
      <c r="F13" s="294">
        <v>7928.6</v>
      </c>
      <c r="G13" s="294">
        <v>7781.5</v>
      </c>
    </row>
    <row r="14" spans="1:7" ht="14.1" customHeight="1">
      <c r="A14" s="18" t="s">
        <v>365</v>
      </c>
      <c r="B14" s="19">
        <v>5257</v>
      </c>
      <c r="C14" s="19">
        <v>17</v>
      </c>
      <c r="D14" s="19">
        <f t="shared" si="0"/>
        <v>5240</v>
      </c>
      <c r="E14" s="69">
        <f>'- 7 -'!E14</f>
        <v>5240</v>
      </c>
      <c r="F14" s="69">
        <v>4943.8</v>
      </c>
      <c r="G14" s="69">
        <v>4837.7</v>
      </c>
    </row>
    <row r="15" spans="1:7" ht="14.1" customHeight="1">
      <c r="A15" s="287" t="s">
        <v>114</v>
      </c>
      <c r="B15" s="288">
        <v>1498</v>
      </c>
      <c r="C15" s="288">
        <v>0</v>
      </c>
      <c r="D15" s="288">
        <f t="shared" si="0"/>
        <v>1498</v>
      </c>
      <c r="E15" s="294">
        <f>'- 7 -'!E15</f>
        <v>1452.5</v>
      </c>
      <c r="F15" s="294">
        <v>1483</v>
      </c>
      <c r="G15" s="294">
        <v>1512</v>
      </c>
    </row>
    <row r="16" spans="1:7" ht="14.1" customHeight="1">
      <c r="A16" s="18" t="s">
        <v>115</v>
      </c>
      <c r="B16" s="19">
        <v>981</v>
      </c>
      <c r="C16" s="19">
        <v>0</v>
      </c>
      <c r="D16" s="19">
        <f t="shared" si="0"/>
        <v>981</v>
      </c>
      <c r="E16" s="69">
        <f>'- 7 -'!E16</f>
        <v>913.4</v>
      </c>
      <c r="F16" s="69">
        <v>933.4</v>
      </c>
      <c r="G16" s="69">
        <v>956.6</v>
      </c>
    </row>
    <row r="17" spans="1:7" ht="14.1" customHeight="1">
      <c r="A17" s="287" t="s">
        <v>116</v>
      </c>
      <c r="B17" s="288">
        <v>1384</v>
      </c>
      <c r="C17" s="288">
        <v>0</v>
      </c>
      <c r="D17" s="288">
        <f t="shared" si="0"/>
        <v>1384</v>
      </c>
      <c r="E17" s="294">
        <f>'- 7 -'!E17</f>
        <v>1336</v>
      </c>
      <c r="F17" s="294">
        <v>1265.3</v>
      </c>
      <c r="G17" s="294">
        <v>1263</v>
      </c>
    </row>
    <row r="18" spans="1:7" ht="14.1" customHeight="1">
      <c r="A18" s="18" t="s">
        <v>117</v>
      </c>
      <c r="B18" s="19">
        <v>6800</v>
      </c>
      <c r="C18" s="19">
        <v>436</v>
      </c>
      <c r="D18" s="19">
        <f t="shared" si="0"/>
        <v>6364</v>
      </c>
      <c r="E18" s="69">
        <f>'- 7 -'!E18</f>
        <v>6068.27</v>
      </c>
      <c r="F18" s="69">
        <v>2352.4</v>
      </c>
      <c r="G18" s="69">
        <v>2409.1000000000004</v>
      </c>
    </row>
    <row r="19" spans="1:7" ht="14.1" customHeight="1">
      <c r="A19" s="287" t="s">
        <v>118</v>
      </c>
      <c r="B19" s="288">
        <v>4356</v>
      </c>
      <c r="C19" s="288">
        <v>0</v>
      </c>
      <c r="D19" s="288">
        <f t="shared" si="0"/>
        <v>4356</v>
      </c>
      <c r="E19" s="294">
        <f>'- 7 -'!E19</f>
        <v>4215.3</v>
      </c>
      <c r="F19" s="294">
        <v>4155.6000000000004</v>
      </c>
      <c r="G19" s="294">
        <v>4168.2</v>
      </c>
    </row>
    <row r="20" spans="1:7" ht="14.1" customHeight="1">
      <c r="A20" s="18" t="s">
        <v>119</v>
      </c>
      <c r="B20" s="19">
        <v>7705</v>
      </c>
      <c r="C20" s="19">
        <v>0</v>
      </c>
      <c r="D20" s="19">
        <f t="shared" si="0"/>
        <v>7705</v>
      </c>
      <c r="E20" s="69">
        <f>'- 7 -'!E20</f>
        <v>7371</v>
      </c>
      <c r="F20" s="69">
        <v>7371</v>
      </c>
      <c r="G20" s="69">
        <v>7378.4</v>
      </c>
    </row>
    <row r="21" spans="1:7" ht="14.1" customHeight="1">
      <c r="A21" s="287" t="s">
        <v>120</v>
      </c>
      <c r="B21" s="288">
        <v>2793</v>
      </c>
      <c r="C21" s="288">
        <v>0</v>
      </c>
      <c r="D21" s="288">
        <f t="shared" si="0"/>
        <v>2793</v>
      </c>
      <c r="E21" s="294">
        <f>'- 7 -'!E21</f>
        <v>2677</v>
      </c>
      <c r="F21" s="294">
        <v>2699.6</v>
      </c>
      <c r="G21" s="294">
        <v>2756.8</v>
      </c>
    </row>
    <row r="22" spans="1:7" ht="14.1" customHeight="1">
      <c r="A22" s="18" t="s">
        <v>121</v>
      </c>
      <c r="B22" s="19">
        <v>1603</v>
      </c>
      <c r="C22" s="19">
        <v>0</v>
      </c>
      <c r="D22" s="19">
        <f t="shared" si="0"/>
        <v>1603</v>
      </c>
      <c r="E22" s="69">
        <f>'- 7 -'!E22</f>
        <v>1531.9</v>
      </c>
      <c r="F22" s="69">
        <v>1568.2</v>
      </c>
      <c r="G22" s="69">
        <v>1595.5</v>
      </c>
    </row>
    <row r="23" spans="1:7" ht="14.1" customHeight="1">
      <c r="A23" s="287" t="s">
        <v>122</v>
      </c>
      <c r="B23" s="288">
        <v>1154</v>
      </c>
      <c r="C23" s="288">
        <v>0</v>
      </c>
      <c r="D23" s="288">
        <f t="shared" si="0"/>
        <v>1154</v>
      </c>
      <c r="E23" s="294">
        <f>'- 7 -'!E23</f>
        <v>1122</v>
      </c>
      <c r="F23" s="294">
        <v>1056.6000000000001</v>
      </c>
      <c r="G23" s="294">
        <v>1075.5999999999999</v>
      </c>
    </row>
    <row r="24" spans="1:7" ht="14.1" customHeight="1">
      <c r="A24" s="18" t="s">
        <v>123</v>
      </c>
      <c r="B24" s="19">
        <v>4183</v>
      </c>
      <c r="C24" s="19">
        <v>0</v>
      </c>
      <c r="D24" s="19">
        <f t="shared" si="0"/>
        <v>4183</v>
      </c>
      <c r="E24" s="69">
        <f>'- 7 -'!E24</f>
        <v>4047.1</v>
      </c>
      <c r="F24" s="69">
        <v>4050.9</v>
      </c>
      <c r="G24" s="69">
        <v>4159.2</v>
      </c>
    </row>
    <row r="25" spans="1:7" ht="14.1" customHeight="1">
      <c r="A25" s="287" t="s">
        <v>124</v>
      </c>
      <c r="B25" s="288">
        <v>14530</v>
      </c>
      <c r="C25" s="288">
        <v>0</v>
      </c>
      <c r="D25" s="288">
        <f t="shared" si="0"/>
        <v>14530</v>
      </c>
      <c r="E25" s="294">
        <f>'- 7 -'!E25</f>
        <v>13893.9</v>
      </c>
      <c r="F25" s="294">
        <v>13552.5</v>
      </c>
      <c r="G25" s="294">
        <v>13554.300000000001</v>
      </c>
    </row>
    <row r="26" spans="1:7" ht="14.1" customHeight="1">
      <c r="A26" s="18" t="s">
        <v>125</v>
      </c>
      <c r="B26" s="19">
        <v>3204</v>
      </c>
      <c r="C26" s="19">
        <v>0</v>
      </c>
      <c r="D26" s="19">
        <f t="shared" si="0"/>
        <v>3204</v>
      </c>
      <c r="E26" s="69">
        <f>'- 7 -'!E26</f>
        <v>3107.5</v>
      </c>
      <c r="F26" s="69">
        <v>2964</v>
      </c>
      <c r="G26" s="69">
        <v>2958.4</v>
      </c>
    </row>
    <row r="27" spans="1:7" ht="14.1" customHeight="1">
      <c r="A27" s="287" t="s">
        <v>126</v>
      </c>
      <c r="B27" s="288">
        <v>2993</v>
      </c>
      <c r="C27" s="288">
        <v>0</v>
      </c>
      <c r="D27" s="288">
        <f t="shared" si="0"/>
        <v>2993</v>
      </c>
      <c r="E27" s="294">
        <f>'- 7 -'!E27</f>
        <v>2857.5</v>
      </c>
      <c r="F27" s="294">
        <v>2723.2</v>
      </c>
      <c r="G27" s="294">
        <v>2684</v>
      </c>
    </row>
    <row r="28" spans="1:7" ht="14.1" customHeight="1">
      <c r="A28" s="18" t="s">
        <v>127</v>
      </c>
      <c r="B28" s="19">
        <v>2104</v>
      </c>
      <c r="C28" s="19">
        <v>39</v>
      </c>
      <c r="D28" s="19">
        <f t="shared" si="0"/>
        <v>2065</v>
      </c>
      <c r="E28" s="69">
        <f>'- 7 -'!E28</f>
        <v>2001</v>
      </c>
      <c r="F28" s="69">
        <v>1517.6</v>
      </c>
      <c r="G28" s="69">
        <v>1503.8</v>
      </c>
    </row>
    <row r="29" spans="1:7" ht="14.1" customHeight="1">
      <c r="A29" s="287" t="s">
        <v>128</v>
      </c>
      <c r="B29" s="288">
        <v>12935</v>
      </c>
      <c r="C29" s="288">
        <v>0</v>
      </c>
      <c r="D29" s="288">
        <f t="shared" si="0"/>
        <v>12935</v>
      </c>
      <c r="E29" s="294">
        <f>'- 7 -'!E29</f>
        <v>12437.2</v>
      </c>
      <c r="F29" s="294">
        <v>12077.7</v>
      </c>
      <c r="G29" s="294">
        <v>12076.7</v>
      </c>
    </row>
    <row r="30" spans="1:7" ht="14.1" customHeight="1">
      <c r="A30" s="18" t="s">
        <v>129</v>
      </c>
      <c r="B30" s="19">
        <v>1081</v>
      </c>
      <c r="C30" s="19">
        <v>0</v>
      </c>
      <c r="D30" s="19">
        <f t="shared" si="0"/>
        <v>1081</v>
      </c>
      <c r="E30" s="69">
        <f>'- 7 -'!E30</f>
        <v>1043.5</v>
      </c>
      <c r="F30" s="69">
        <v>1057.5</v>
      </c>
      <c r="G30" s="69">
        <v>1073.8</v>
      </c>
    </row>
    <row r="31" spans="1:7" ht="14.1" customHeight="1">
      <c r="A31" s="287" t="s">
        <v>130</v>
      </c>
      <c r="B31" s="288">
        <v>3377</v>
      </c>
      <c r="C31" s="288">
        <v>0</v>
      </c>
      <c r="D31" s="288">
        <f t="shared" si="0"/>
        <v>3377</v>
      </c>
      <c r="E31" s="294">
        <f>'- 7 -'!E31</f>
        <v>3248</v>
      </c>
      <c r="F31" s="294">
        <v>3053.2</v>
      </c>
      <c r="G31" s="294">
        <v>3054</v>
      </c>
    </row>
    <row r="32" spans="1:7" ht="14.1" customHeight="1">
      <c r="A32" s="18" t="s">
        <v>131</v>
      </c>
      <c r="B32" s="19">
        <v>2193</v>
      </c>
      <c r="C32" s="19">
        <v>0</v>
      </c>
      <c r="D32" s="19">
        <f t="shared" si="0"/>
        <v>2193</v>
      </c>
      <c r="E32" s="69">
        <f>'- 7 -'!E32</f>
        <v>2094</v>
      </c>
      <c r="F32" s="69">
        <v>2010</v>
      </c>
      <c r="G32" s="69">
        <v>2037.7</v>
      </c>
    </row>
    <row r="33" spans="1:8" ht="14.1" customHeight="1">
      <c r="A33" s="287" t="s">
        <v>132</v>
      </c>
      <c r="B33" s="288">
        <v>2087</v>
      </c>
      <c r="C33" s="288">
        <v>0</v>
      </c>
      <c r="D33" s="288">
        <f t="shared" si="0"/>
        <v>2087</v>
      </c>
      <c r="E33" s="294">
        <f>'- 7 -'!E33</f>
        <v>2006.5</v>
      </c>
      <c r="F33" s="294">
        <v>1970.8</v>
      </c>
      <c r="G33" s="294">
        <v>1988</v>
      </c>
    </row>
    <row r="34" spans="1:8" ht="14.1" customHeight="1">
      <c r="A34" s="18" t="s">
        <v>133</v>
      </c>
      <c r="B34" s="19">
        <v>2069</v>
      </c>
      <c r="C34" s="19">
        <v>0</v>
      </c>
      <c r="D34" s="19">
        <f t="shared" si="0"/>
        <v>2069</v>
      </c>
      <c r="E34" s="69">
        <f>'- 7 -'!E34</f>
        <v>1990.76</v>
      </c>
      <c r="F34" s="69">
        <v>1972.8</v>
      </c>
      <c r="G34" s="69">
        <v>2025.6</v>
      </c>
    </row>
    <row r="35" spans="1:8" ht="14.1" customHeight="1">
      <c r="A35" s="287" t="s">
        <v>134</v>
      </c>
      <c r="B35" s="288">
        <v>16099</v>
      </c>
      <c r="C35" s="288">
        <v>0</v>
      </c>
      <c r="D35" s="288">
        <f t="shared" si="0"/>
        <v>16099</v>
      </c>
      <c r="E35" s="294">
        <f>'- 7 -'!E35</f>
        <v>15549</v>
      </c>
      <c r="F35" s="294">
        <v>15406.800000000001</v>
      </c>
      <c r="G35" s="294">
        <v>15564.999999999998</v>
      </c>
    </row>
    <row r="36" spans="1:8" ht="14.1" customHeight="1">
      <c r="A36" s="18" t="s">
        <v>135</v>
      </c>
      <c r="B36" s="19">
        <v>1728</v>
      </c>
      <c r="C36" s="19">
        <v>0</v>
      </c>
      <c r="D36" s="19">
        <f t="shared" si="0"/>
        <v>1728</v>
      </c>
      <c r="E36" s="69">
        <f>'- 7 -'!E36</f>
        <v>1649</v>
      </c>
      <c r="F36" s="69">
        <v>1516.8</v>
      </c>
      <c r="G36" s="69">
        <v>1550.4</v>
      </c>
    </row>
    <row r="37" spans="1:8" ht="14.1" customHeight="1">
      <c r="A37" s="287" t="s">
        <v>136</v>
      </c>
      <c r="B37" s="288">
        <v>4110</v>
      </c>
      <c r="C37" s="288">
        <v>0</v>
      </c>
      <c r="D37" s="288">
        <f t="shared" si="0"/>
        <v>4110</v>
      </c>
      <c r="E37" s="294">
        <f>'- 7 -'!E37</f>
        <v>3953</v>
      </c>
      <c r="F37" s="294">
        <v>3904.3</v>
      </c>
      <c r="G37" s="294">
        <v>3714.2</v>
      </c>
    </row>
    <row r="38" spans="1:8" ht="14.1" customHeight="1">
      <c r="A38" s="18" t="s">
        <v>137</v>
      </c>
      <c r="B38" s="19">
        <v>10969</v>
      </c>
      <c r="C38" s="19">
        <v>0</v>
      </c>
      <c r="D38" s="19">
        <f t="shared" si="0"/>
        <v>10969</v>
      </c>
      <c r="E38" s="69">
        <f>'- 7 -'!E38</f>
        <v>10535.7</v>
      </c>
      <c r="F38" s="69">
        <v>10360.9</v>
      </c>
      <c r="G38" s="69">
        <v>10270.700000000001</v>
      </c>
    </row>
    <row r="39" spans="1:8" ht="14.1" customHeight="1">
      <c r="A39" s="287" t="s">
        <v>138</v>
      </c>
      <c r="B39" s="288">
        <v>1616</v>
      </c>
      <c r="C39" s="288">
        <v>0</v>
      </c>
      <c r="D39" s="288">
        <f t="shared" si="0"/>
        <v>1616</v>
      </c>
      <c r="E39" s="294">
        <f>'- 7 -'!E39</f>
        <v>1546.5</v>
      </c>
      <c r="F39" s="294">
        <v>1553.5</v>
      </c>
      <c r="G39" s="294">
        <v>1584.8</v>
      </c>
    </row>
    <row r="40" spans="1:8" ht="14.1" customHeight="1">
      <c r="A40" s="18" t="s">
        <v>139</v>
      </c>
      <c r="B40" s="19">
        <v>8197</v>
      </c>
      <c r="C40" s="19">
        <v>0</v>
      </c>
      <c r="D40" s="19">
        <f t="shared" si="0"/>
        <v>8197</v>
      </c>
      <c r="E40" s="69">
        <f>'- 7 -'!E40</f>
        <v>7884.6</v>
      </c>
      <c r="F40" s="69">
        <v>7865.9</v>
      </c>
      <c r="G40" s="69">
        <v>7913.4000000000005</v>
      </c>
    </row>
    <row r="41" spans="1:8" ht="14.1" customHeight="1">
      <c r="A41" s="287" t="s">
        <v>140</v>
      </c>
      <c r="B41" s="288">
        <v>4516</v>
      </c>
      <c r="C41" s="288">
        <v>0</v>
      </c>
      <c r="D41" s="288">
        <f t="shared" si="0"/>
        <v>4516</v>
      </c>
      <c r="E41" s="294">
        <f>'- 7 -'!E41</f>
        <v>4355.5</v>
      </c>
      <c r="F41" s="294">
        <v>4335.8</v>
      </c>
      <c r="G41" s="294">
        <v>4384.8</v>
      </c>
    </row>
    <row r="42" spans="1:8" ht="14.1" customHeight="1">
      <c r="A42" s="18" t="s">
        <v>141</v>
      </c>
      <c r="B42" s="19">
        <v>1519</v>
      </c>
      <c r="C42" s="19">
        <v>54</v>
      </c>
      <c r="D42" s="19">
        <f t="shared" si="0"/>
        <v>1465</v>
      </c>
      <c r="E42" s="69">
        <f>'- 7 -'!E42</f>
        <v>1409.4</v>
      </c>
      <c r="F42" s="69">
        <v>1407.3</v>
      </c>
      <c r="G42" s="69">
        <v>1394.2</v>
      </c>
    </row>
    <row r="43" spans="1:8" ht="14.1" customHeight="1">
      <c r="A43" s="287" t="s">
        <v>142</v>
      </c>
      <c r="B43" s="288">
        <v>1002</v>
      </c>
      <c r="C43" s="288">
        <v>0</v>
      </c>
      <c r="D43" s="288">
        <f t="shared" si="0"/>
        <v>1002</v>
      </c>
      <c r="E43" s="294">
        <f>'- 7 -'!E43</f>
        <v>963.23</v>
      </c>
      <c r="F43" s="294">
        <v>978.8</v>
      </c>
      <c r="G43" s="294">
        <v>975.5</v>
      </c>
    </row>
    <row r="44" spans="1:8" ht="14.1" customHeight="1">
      <c r="A44" s="18" t="s">
        <v>143</v>
      </c>
      <c r="B44" s="19">
        <v>726</v>
      </c>
      <c r="C44" s="19">
        <v>0</v>
      </c>
      <c r="D44" s="19">
        <f t="shared" si="0"/>
        <v>726</v>
      </c>
      <c r="E44" s="69">
        <f>'- 7 -'!E44</f>
        <v>695</v>
      </c>
      <c r="F44" s="69">
        <v>702.5</v>
      </c>
      <c r="G44" s="69">
        <v>713.5</v>
      </c>
    </row>
    <row r="45" spans="1:8" ht="14.1" customHeight="1">
      <c r="A45" s="287" t="s">
        <v>144</v>
      </c>
      <c r="B45" s="288">
        <v>1677</v>
      </c>
      <c r="C45" s="288">
        <v>0</v>
      </c>
      <c r="D45" s="288">
        <f t="shared" si="0"/>
        <v>1677</v>
      </c>
      <c r="E45" s="294">
        <f>'- 7 -'!E45</f>
        <v>1607</v>
      </c>
      <c r="F45" s="294">
        <v>1610.3</v>
      </c>
      <c r="G45" s="294">
        <v>1598.7</v>
      </c>
    </row>
    <row r="46" spans="1:8" ht="14.1" customHeight="1">
      <c r="A46" s="18" t="s">
        <v>145</v>
      </c>
      <c r="B46" s="19">
        <v>33193</v>
      </c>
      <c r="C46" s="19">
        <v>1793</v>
      </c>
      <c r="D46" s="19">
        <f t="shared" si="0"/>
        <v>31400</v>
      </c>
      <c r="E46" s="69">
        <f>'- 7 -'!E46</f>
        <v>29904</v>
      </c>
      <c r="F46" s="69">
        <v>29512.5</v>
      </c>
      <c r="G46" s="69">
        <v>29801.5</v>
      </c>
    </row>
    <row r="47" spans="1:8" ht="5.0999999999999996" customHeight="1">
      <c r="A47"/>
      <c r="B47"/>
      <c r="C47"/>
      <c r="D47"/>
      <c r="E47"/>
      <c r="F47"/>
      <c r="G47"/>
      <c r="H47"/>
    </row>
    <row r="48" spans="1:8" ht="14.1" customHeight="1">
      <c r="A48" s="289" t="s">
        <v>146</v>
      </c>
      <c r="B48" s="290">
        <f t="shared" ref="B48:F48" si="1">SUM(B11:B46)</f>
        <v>181901</v>
      </c>
      <c r="C48" s="290">
        <f t="shared" si="1"/>
        <v>2339</v>
      </c>
      <c r="D48" s="290">
        <f t="shared" si="1"/>
        <v>179562</v>
      </c>
      <c r="E48" s="297">
        <f t="shared" si="1"/>
        <v>172495.06</v>
      </c>
      <c r="F48" s="297">
        <f t="shared" si="1"/>
        <v>165406.39999999997</v>
      </c>
      <c r="G48" s="297">
        <v>165968</v>
      </c>
      <c r="H48" s="505"/>
    </row>
    <row r="49" spans="1:7" ht="5.0999999999999996" customHeight="1">
      <c r="A49" s="20" t="s">
        <v>8</v>
      </c>
      <c r="B49" s="21"/>
      <c r="C49" s="21"/>
      <c r="D49" s="21"/>
      <c r="E49" s="70"/>
      <c r="F49" s="70"/>
      <c r="G49" s="70"/>
    </row>
    <row r="50" spans="1:7" ht="14.1" customHeight="1">
      <c r="A50" s="287" t="s">
        <v>147</v>
      </c>
      <c r="B50" s="288">
        <v>172</v>
      </c>
      <c r="C50" s="288">
        <v>0</v>
      </c>
      <c r="D50" s="288">
        <f>+B50-C50</f>
        <v>172</v>
      </c>
      <c r="E50" s="294">
        <f>'- 7 -'!E50</f>
        <v>166.4</v>
      </c>
      <c r="F50" s="294">
        <v>174.5</v>
      </c>
      <c r="G50" s="294">
        <v>167</v>
      </c>
    </row>
    <row r="51" spans="1:7" ht="14.1" customHeight="1">
      <c r="A51" s="18" t="s">
        <v>643</v>
      </c>
      <c r="B51" s="19"/>
      <c r="C51" s="19"/>
      <c r="D51" s="19">
        <f>+B51-C51</f>
        <v>0</v>
      </c>
      <c r="E51" s="69">
        <f>'- 7 -'!E51</f>
        <v>743</v>
      </c>
      <c r="F51" s="69"/>
      <c r="G51" s="69"/>
    </row>
    <row r="52" spans="1:7" ht="50.1" customHeight="1">
      <c r="A52" s="22"/>
      <c r="B52" s="22"/>
      <c r="C52" s="22"/>
      <c r="D52" s="22"/>
      <c r="E52" s="22"/>
      <c r="F52" s="78"/>
      <c r="G52" s="78"/>
    </row>
    <row r="53" spans="1:7" ht="15" customHeight="1">
      <c r="A53" s="1" t="s">
        <v>244</v>
      </c>
      <c r="C53" s="79"/>
      <c r="D53" s="79"/>
      <c r="E53" s="79"/>
      <c r="F53" s="79"/>
    </row>
    <row r="54" spans="1:7" ht="12" customHeight="1">
      <c r="A54" s="608" t="s">
        <v>485</v>
      </c>
      <c r="B54" s="608"/>
      <c r="C54" s="608"/>
      <c r="D54" s="608"/>
      <c r="E54" s="608"/>
      <c r="F54" s="608"/>
      <c r="G54" s="608"/>
    </row>
    <row r="55" spans="1:7" ht="12" customHeight="1">
      <c r="A55" s="608"/>
      <c r="B55" s="608"/>
      <c r="C55" s="608"/>
      <c r="D55" s="608"/>
      <c r="E55" s="608"/>
      <c r="F55" s="608"/>
      <c r="G55" s="608"/>
    </row>
    <row r="56" spans="1:7" ht="12" customHeight="1">
      <c r="A56" s="581" t="s">
        <v>484</v>
      </c>
      <c r="B56" s="581"/>
      <c r="C56" s="581"/>
      <c r="D56" s="581"/>
      <c r="E56" s="581"/>
      <c r="F56" s="581"/>
      <c r="G56" s="581"/>
    </row>
    <row r="57" spans="1:7">
      <c r="A57" s="581"/>
      <c r="B57" s="581"/>
      <c r="C57" s="581"/>
      <c r="D57" s="581"/>
      <c r="E57" s="581"/>
      <c r="F57" s="581"/>
      <c r="G57" s="581"/>
    </row>
  </sheetData>
  <mergeCells count="9">
    <mergeCell ref="F8:F9"/>
    <mergeCell ref="G8:G9"/>
    <mergeCell ref="A56:G57"/>
    <mergeCell ref="A54:G55"/>
    <mergeCell ref="B7:D7"/>
    <mergeCell ref="B8:B9"/>
    <mergeCell ref="C8:C9"/>
    <mergeCell ref="D8:D9"/>
    <mergeCell ref="E8:E9"/>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60.xml><?xml version="1.0" encoding="utf-8"?>
<worksheet xmlns="http://schemas.openxmlformats.org/spreadsheetml/2006/main" xmlns:r="http://schemas.openxmlformats.org/officeDocument/2006/relationships">
  <sheetPr transitionEvaluation="1" codeName="Sheet49"/>
  <dimension ref="A1:AB91"/>
  <sheetViews>
    <sheetView showGridLines="0" defaultGridColor="0" colorId="22" workbookViewId="0">
      <pane xSplit="1" ySplit="10" topLeftCell="P11" activePane="bottomRight" state="frozen"/>
      <selection activeCell="A3" sqref="A3"/>
      <selection pane="topRight" activeCell="A3" sqref="A3"/>
      <selection pane="bottomLeft" activeCell="A3" sqref="A3"/>
      <selection pane="bottomRight" activeCell="AJ1" sqref="AJ1"/>
    </sheetView>
  </sheetViews>
  <sheetFormatPr defaultColWidth="15.83203125" defaultRowHeight="12"/>
  <cols>
    <col min="1" max="1" width="5.83203125" style="1" customWidth="1"/>
    <col min="2" max="2" width="30.83203125" style="1" customWidth="1"/>
    <col min="3" max="13" width="15.83203125" style="1" customWidth="1"/>
    <col min="14" max="14" width="3.1640625" style="1" customWidth="1"/>
    <col min="15" max="16" width="15.83203125" style="1" customWidth="1"/>
    <col min="17" max="17" width="17.1640625" style="1" bestFit="1" customWidth="1"/>
    <col min="18" max="19" width="15.83203125" style="1" customWidth="1"/>
    <col min="20" max="20" width="3.5" style="1" customWidth="1"/>
    <col min="21" max="21" width="15.83203125" style="1"/>
    <col min="22" max="22" width="1.83203125" style="1" customWidth="1"/>
    <col min="23" max="23" width="21.33203125" style="1" bestFit="1" customWidth="1"/>
    <col min="24" max="24" width="14.1640625" style="1" bestFit="1" customWidth="1"/>
    <col min="25" max="25" width="2.1640625" style="1" customWidth="1"/>
    <col min="26" max="26" width="23.6640625" style="1" bestFit="1" customWidth="1"/>
    <col min="27" max="16384" width="15.83203125" style="1"/>
  </cols>
  <sheetData>
    <row r="1" spans="1:27" ht="6" customHeight="1">
      <c r="A1" s="6"/>
      <c r="B1" s="204"/>
      <c r="C1" s="204"/>
      <c r="D1" s="204"/>
      <c r="E1" s="204"/>
      <c r="F1" s="204"/>
      <c r="G1" s="204"/>
      <c r="H1" s="204"/>
      <c r="I1" s="204"/>
      <c r="J1" s="204"/>
      <c r="K1" s="204"/>
      <c r="L1" s="204"/>
      <c r="M1" s="204"/>
      <c r="N1" s="204"/>
      <c r="O1" s="204"/>
      <c r="P1" s="204"/>
      <c r="Q1" s="204"/>
      <c r="R1" s="204"/>
      <c r="S1" s="204"/>
    </row>
    <row r="2" spans="1:27">
      <c r="A2" s="204"/>
      <c r="B2" s="183"/>
      <c r="C2" s="183"/>
      <c r="D2" s="183"/>
      <c r="E2" s="183"/>
      <c r="F2" s="183"/>
      <c r="G2" s="183"/>
      <c r="H2" s="183"/>
      <c r="I2" s="183"/>
      <c r="J2" s="183"/>
      <c r="K2" s="183"/>
      <c r="L2" s="183"/>
      <c r="M2" s="183"/>
      <c r="N2" s="183"/>
      <c r="O2" s="183"/>
      <c r="P2" s="183"/>
      <c r="Q2" s="183"/>
      <c r="R2" s="183"/>
      <c r="S2" s="183"/>
    </row>
    <row r="3" spans="1:27">
      <c r="A3" s="272" t="s">
        <v>50</v>
      </c>
      <c r="B3" s="1" t="s">
        <v>85</v>
      </c>
      <c r="C3" s="204"/>
      <c r="D3" s="204"/>
      <c r="E3" s="204"/>
      <c r="F3" s="204"/>
      <c r="G3" s="204"/>
      <c r="H3" s="204"/>
      <c r="I3" s="204"/>
      <c r="J3" s="204"/>
      <c r="K3" s="204"/>
      <c r="L3" s="204"/>
      <c r="M3" s="204"/>
      <c r="N3" s="204"/>
      <c r="O3" s="204"/>
      <c r="P3" s="204"/>
      <c r="Q3" s="204"/>
      <c r="R3" s="204"/>
      <c r="S3" s="204"/>
    </row>
    <row r="4" spans="1:27">
      <c r="A4" s="1" t="s">
        <v>337</v>
      </c>
      <c r="B4" s="278" t="s">
        <v>399</v>
      </c>
      <c r="C4" s="183"/>
      <c r="D4" s="183"/>
      <c r="E4" s="183"/>
      <c r="F4" s="183"/>
      <c r="G4" s="183"/>
      <c r="H4" s="183"/>
      <c r="I4" s="183"/>
      <c r="J4" s="183"/>
      <c r="K4" s="183"/>
      <c r="L4" s="183"/>
      <c r="M4" s="183"/>
      <c r="N4" s="183"/>
      <c r="O4" s="183"/>
      <c r="P4" s="183"/>
      <c r="Q4" s="183"/>
      <c r="R4" s="183"/>
      <c r="S4" s="183"/>
      <c r="U4" s="1" t="s">
        <v>394</v>
      </c>
    </row>
    <row r="5" spans="1:27">
      <c r="A5" s="1" t="s">
        <v>336</v>
      </c>
      <c r="B5" s="278" t="s">
        <v>409</v>
      </c>
      <c r="C5" s="273" t="s">
        <v>34</v>
      </c>
      <c r="D5" s="274"/>
      <c r="E5" s="274"/>
      <c r="F5" s="274"/>
      <c r="G5" s="274"/>
      <c r="H5" s="274"/>
      <c r="I5" s="274"/>
      <c r="J5" s="274"/>
      <c r="K5" s="274"/>
      <c r="L5" s="274"/>
      <c r="M5" s="275"/>
      <c r="N5" s="183"/>
      <c r="O5" s="183"/>
      <c r="P5" s="183"/>
      <c r="Q5" s="183"/>
      <c r="R5" s="183"/>
      <c r="S5" s="183"/>
      <c r="U5" s="1" t="s">
        <v>380</v>
      </c>
    </row>
    <row r="6" spans="1:27">
      <c r="A6" s="1" t="s">
        <v>5</v>
      </c>
      <c r="B6" s="492">
        <v>2014</v>
      </c>
      <c r="U6" s="132" t="s">
        <v>410</v>
      </c>
      <c r="Z6" s="1" t="s">
        <v>389</v>
      </c>
    </row>
    <row r="7" spans="1:27">
      <c r="A7" s="1" t="s">
        <v>6</v>
      </c>
      <c r="B7" s="276" t="str">
        <f>TEXT((B6+1),"0")</f>
        <v>2015</v>
      </c>
      <c r="M7" s="3" t="s">
        <v>238</v>
      </c>
      <c r="N7" s="3"/>
      <c r="O7" s="3" t="s">
        <v>454</v>
      </c>
      <c r="P7" s="3" t="s">
        <v>32</v>
      </c>
      <c r="Q7" s="3" t="s">
        <v>459</v>
      </c>
      <c r="R7" s="3"/>
      <c r="S7" s="3"/>
      <c r="U7" s="1" t="s">
        <v>377</v>
      </c>
      <c r="W7" s="551" t="s">
        <v>412</v>
      </c>
      <c r="Z7" s="3" t="s">
        <v>32</v>
      </c>
    </row>
    <row r="8" spans="1:27">
      <c r="C8" s="277" t="s">
        <v>41</v>
      </c>
      <c r="D8" s="7"/>
      <c r="E8" s="7"/>
      <c r="F8" s="7"/>
      <c r="G8" s="7"/>
      <c r="H8" s="7"/>
      <c r="I8" s="7"/>
      <c r="J8" s="7">
        <v>700</v>
      </c>
      <c r="K8" s="3" t="s">
        <v>32</v>
      </c>
      <c r="L8" s="3" t="s">
        <v>233</v>
      </c>
      <c r="M8" s="3" t="s">
        <v>234</v>
      </c>
      <c r="N8" s="3"/>
      <c r="O8" s="3" t="s">
        <v>455</v>
      </c>
      <c r="P8" s="3" t="s">
        <v>60</v>
      </c>
      <c r="Q8" s="3" t="s">
        <v>460</v>
      </c>
      <c r="R8" s="3" t="s">
        <v>459</v>
      </c>
      <c r="S8" s="3"/>
      <c r="U8" s="1" t="s">
        <v>378</v>
      </c>
      <c r="W8" s="531" t="s">
        <v>333</v>
      </c>
      <c r="X8" s="1" t="s">
        <v>334</v>
      </c>
      <c r="Z8" s="3" t="s">
        <v>42</v>
      </c>
      <c r="AA8" s="550" t="s">
        <v>42</v>
      </c>
    </row>
    <row r="9" spans="1:27">
      <c r="A9" s="278" t="s">
        <v>150</v>
      </c>
      <c r="B9" s="1" t="s">
        <v>151</v>
      </c>
      <c r="C9" s="1">
        <v>100</v>
      </c>
      <c r="D9" s="1">
        <v>200</v>
      </c>
      <c r="E9" s="1">
        <v>300</v>
      </c>
      <c r="F9" s="1">
        <v>400</v>
      </c>
      <c r="G9" s="1">
        <v>500</v>
      </c>
      <c r="H9" s="1">
        <v>600</v>
      </c>
      <c r="I9" s="1">
        <v>700</v>
      </c>
      <c r="J9" s="3" t="s">
        <v>47</v>
      </c>
      <c r="K9" s="3" t="s">
        <v>48</v>
      </c>
      <c r="L9" s="3" t="s">
        <v>89</v>
      </c>
      <c r="M9" s="3" t="s">
        <v>104</v>
      </c>
      <c r="N9" s="3"/>
      <c r="O9" s="3" t="s">
        <v>456</v>
      </c>
      <c r="P9" s="3" t="s">
        <v>66</v>
      </c>
      <c r="Q9" s="3" t="s">
        <v>461</v>
      </c>
      <c r="R9" s="3" t="s">
        <v>462</v>
      </c>
      <c r="S9" s="3" t="s">
        <v>463</v>
      </c>
      <c r="U9" s="1" t="s">
        <v>379</v>
      </c>
      <c r="W9" s="531" t="s">
        <v>64</v>
      </c>
      <c r="X9" s="1" t="s">
        <v>64</v>
      </c>
      <c r="Z9" s="418" t="s">
        <v>411</v>
      </c>
      <c r="AA9" s="3" t="s">
        <v>408</v>
      </c>
    </row>
    <row r="10" spans="1:27">
      <c r="C10" s="554" t="s">
        <v>445</v>
      </c>
      <c r="D10" s="554" t="s">
        <v>447</v>
      </c>
      <c r="E10" s="554" t="s">
        <v>448</v>
      </c>
      <c r="F10" s="554" t="s">
        <v>449</v>
      </c>
      <c r="G10" s="554" t="s">
        <v>450</v>
      </c>
      <c r="H10" s="554" t="s">
        <v>451</v>
      </c>
      <c r="I10" s="554" t="s">
        <v>446</v>
      </c>
      <c r="J10" s="554" t="s">
        <v>444</v>
      </c>
      <c r="L10" s="554" t="s">
        <v>452</v>
      </c>
      <c r="M10" s="554" t="s">
        <v>453</v>
      </c>
      <c r="N10" s="554"/>
      <c r="O10" s="554" t="s">
        <v>457</v>
      </c>
      <c r="P10" s="554" t="s">
        <v>458</v>
      </c>
      <c r="Q10" s="554" t="s">
        <v>464</v>
      </c>
      <c r="R10" s="554" t="s">
        <v>465</v>
      </c>
      <c r="S10" s="554" t="s">
        <v>466</v>
      </c>
    </row>
    <row r="11" spans="1:27" ht="10.9" customHeight="1">
      <c r="A11" s="276" t="s">
        <v>152</v>
      </c>
      <c r="B11" s="1" t="s">
        <v>111</v>
      </c>
      <c r="C11" s="56">
        <v>47997</v>
      </c>
      <c r="D11" s="56">
        <v>0</v>
      </c>
      <c r="E11" s="56">
        <v>0</v>
      </c>
      <c r="F11" s="56">
        <v>0</v>
      </c>
      <c r="G11" s="56">
        <v>0</v>
      </c>
      <c r="H11" s="56">
        <v>8340</v>
      </c>
      <c r="I11" s="56">
        <v>0</v>
      </c>
      <c r="J11" s="56">
        <v>0</v>
      </c>
      <c r="K11" s="56">
        <f t="shared" ref="K11:K42" si="0">SUM(C11:I11)-J11</f>
        <v>56337</v>
      </c>
      <c r="L11" s="56">
        <v>15140</v>
      </c>
      <c r="M11" s="56">
        <v>0</v>
      </c>
      <c r="N11" s="56"/>
      <c r="O11" s="56">
        <v>0</v>
      </c>
      <c r="P11" s="56">
        <v>2100434</v>
      </c>
      <c r="Q11" s="56">
        <v>149278</v>
      </c>
      <c r="R11" s="56">
        <v>267380</v>
      </c>
      <c r="S11" s="56">
        <v>209253</v>
      </c>
      <c r="U11" s="1">
        <v>388093</v>
      </c>
      <c r="W11" s="1">
        <v>8053049</v>
      </c>
      <c r="X11" s="1">
        <v>7548718</v>
      </c>
      <c r="Z11" s="1">
        <v>272659</v>
      </c>
    </row>
    <row r="12" spans="1:27" ht="10.9" customHeight="1">
      <c r="A12" s="276" t="s">
        <v>153</v>
      </c>
      <c r="B12" s="1" t="s">
        <v>112</v>
      </c>
      <c r="C12" s="56">
        <v>398992</v>
      </c>
      <c r="D12" s="56">
        <v>0</v>
      </c>
      <c r="E12" s="56">
        <v>-10306</v>
      </c>
      <c r="F12" s="56">
        <v>0</v>
      </c>
      <c r="G12" s="56">
        <v>0</v>
      </c>
      <c r="H12" s="56">
        <v>0</v>
      </c>
      <c r="I12" s="56">
        <v>1470</v>
      </c>
      <c r="J12" s="56">
        <v>0</v>
      </c>
      <c r="K12" s="56">
        <f t="shared" si="0"/>
        <v>390156</v>
      </c>
      <c r="L12" s="56">
        <v>30583</v>
      </c>
      <c r="M12" s="56">
        <v>0</v>
      </c>
      <c r="N12" s="56"/>
      <c r="O12" s="56">
        <v>0</v>
      </c>
      <c r="P12" s="56">
        <v>3208747</v>
      </c>
      <c r="Q12" s="56">
        <v>210661</v>
      </c>
      <c r="R12" s="56">
        <v>585470</v>
      </c>
      <c r="S12" s="56">
        <v>287210</v>
      </c>
      <c r="U12" s="1">
        <v>311740</v>
      </c>
      <c r="W12" s="1">
        <v>14119446</v>
      </c>
      <c r="X12" s="1">
        <v>11382491</v>
      </c>
      <c r="Z12" s="1">
        <v>390464</v>
      </c>
    </row>
    <row r="13" spans="1:27" ht="10.9" customHeight="1">
      <c r="A13" s="276" t="s">
        <v>154</v>
      </c>
      <c r="B13" s="1" t="s">
        <v>113</v>
      </c>
      <c r="C13" s="56">
        <v>122720</v>
      </c>
      <c r="D13" s="56">
        <v>0</v>
      </c>
      <c r="E13" s="56">
        <v>0</v>
      </c>
      <c r="F13" s="56">
        <v>0</v>
      </c>
      <c r="G13" s="56">
        <v>0</v>
      </c>
      <c r="H13" s="56">
        <v>0</v>
      </c>
      <c r="I13" s="56">
        <v>0</v>
      </c>
      <c r="J13" s="56">
        <v>0</v>
      </c>
      <c r="K13" s="56">
        <f t="shared" si="0"/>
        <v>122720</v>
      </c>
      <c r="L13" s="56">
        <v>39751</v>
      </c>
      <c r="M13" s="56">
        <v>0</v>
      </c>
      <c r="N13" s="56"/>
      <c r="O13" s="56">
        <v>0</v>
      </c>
      <c r="P13" s="56">
        <v>6434333</v>
      </c>
      <c r="Q13" s="56">
        <v>555001</v>
      </c>
      <c r="R13" s="56">
        <v>973631</v>
      </c>
      <c r="S13" s="56">
        <v>1290395</v>
      </c>
      <c r="U13" s="1">
        <v>330615</v>
      </c>
      <c r="W13" s="1">
        <v>42513648</v>
      </c>
      <c r="X13" s="1">
        <v>40665635</v>
      </c>
      <c r="Z13" s="1">
        <v>1046673</v>
      </c>
    </row>
    <row r="14" spans="1:27" ht="10.9" customHeight="1">
      <c r="A14" s="276" t="s">
        <v>155</v>
      </c>
      <c r="B14" s="1" t="s">
        <v>148</v>
      </c>
      <c r="C14" s="56">
        <v>255592</v>
      </c>
      <c r="D14" s="56">
        <v>0</v>
      </c>
      <c r="E14" s="56">
        <v>0</v>
      </c>
      <c r="F14" s="56">
        <v>0</v>
      </c>
      <c r="G14" s="56">
        <v>0</v>
      </c>
      <c r="H14" s="56">
        <v>14900</v>
      </c>
      <c r="I14" s="56">
        <v>0</v>
      </c>
      <c r="J14" s="56">
        <v>0</v>
      </c>
      <c r="K14" s="56">
        <f t="shared" si="0"/>
        <v>270492</v>
      </c>
      <c r="L14" s="56">
        <v>0</v>
      </c>
      <c r="M14" s="56">
        <v>0</v>
      </c>
      <c r="N14" s="56"/>
      <c r="O14" s="56">
        <v>0</v>
      </c>
      <c r="P14" s="56">
        <v>7592987</v>
      </c>
      <c r="Q14" s="56">
        <v>418435</v>
      </c>
      <c r="R14" s="56">
        <v>659230</v>
      </c>
      <c r="S14" s="56">
        <v>451330</v>
      </c>
      <c r="U14" s="1">
        <v>380268</v>
      </c>
      <c r="W14" s="1">
        <v>0</v>
      </c>
      <c r="X14" s="1">
        <v>0</v>
      </c>
      <c r="Z14" s="1">
        <v>918651</v>
      </c>
    </row>
    <row r="15" spans="1:27" ht="10.9" customHeight="1">
      <c r="A15" s="276" t="s">
        <v>156</v>
      </c>
      <c r="B15" s="1" t="s">
        <v>114</v>
      </c>
      <c r="C15" s="56">
        <v>47800</v>
      </c>
      <c r="D15" s="56">
        <v>0</v>
      </c>
      <c r="E15" s="56">
        <v>0</v>
      </c>
      <c r="F15" s="56">
        <v>0</v>
      </c>
      <c r="G15" s="56">
        <v>1200</v>
      </c>
      <c r="H15" s="56">
        <v>6700</v>
      </c>
      <c r="I15" s="56">
        <v>0</v>
      </c>
      <c r="J15" s="56">
        <v>0</v>
      </c>
      <c r="K15" s="56">
        <f t="shared" si="0"/>
        <v>55700</v>
      </c>
      <c r="L15" s="56">
        <v>21956</v>
      </c>
      <c r="M15" s="56">
        <v>0</v>
      </c>
      <c r="N15" s="56"/>
      <c r="O15" s="56">
        <v>0</v>
      </c>
      <c r="P15" s="56">
        <v>2228777</v>
      </c>
      <c r="Q15" s="56">
        <v>149783</v>
      </c>
      <c r="R15" s="56">
        <v>347594</v>
      </c>
      <c r="S15" s="56">
        <v>428764</v>
      </c>
      <c r="U15" s="1">
        <v>559099</v>
      </c>
      <c r="W15" s="1">
        <v>11110167</v>
      </c>
      <c r="X15" s="1">
        <v>9514850</v>
      </c>
      <c r="Z15" s="1">
        <v>289004</v>
      </c>
    </row>
    <row r="16" spans="1:27" ht="10.9" customHeight="1">
      <c r="A16" s="276" t="s">
        <v>157</v>
      </c>
      <c r="B16" s="1" t="s">
        <v>115</v>
      </c>
      <c r="C16" s="56">
        <v>0</v>
      </c>
      <c r="D16" s="56">
        <v>0</v>
      </c>
      <c r="E16" s="56">
        <v>0</v>
      </c>
      <c r="F16" s="56">
        <v>0</v>
      </c>
      <c r="G16" s="56">
        <v>0</v>
      </c>
      <c r="H16" s="56">
        <v>0</v>
      </c>
      <c r="I16" s="56">
        <v>0</v>
      </c>
      <c r="J16" s="56">
        <v>0</v>
      </c>
      <c r="K16" s="56">
        <f t="shared" si="0"/>
        <v>0</v>
      </c>
      <c r="L16" s="56">
        <v>19354</v>
      </c>
      <c r="M16" s="56">
        <v>0</v>
      </c>
      <c r="N16" s="56"/>
      <c r="O16" s="56">
        <v>0</v>
      </c>
      <c r="P16" s="56">
        <v>1480241</v>
      </c>
      <c r="Q16" s="56">
        <v>98007</v>
      </c>
      <c r="R16" s="56">
        <v>273834</v>
      </c>
      <c r="S16" s="56">
        <v>82060</v>
      </c>
      <c r="U16" s="1">
        <v>171711</v>
      </c>
      <c r="W16" s="1">
        <v>4640885</v>
      </c>
      <c r="X16" s="1">
        <v>3888172</v>
      </c>
      <c r="Z16" s="1">
        <v>209745</v>
      </c>
    </row>
    <row r="17" spans="1:28" ht="10.9" customHeight="1">
      <c r="A17" s="276" t="s">
        <v>158</v>
      </c>
      <c r="B17" s="1" t="s">
        <v>116</v>
      </c>
      <c r="C17" s="56">
        <v>125169</v>
      </c>
      <c r="D17" s="56">
        <v>0</v>
      </c>
      <c r="E17" s="56">
        <v>0</v>
      </c>
      <c r="F17" s="56">
        <v>0</v>
      </c>
      <c r="G17" s="56">
        <v>1413</v>
      </c>
      <c r="H17" s="56">
        <v>0</v>
      </c>
      <c r="I17" s="56">
        <v>0</v>
      </c>
      <c r="J17" s="56">
        <v>0</v>
      </c>
      <c r="K17" s="56">
        <f t="shared" si="0"/>
        <v>126582</v>
      </c>
      <c r="L17" s="56">
        <v>24139</v>
      </c>
      <c r="M17" s="56">
        <v>0</v>
      </c>
      <c r="N17" s="56"/>
      <c r="O17" s="56">
        <v>0</v>
      </c>
      <c r="P17" s="56">
        <v>1804181</v>
      </c>
      <c r="Q17" s="56">
        <v>130326</v>
      </c>
      <c r="R17" s="56">
        <v>355892</v>
      </c>
      <c r="S17" s="56">
        <v>143605</v>
      </c>
      <c r="U17" s="1">
        <v>633237</v>
      </c>
      <c r="W17" s="1">
        <v>8365101</v>
      </c>
      <c r="X17" s="1">
        <v>7877316</v>
      </c>
      <c r="Z17" s="1">
        <v>260779</v>
      </c>
    </row>
    <row r="18" spans="1:28" ht="10.9" customHeight="1">
      <c r="A18" s="276" t="s">
        <v>159</v>
      </c>
      <c r="B18" s="1" t="s">
        <v>117</v>
      </c>
      <c r="C18" s="56">
        <v>3639683</v>
      </c>
      <c r="D18" s="56">
        <v>0</v>
      </c>
      <c r="E18" s="56">
        <v>1080047</v>
      </c>
      <c r="F18" s="56">
        <v>0</v>
      </c>
      <c r="G18" s="56">
        <v>96936</v>
      </c>
      <c r="H18" s="56">
        <v>31452</v>
      </c>
      <c r="I18" s="56">
        <v>187410</v>
      </c>
      <c r="J18" s="56">
        <v>0</v>
      </c>
      <c r="K18" s="56">
        <f t="shared" si="0"/>
        <v>5035528</v>
      </c>
      <c r="L18" s="56">
        <v>0</v>
      </c>
      <c r="M18" s="56">
        <v>0</v>
      </c>
      <c r="N18" s="56"/>
      <c r="O18" s="56">
        <v>0</v>
      </c>
      <c r="P18" s="56">
        <v>6781204</v>
      </c>
      <c r="Q18" s="56">
        <v>329336</v>
      </c>
      <c r="R18" s="56">
        <v>837176</v>
      </c>
      <c r="S18" s="56">
        <v>467742</v>
      </c>
      <c r="U18" s="1">
        <v>84950</v>
      </c>
      <c r="W18" s="1">
        <v>3600634</v>
      </c>
      <c r="X18" s="1">
        <v>3282160</v>
      </c>
      <c r="Z18" s="1">
        <v>1367002.2</v>
      </c>
    </row>
    <row r="19" spans="1:28" ht="10.9" customHeight="1">
      <c r="A19" s="276" t="s">
        <v>160</v>
      </c>
      <c r="B19" s="1" t="s">
        <v>118</v>
      </c>
      <c r="C19" s="56">
        <v>412761</v>
      </c>
      <c r="D19" s="56">
        <v>0</v>
      </c>
      <c r="E19" s="56">
        <v>0</v>
      </c>
      <c r="F19" s="56">
        <v>17000</v>
      </c>
      <c r="G19" s="56">
        <v>14576</v>
      </c>
      <c r="H19" s="56">
        <v>0</v>
      </c>
      <c r="I19" s="56">
        <v>0</v>
      </c>
      <c r="J19" s="56">
        <v>0</v>
      </c>
      <c r="K19" s="56">
        <f t="shared" si="0"/>
        <v>444337</v>
      </c>
      <c r="L19" s="56">
        <v>32673</v>
      </c>
      <c r="M19" s="56">
        <v>0</v>
      </c>
      <c r="N19" s="56"/>
      <c r="O19" s="56">
        <v>0</v>
      </c>
      <c r="P19" s="56">
        <v>4571716</v>
      </c>
      <c r="Q19" s="56">
        <v>290892</v>
      </c>
      <c r="R19" s="56">
        <v>685968</v>
      </c>
      <c r="S19" s="56">
        <v>785725</v>
      </c>
      <c r="U19" s="1">
        <v>219610</v>
      </c>
      <c r="W19" s="1">
        <v>17108368</v>
      </c>
      <c r="X19" s="1">
        <v>16462195</v>
      </c>
      <c r="Z19" s="1">
        <v>640407</v>
      </c>
    </row>
    <row r="20" spans="1:28" ht="10.9" customHeight="1">
      <c r="A20" s="276" t="s">
        <v>161</v>
      </c>
      <c r="B20" s="1" t="s">
        <v>119</v>
      </c>
      <c r="C20" s="56">
        <v>1225103</v>
      </c>
      <c r="D20" s="56">
        <v>0</v>
      </c>
      <c r="E20" s="56">
        <v>0</v>
      </c>
      <c r="F20" s="56">
        <v>0</v>
      </c>
      <c r="G20" s="56">
        <v>0</v>
      </c>
      <c r="H20" s="56">
        <v>0</v>
      </c>
      <c r="I20" s="56">
        <v>0</v>
      </c>
      <c r="J20" s="56">
        <v>0</v>
      </c>
      <c r="K20" s="56">
        <f t="shared" si="0"/>
        <v>1225103</v>
      </c>
      <c r="L20" s="56">
        <v>60676</v>
      </c>
      <c r="M20" s="56">
        <v>0</v>
      </c>
      <c r="N20" s="56"/>
      <c r="O20" s="56">
        <v>0</v>
      </c>
      <c r="P20" s="56">
        <v>7842526</v>
      </c>
      <c r="Q20" s="56">
        <v>515970</v>
      </c>
      <c r="R20" s="56">
        <v>1583074</v>
      </c>
      <c r="S20" s="56">
        <v>1290394</v>
      </c>
      <c r="U20" s="1">
        <v>228503</v>
      </c>
      <c r="W20" s="1">
        <v>28645346</v>
      </c>
      <c r="X20" s="1">
        <v>27137220</v>
      </c>
      <c r="Z20" s="1">
        <v>1047867</v>
      </c>
    </row>
    <row r="21" spans="1:28" ht="10.9" customHeight="1">
      <c r="A21" s="276" t="s">
        <v>162</v>
      </c>
      <c r="B21" s="1" t="s">
        <v>120</v>
      </c>
      <c r="C21" s="56">
        <v>262128</v>
      </c>
      <c r="D21" s="56">
        <v>50960</v>
      </c>
      <c r="E21" s="56">
        <v>0</v>
      </c>
      <c r="F21" s="56">
        <v>0</v>
      </c>
      <c r="G21" s="56">
        <v>15142</v>
      </c>
      <c r="H21" s="56">
        <v>11793</v>
      </c>
      <c r="I21" s="56">
        <v>0</v>
      </c>
      <c r="J21" s="56">
        <v>0</v>
      </c>
      <c r="K21" s="56">
        <f t="shared" si="0"/>
        <v>340023</v>
      </c>
      <c r="L21" s="56">
        <v>34223</v>
      </c>
      <c r="M21" s="56">
        <v>0</v>
      </c>
      <c r="N21" s="56"/>
      <c r="O21" s="56">
        <v>0</v>
      </c>
      <c r="P21" s="56">
        <v>3317059</v>
      </c>
      <c r="Q21" s="56">
        <v>264561</v>
      </c>
      <c r="R21" s="56">
        <v>482206</v>
      </c>
      <c r="S21" s="56">
        <v>562111</v>
      </c>
      <c r="U21" s="1">
        <v>382995</v>
      </c>
      <c r="W21" s="1">
        <v>16549720</v>
      </c>
      <c r="X21" s="1">
        <v>15260169</v>
      </c>
      <c r="Z21" s="1">
        <v>453876</v>
      </c>
    </row>
    <row r="22" spans="1:28" ht="10.9" customHeight="1">
      <c r="A22" s="276" t="s">
        <v>163</v>
      </c>
      <c r="B22" s="1" t="s">
        <v>121</v>
      </c>
      <c r="C22" s="56">
        <v>5429</v>
      </c>
      <c r="D22" s="56">
        <v>0</v>
      </c>
      <c r="E22" s="56">
        <v>0</v>
      </c>
      <c r="F22" s="56">
        <v>0</v>
      </c>
      <c r="G22" s="56">
        <v>0</v>
      </c>
      <c r="H22" s="56">
        <v>11217</v>
      </c>
      <c r="I22" s="56">
        <v>0</v>
      </c>
      <c r="J22" s="56">
        <v>0</v>
      </c>
      <c r="K22" s="56">
        <f t="shared" si="0"/>
        <v>16646</v>
      </c>
      <c r="L22" s="56">
        <v>25778</v>
      </c>
      <c r="M22" s="56">
        <v>0</v>
      </c>
      <c r="N22" s="56"/>
      <c r="O22" s="56">
        <v>0</v>
      </c>
      <c r="P22" s="56">
        <v>2745171</v>
      </c>
      <c r="Q22" s="56">
        <v>186616</v>
      </c>
      <c r="R22" s="56">
        <v>467454</v>
      </c>
      <c r="S22" s="56">
        <v>311828</v>
      </c>
      <c r="U22" s="1">
        <v>138197</v>
      </c>
      <c r="W22" s="1">
        <v>4646831</v>
      </c>
      <c r="X22" s="1">
        <v>4337424</v>
      </c>
      <c r="Z22" s="1">
        <v>343043</v>
      </c>
    </row>
    <row r="23" spans="1:28" ht="10.9" customHeight="1">
      <c r="A23" s="276" t="s">
        <v>164</v>
      </c>
      <c r="B23" s="1" t="s">
        <v>122</v>
      </c>
      <c r="C23" s="56">
        <v>49645</v>
      </c>
      <c r="D23" s="56">
        <v>0</v>
      </c>
      <c r="E23" s="56">
        <v>0</v>
      </c>
      <c r="F23" s="56">
        <v>0</v>
      </c>
      <c r="G23" s="56">
        <v>0</v>
      </c>
      <c r="H23" s="56">
        <v>1700</v>
      </c>
      <c r="I23" s="56">
        <v>0</v>
      </c>
      <c r="J23" s="56">
        <v>0</v>
      </c>
      <c r="K23" s="56">
        <f t="shared" si="0"/>
        <v>51345</v>
      </c>
      <c r="L23" s="56">
        <v>23297</v>
      </c>
      <c r="M23" s="56">
        <v>0</v>
      </c>
      <c r="N23" s="56"/>
      <c r="O23" s="56">
        <v>0</v>
      </c>
      <c r="P23" s="56">
        <v>2163827</v>
      </c>
      <c r="Q23" s="56">
        <v>109886</v>
      </c>
      <c r="R23" s="56">
        <v>297806</v>
      </c>
      <c r="S23" s="56">
        <v>317983</v>
      </c>
      <c r="U23" s="1">
        <v>221961</v>
      </c>
      <c r="W23" s="1">
        <v>4848716</v>
      </c>
      <c r="X23" s="1">
        <v>4408643</v>
      </c>
      <c r="Z23" s="1">
        <v>233256</v>
      </c>
    </row>
    <row r="24" spans="1:28" ht="10.9" customHeight="1">
      <c r="A24" s="276" t="s">
        <v>165</v>
      </c>
      <c r="B24" s="1" t="s">
        <v>123</v>
      </c>
      <c r="C24" s="56">
        <v>213328</v>
      </c>
      <c r="D24" s="56">
        <v>0</v>
      </c>
      <c r="E24" s="56">
        <v>0</v>
      </c>
      <c r="F24" s="56">
        <v>0</v>
      </c>
      <c r="G24" s="56">
        <v>0</v>
      </c>
      <c r="H24" s="56">
        <v>0</v>
      </c>
      <c r="I24" s="56">
        <v>0</v>
      </c>
      <c r="J24" s="56">
        <v>0</v>
      </c>
      <c r="K24" s="56">
        <f t="shared" si="0"/>
        <v>213328</v>
      </c>
      <c r="L24" s="56">
        <v>51344</v>
      </c>
      <c r="M24" s="56">
        <v>0</v>
      </c>
      <c r="N24" s="56"/>
      <c r="O24" s="56">
        <v>0</v>
      </c>
      <c r="P24" s="56">
        <v>5575488</v>
      </c>
      <c r="Q24" s="56">
        <v>348377</v>
      </c>
      <c r="R24" s="56">
        <v>1108244</v>
      </c>
      <c r="S24" s="56">
        <v>935484</v>
      </c>
      <c r="U24" s="1">
        <v>419300</v>
      </c>
      <c r="W24" s="1">
        <v>27596841</v>
      </c>
      <c r="X24" s="1">
        <v>24903938</v>
      </c>
      <c r="Z24" s="1">
        <v>705303</v>
      </c>
    </row>
    <row r="25" spans="1:28" ht="10.9" customHeight="1">
      <c r="A25" s="276" t="s">
        <v>166</v>
      </c>
      <c r="B25" s="1" t="s">
        <v>124</v>
      </c>
      <c r="C25" s="56">
        <v>703914</v>
      </c>
      <c r="D25" s="56">
        <v>458783</v>
      </c>
      <c r="E25" s="56">
        <v>170410</v>
      </c>
      <c r="F25" s="56">
        <v>3000</v>
      </c>
      <c r="G25" s="56">
        <v>14753</v>
      </c>
      <c r="H25" s="56">
        <v>22000</v>
      </c>
      <c r="I25" s="56">
        <v>0</v>
      </c>
      <c r="J25" s="56">
        <v>0</v>
      </c>
      <c r="K25" s="56">
        <f t="shared" si="0"/>
        <v>1372860</v>
      </c>
      <c r="L25" s="56">
        <v>15903</v>
      </c>
      <c r="M25" s="56">
        <v>447753</v>
      </c>
      <c r="N25" s="56"/>
      <c r="O25" s="56">
        <v>0</v>
      </c>
      <c r="P25" s="56">
        <v>13923385</v>
      </c>
      <c r="Q25" s="56">
        <v>948673</v>
      </c>
      <c r="R25" s="56">
        <v>2966996</v>
      </c>
      <c r="S25" s="56">
        <v>4166597</v>
      </c>
      <c r="U25" s="1">
        <v>434989</v>
      </c>
      <c r="W25" s="1">
        <v>90148557</v>
      </c>
      <c r="X25" s="1">
        <v>83607554</v>
      </c>
      <c r="Z25" s="1">
        <v>2235962</v>
      </c>
    </row>
    <row r="26" spans="1:28" ht="10.9" customHeight="1">
      <c r="A26" s="276" t="s">
        <v>167</v>
      </c>
      <c r="B26" s="1" t="s">
        <v>125</v>
      </c>
      <c r="C26" s="56">
        <v>0</v>
      </c>
      <c r="D26" s="56">
        <v>0</v>
      </c>
      <c r="E26" s="56">
        <v>0</v>
      </c>
      <c r="F26" s="56">
        <v>0</v>
      </c>
      <c r="G26" s="56">
        <v>0</v>
      </c>
      <c r="H26" s="56">
        <v>2901</v>
      </c>
      <c r="I26" s="56">
        <v>0</v>
      </c>
      <c r="J26" s="56">
        <v>0</v>
      </c>
      <c r="K26" s="56">
        <f t="shared" si="0"/>
        <v>2901</v>
      </c>
      <c r="L26" s="56">
        <v>16930</v>
      </c>
      <c r="M26" s="56">
        <v>0</v>
      </c>
      <c r="N26" s="56"/>
      <c r="O26" s="56">
        <v>0</v>
      </c>
      <c r="P26" s="56">
        <v>3958758</v>
      </c>
      <c r="Q26" s="56">
        <v>302328</v>
      </c>
      <c r="R26" s="56">
        <v>698876</v>
      </c>
      <c r="S26" s="56">
        <v>389785</v>
      </c>
      <c r="U26" s="1">
        <v>288455</v>
      </c>
      <c r="W26" s="1">
        <v>14423334</v>
      </c>
      <c r="X26" s="1">
        <v>13732974</v>
      </c>
      <c r="Z26" s="1">
        <v>769803</v>
      </c>
    </row>
    <row r="27" spans="1:28" ht="10.9" customHeight="1">
      <c r="A27" s="276" t="s">
        <v>168</v>
      </c>
      <c r="B27" s="1" t="s">
        <v>126</v>
      </c>
      <c r="C27" s="56">
        <v>0</v>
      </c>
      <c r="D27" s="56">
        <v>0</v>
      </c>
      <c r="E27" s="56">
        <v>0</v>
      </c>
      <c r="F27" s="56">
        <v>0</v>
      </c>
      <c r="G27" s="56">
        <v>0</v>
      </c>
      <c r="H27" s="56">
        <v>0</v>
      </c>
      <c r="I27" s="56">
        <v>0</v>
      </c>
      <c r="J27" s="56">
        <v>0</v>
      </c>
      <c r="K27" s="56">
        <f t="shared" si="0"/>
        <v>0</v>
      </c>
      <c r="L27" s="56">
        <v>41804</v>
      </c>
      <c r="M27" s="56">
        <v>0</v>
      </c>
      <c r="N27" s="56"/>
      <c r="O27" s="56">
        <v>0</v>
      </c>
      <c r="P27" s="56">
        <v>4750336</v>
      </c>
      <c r="Q27" s="56">
        <v>285936</v>
      </c>
      <c r="R27" s="56">
        <v>748664</v>
      </c>
      <c r="S27" s="56">
        <v>736489</v>
      </c>
      <c r="U27" s="1">
        <v>191460</v>
      </c>
      <c r="W27" s="1">
        <v>8900172</v>
      </c>
      <c r="X27" s="1">
        <v>7814122</v>
      </c>
      <c r="Z27" s="1">
        <v>465111</v>
      </c>
    </row>
    <row r="28" spans="1:28" ht="10.9" customHeight="1">
      <c r="A28" s="276" t="s">
        <v>169</v>
      </c>
      <c r="B28" s="1" t="s">
        <v>127</v>
      </c>
      <c r="C28" s="56">
        <v>92059</v>
      </c>
      <c r="D28" s="56">
        <v>0</v>
      </c>
      <c r="E28" s="56">
        <v>41830</v>
      </c>
      <c r="F28" s="56">
        <v>0</v>
      </c>
      <c r="G28" s="56">
        <v>0</v>
      </c>
      <c r="H28" s="56">
        <v>0</v>
      </c>
      <c r="I28" s="56">
        <v>0</v>
      </c>
      <c r="J28" s="56">
        <v>0</v>
      </c>
      <c r="K28" s="56">
        <f t="shared" si="0"/>
        <v>133889</v>
      </c>
      <c r="L28" s="56">
        <v>24576</v>
      </c>
      <c r="M28" s="56">
        <v>0</v>
      </c>
      <c r="N28" s="56"/>
      <c r="O28" s="56">
        <v>0</v>
      </c>
      <c r="P28" s="56">
        <v>2337964</v>
      </c>
      <c r="Q28" s="56">
        <v>156313</v>
      </c>
      <c r="R28" s="56">
        <v>283054</v>
      </c>
      <c r="S28" s="56">
        <v>194893</v>
      </c>
      <c r="U28" s="1">
        <v>407407</v>
      </c>
      <c r="W28" s="1">
        <v>9037587</v>
      </c>
      <c r="X28" s="1">
        <v>8220234</v>
      </c>
      <c r="Z28" s="1">
        <v>390571</v>
      </c>
      <c r="AA28" s="1">
        <v>50000</v>
      </c>
      <c r="AB28" s="1" t="s">
        <v>407</v>
      </c>
    </row>
    <row r="29" spans="1:28" ht="10.9" customHeight="1">
      <c r="A29" s="276" t="s">
        <v>170</v>
      </c>
      <c r="B29" s="1" t="s">
        <v>128</v>
      </c>
      <c r="C29" s="56">
        <v>1921838</v>
      </c>
      <c r="D29" s="56">
        <v>0</v>
      </c>
      <c r="E29" s="56">
        <v>0</v>
      </c>
      <c r="F29" s="56">
        <v>0</v>
      </c>
      <c r="G29" s="56">
        <v>690</v>
      </c>
      <c r="H29" s="56">
        <v>0</v>
      </c>
      <c r="I29" s="56">
        <v>0</v>
      </c>
      <c r="J29" s="56">
        <v>0</v>
      </c>
      <c r="K29" s="56">
        <f t="shared" si="0"/>
        <v>1922528</v>
      </c>
      <c r="L29" s="56">
        <v>60947</v>
      </c>
      <c r="M29" s="56">
        <v>711880</v>
      </c>
      <c r="N29" s="56"/>
      <c r="O29" s="56">
        <v>0</v>
      </c>
      <c r="P29" s="56">
        <v>11256707</v>
      </c>
      <c r="Q29" s="56">
        <v>845439</v>
      </c>
      <c r="R29" s="56">
        <v>2717134</v>
      </c>
      <c r="S29" s="56">
        <v>3050581</v>
      </c>
      <c r="U29" s="1">
        <v>551445</v>
      </c>
      <c r="W29" s="1">
        <v>87147784</v>
      </c>
      <c r="X29" s="1">
        <v>82288095</v>
      </c>
      <c r="Z29" s="1">
        <v>1704961</v>
      </c>
    </row>
    <row r="30" spans="1:28" ht="10.9" customHeight="1">
      <c r="A30" s="276" t="s">
        <v>171</v>
      </c>
      <c r="B30" s="1" t="s">
        <v>129</v>
      </c>
      <c r="C30" s="56">
        <v>44587</v>
      </c>
      <c r="D30" s="56">
        <v>0</v>
      </c>
      <c r="E30" s="56">
        <v>0</v>
      </c>
      <c r="F30" s="56">
        <v>0</v>
      </c>
      <c r="G30" s="56">
        <v>0</v>
      </c>
      <c r="H30" s="56">
        <v>0</v>
      </c>
      <c r="I30" s="56">
        <v>0</v>
      </c>
      <c r="J30" s="56">
        <v>0</v>
      </c>
      <c r="K30" s="56">
        <f t="shared" si="0"/>
        <v>44587</v>
      </c>
      <c r="L30" s="56">
        <v>19860</v>
      </c>
      <c r="M30" s="56">
        <v>0</v>
      </c>
      <c r="N30" s="56"/>
      <c r="O30" s="56">
        <v>0</v>
      </c>
      <c r="P30" s="56">
        <v>1578566</v>
      </c>
      <c r="Q30" s="56">
        <v>107865</v>
      </c>
      <c r="R30" s="56">
        <v>162272</v>
      </c>
      <c r="S30" s="56">
        <v>235923</v>
      </c>
      <c r="U30" s="1">
        <v>343756</v>
      </c>
      <c r="W30" s="1">
        <v>5575737</v>
      </c>
      <c r="X30" s="1">
        <v>5243522</v>
      </c>
      <c r="Z30" s="1">
        <v>209725</v>
      </c>
    </row>
    <row r="31" spans="1:28" ht="10.9" customHeight="1">
      <c r="A31" s="276" t="s">
        <v>172</v>
      </c>
      <c r="B31" s="1" t="s">
        <v>130</v>
      </c>
      <c r="C31" s="56">
        <v>42900</v>
      </c>
      <c r="D31" s="56">
        <v>0</v>
      </c>
      <c r="E31" s="56">
        <v>0</v>
      </c>
      <c r="F31" s="56">
        <v>0</v>
      </c>
      <c r="G31" s="56">
        <v>0</v>
      </c>
      <c r="H31" s="56">
        <v>0</v>
      </c>
      <c r="I31" s="56">
        <v>0</v>
      </c>
      <c r="J31" s="56">
        <v>0</v>
      </c>
      <c r="K31" s="56">
        <f t="shared" si="0"/>
        <v>42900</v>
      </c>
      <c r="L31" s="56">
        <v>38431</v>
      </c>
      <c r="M31" s="56">
        <v>0</v>
      </c>
      <c r="N31" s="56"/>
      <c r="O31" s="56">
        <v>0</v>
      </c>
      <c r="P31" s="56">
        <v>3614143</v>
      </c>
      <c r="Q31" s="56">
        <v>287001</v>
      </c>
      <c r="R31" s="56">
        <v>870368</v>
      </c>
      <c r="S31" s="56">
        <v>564163</v>
      </c>
      <c r="U31" s="1">
        <v>333560</v>
      </c>
      <c r="W31" s="1">
        <v>15458228</v>
      </c>
      <c r="X31" s="1">
        <v>14935192</v>
      </c>
      <c r="Z31" s="1">
        <v>607462</v>
      </c>
    </row>
    <row r="32" spans="1:28" ht="10.9" customHeight="1">
      <c r="A32" s="276" t="s">
        <v>173</v>
      </c>
      <c r="B32" s="1" t="s">
        <v>131</v>
      </c>
      <c r="C32" s="56">
        <v>231828</v>
      </c>
      <c r="D32" s="56">
        <v>0</v>
      </c>
      <c r="E32" s="56">
        <v>758</v>
      </c>
      <c r="F32" s="56">
        <v>0</v>
      </c>
      <c r="G32" s="56">
        <v>0</v>
      </c>
      <c r="H32" s="56">
        <v>2881</v>
      </c>
      <c r="I32" s="56">
        <v>0</v>
      </c>
      <c r="J32" s="56">
        <v>0</v>
      </c>
      <c r="K32" s="56">
        <f t="shared" si="0"/>
        <v>235467</v>
      </c>
      <c r="L32" s="56">
        <v>15932</v>
      </c>
      <c r="M32" s="56">
        <v>0</v>
      </c>
      <c r="N32" s="56"/>
      <c r="O32" s="56">
        <v>0</v>
      </c>
      <c r="P32" s="56">
        <v>3050006</v>
      </c>
      <c r="Q32" s="56">
        <v>203010</v>
      </c>
      <c r="R32" s="56">
        <v>373410</v>
      </c>
      <c r="S32" s="56">
        <v>229768</v>
      </c>
      <c r="U32" s="1">
        <v>430405</v>
      </c>
      <c r="W32" s="1">
        <v>13445437</v>
      </c>
      <c r="X32" s="1">
        <v>12292328</v>
      </c>
      <c r="Z32" s="1">
        <v>383886</v>
      </c>
    </row>
    <row r="33" spans="1:26" ht="10.9" customHeight="1">
      <c r="A33" s="276" t="s">
        <v>174</v>
      </c>
      <c r="B33" s="1" t="s">
        <v>132</v>
      </c>
      <c r="C33" s="56">
        <v>81041</v>
      </c>
      <c r="D33" s="56">
        <v>0</v>
      </c>
      <c r="E33" s="56">
        <v>0</v>
      </c>
      <c r="F33" s="56">
        <v>0</v>
      </c>
      <c r="G33" s="56">
        <v>1625</v>
      </c>
      <c r="H33" s="56">
        <v>6551</v>
      </c>
      <c r="I33" s="56">
        <v>0</v>
      </c>
      <c r="J33" s="56">
        <v>0</v>
      </c>
      <c r="K33" s="56">
        <f t="shared" si="0"/>
        <v>89217</v>
      </c>
      <c r="L33" s="56">
        <v>34556</v>
      </c>
      <c r="M33" s="56">
        <v>0</v>
      </c>
      <c r="N33" s="56"/>
      <c r="O33" s="56">
        <v>0</v>
      </c>
      <c r="P33" s="56">
        <v>3006148</v>
      </c>
      <c r="Q33" s="56">
        <v>202992</v>
      </c>
      <c r="R33" s="56">
        <v>319934</v>
      </c>
      <c r="S33" s="56">
        <v>287210</v>
      </c>
      <c r="U33" s="1">
        <v>405331</v>
      </c>
      <c r="W33" s="1">
        <v>13708800</v>
      </c>
      <c r="X33" s="1">
        <v>12814815</v>
      </c>
      <c r="Z33" s="1">
        <v>494777</v>
      </c>
    </row>
    <row r="34" spans="1:26" ht="10.9" customHeight="1">
      <c r="A34" s="276" t="s">
        <v>175</v>
      </c>
      <c r="B34" s="1" t="s">
        <v>133</v>
      </c>
      <c r="C34" s="56">
        <v>443053</v>
      </c>
      <c r="D34" s="56">
        <v>9356</v>
      </c>
      <c r="E34" s="56">
        <v>0</v>
      </c>
      <c r="F34" s="56">
        <v>0</v>
      </c>
      <c r="G34" s="56">
        <v>0</v>
      </c>
      <c r="H34" s="56">
        <v>4600</v>
      </c>
      <c r="I34" s="56">
        <v>0</v>
      </c>
      <c r="J34" s="56">
        <v>0</v>
      </c>
      <c r="K34" s="56">
        <f t="shared" si="0"/>
        <v>457009</v>
      </c>
      <c r="L34" s="56">
        <v>32854</v>
      </c>
      <c r="M34" s="56">
        <v>0</v>
      </c>
      <c r="N34" s="56"/>
      <c r="O34" s="56">
        <v>0</v>
      </c>
      <c r="P34" s="56">
        <v>3383382</v>
      </c>
      <c r="Q34" s="56">
        <v>195307</v>
      </c>
      <c r="R34" s="56">
        <v>520008</v>
      </c>
      <c r="S34" s="56">
        <v>463639</v>
      </c>
      <c r="U34" s="1">
        <v>429151</v>
      </c>
      <c r="W34" s="1">
        <v>15723706</v>
      </c>
      <c r="X34" s="1">
        <v>14853830</v>
      </c>
      <c r="Z34" s="1">
        <v>365627</v>
      </c>
    </row>
    <row r="35" spans="1:26" ht="10.9" customHeight="1">
      <c r="A35" s="276" t="s">
        <v>176</v>
      </c>
      <c r="B35" s="1" t="s">
        <v>134</v>
      </c>
      <c r="C35" s="56">
        <v>531796</v>
      </c>
      <c r="D35" s="56">
        <v>0</v>
      </c>
      <c r="E35" s="56">
        <v>0</v>
      </c>
      <c r="F35" s="56">
        <v>0</v>
      </c>
      <c r="G35" s="56">
        <v>2050</v>
      </c>
      <c r="H35" s="56">
        <v>43058</v>
      </c>
      <c r="I35" s="56">
        <v>0</v>
      </c>
      <c r="J35" s="56">
        <v>0</v>
      </c>
      <c r="K35" s="56">
        <f t="shared" si="0"/>
        <v>576904</v>
      </c>
      <c r="L35" s="56">
        <v>48739</v>
      </c>
      <c r="M35" s="56">
        <v>366900</v>
      </c>
      <c r="N35" s="56"/>
      <c r="O35" s="56">
        <v>0</v>
      </c>
      <c r="P35" s="56">
        <v>15106483</v>
      </c>
      <c r="Q35" s="56">
        <v>1078476</v>
      </c>
      <c r="R35" s="56">
        <v>3484238</v>
      </c>
      <c r="S35" s="56">
        <v>4219936</v>
      </c>
      <c r="U35" s="1">
        <v>367541</v>
      </c>
      <c r="W35" s="1">
        <v>77199083</v>
      </c>
      <c r="X35" s="1">
        <v>75708560</v>
      </c>
      <c r="Z35" s="1">
        <v>2437923</v>
      </c>
    </row>
    <row r="36" spans="1:26" ht="10.9" customHeight="1">
      <c r="A36" s="276" t="s">
        <v>177</v>
      </c>
      <c r="B36" s="1" t="s">
        <v>135</v>
      </c>
      <c r="C36" s="56">
        <v>207719</v>
      </c>
      <c r="D36" s="56">
        <v>0</v>
      </c>
      <c r="E36" s="56">
        <v>0</v>
      </c>
      <c r="F36" s="56">
        <v>0</v>
      </c>
      <c r="G36" s="56">
        <v>150</v>
      </c>
      <c r="H36" s="56">
        <v>1400</v>
      </c>
      <c r="I36" s="56">
        <v>0</v>
      </c>
      <c r="J36" s="56">
        <v>0</v>
      </c>
      <c r="K36" s="56">
        <f t="shared" si="0"/>
        <v>209269</v>
      </c>
      <c r="L36" s="56">
        <v>27900</v>
      </c>
      <c r="M36" s="56">
        <v>0</v>
      </c>
      <c r="N36" s="56"/>
      <c r="O36" s="56">
        <v>0</v>
      </c>
      <c r="P36" s="56">
        <v>1941411</v>
      </c>
      <c r="Q36" s="56">
        <v>154714</v>
      </c>
      <c r="R36" s="56">
        <v>282132</v>
      </c>
      <c r="S36" s="56">
        <v>145657</v>
      </c>
      <c r="U36" s="1">
        <v>465319</v>
      </c>
      <c r="W36" s="1">
        <v>10495676</v>
      </c>
      <c r="X36" s="1">
        <v>9731785</v>
      </c>
      <c r="Z36" s="1">
        <v>321549</v>
      </c>
    </row>
    <row r="37" spans="1:26" ht="10.9" customHeight="1">
      <c r="A37" s="276" t="s">
        <v>178</v>
      </c>
      <c r="B37" s="1" t="s">
        <v>136</v>
      </c>
      <c r="C37" s="56">
        <v>446475</v>
      </c>
      <c r="D37" s="56">
        <v>108509</v>
      </c>
      <c r="E37" s="56">
        <v>0</v>
      </c>
      <c r="F37" s="56">
        <v>0</v>
      </c>
      <c r="G37" s="56">
        <v>0</v>
      </c>
      <c r="H37" s="56">
        <v>29698</v>
      </c>
      <c r="I37" s="56">
        <v>0</v>
      </c>
      <c r="J37" s="56">
        <v>0</v>
      </c>
      <c r="K37" s="56">
        <f t="shared" si="0"/>
        <v>584682</v>
      </c>
      <c r="L37" s="56">
        <v>39634</v>
      </c>
      <c r="M37" s="56">
        <v>0</v>
      </c>
      <c r="N37" s="56"/>
      <c r="O37" s="56">
        <v>0</v>
      </c>
      <c r="P37" s="56">
        <v>5395718</v>
      </c>
      <c r="Q37" s="56">
        <v>359196</v>
      </c>
      <c r="R37" s="56">
        <v>1003136</v>
      </c>
      <c r="S37" s="56">
        <v>976514</v>
      </c>
      <c r="U37" s="1">
        <v>269763</v>
      </c>
      <c r="W37" s="1">
        <v>23137361</v>
      </c>
      <c r="X37" s="1">
        <v>20558267</v>
      </c>
      <c r="Z37" s="1">
        <v>582225</v>
      </c>
    </row>
    <row r="38" spans="1:26" ht="10.9" customHeight="1">
      <c r="A38" s="276" t="s">
        <v>179</v>
      </c>
      <c r="B38" s="1" t="s">
        <v>137</v>
      </c>
      <c r="C38" s="56">
        <v>890961</v>
      </c>
      <c r="D38" s="56">
        <v>192903</v>
      </c>
      <c r="E38" s="56">
        <v>22500</v>
      </c>
      <c r="F38" s="56">
        <v>47283</v>
      </c>
      <c r="G38" s="56">
        <v>-69783</v>
      </c>
      <c r="H38" s="56">
        <v>128983</v>
      </c>
      <c r="I38" s="56">
        <v>0</v>
      </c>
      <c r="J38" s="56">
        <v>0</v>
      </c>
      <c r="K38" s="56">
        <f t="shared" si="0"/>
        <v>1212847</v>
      </c>
      <c r="L38" s="56">
        <v>88662</v>
      </c>
      <c r="M38" s="56">
        <v>0</v>
      </c>
      <c r="N38" s="56"/>
      <c r="O38" s="56">
        <v>0</v>
      </c>
      <c r="P38" s="56">
        <v>10122594</v>
      </c>
      <c r="Q38" s="56">
        <v>725263</v>
      </c>
      <c r="R38" s="56">
        <v>1949108</v>
      </c>
      <c r="S38" s="56">
        <v>3265988</v>
      </c>
      <c r="U38" s="1">
        <v>293689</v>
      </c>
      <c r="W38" s="1">
        <v>49883579</v>
      </c>
      <c r="X38" s="1">
        <v>44519745</v>
      </c>
      <c r="Z38" s="1">
        <v>1211337</v>
      </c>
    </row>
    <row r="39" spans="1:26" ht="10.9" customHeight="1">
      <c r="A39" s="276" t="s">
        <v>180</v>
      </c>
      <c r="B39" s="1" t="s">
        <v>138</v>
      </c>
      <c r="C39" s="56">
        <v>141226</v>
      </c>
      <c r="D39" s="56">
        <v>0</v>
      </c>
      <c r="E39" s="56">
        <v>0</v>
      </c>
      <c r="F39" s="56">
        <v>0</v>
      </c>
      <c r="G39" s="56">
        <v>0</v>
      </c>
      <c r="H39" s="56">
        <v>0</v>
      </c>
      <c r="I39" s="56">
        <v>0</v>
      </c>
      <c r="J39" s="56">
        <v>0</v>
      </c>
      <c r="K39" s="56">
        <f t="shared" si="0"/>
        <v>141226</v>
      </c>
      <c r="L39" s="56">
        <v>28818</v>
      </c>
      <c r="M39" s="56">
        <v>0</v>
      </c>
      <c r="N39" s="56"/>
      <c r="O39" s="56">
        <v>0</v>
      </c>
      <c r="P39" s="56">
        <v>2113874</v>
      </c>
      <c r="Q39" s="56">
        <v>160011</v>
      </c>
      <c r="R39" s="56">
        <v>221280</v>
      </c>
      <c r="S39" s="56">
        <v>123090</v>
      </c>
      <c r="U39" s="1">
        <v>601208</v>
      </c>
      <c r="W39" s="1">
        <v>11297178</v>
      </c>
      <c r="X39" s="1">
        <v>10538722</v>
      </c>
      <c r="Z39" s="1">
        <v>314353</v>
      </c>
    </row>
    <row r="40" spans="1:26" ht="10.9" customHeight="1">
      <c r="A40" s="276" t="s">
        <v>181</v>
      </c>
      <c r="B40" s="1" t="s">
        <v>139</v>
      </c>
      <c r="C40" s="56">
        <v>447000</v>
      </c>
      <c r="D40" s="56">
        <v>0</v>
      </c>
      <c r="E40" s="56">
        <v>0</v>
      </c>
      <c r="F40" s="56">
        <v>5495</v>
      </c>
      <c r="G40" s="56">
        <v>0</v>
      </c>
      <c r="H40" s="56">
        <v>0</v>
      </c>
      <c r="I40" s="56">
        <v>0</v>
      </c>
      <c r="J40" s="56">
        <v>0</v>
      </c>
      <c r="K40" s="56">
        <f t="shared" si="0"/>
        <v>452495</v>
      </c>
      <c r="L40" s="56">
        <v>68681</v>
      </c>
      <c r="M40" s="56">
        <v>324571</v>
      </c>
      <c r="N40" s="56"/>
      <c r="O40" s="56">
        <v>0</v>
      </c>
      <c r="P40" s="56">
        <v>7651748</v>
      </c>
      <c r="Q40" s="56">
        <v>550613</v>
      </c>
      <c r="R40" s="56">
        <v>2132586</v>
      </c>
      <c r="S40" s="56">
        <v>1819681</v>
      </c>
      <c r="U40" s="1">
        <v>535756</v>
      </c>
      <c r="W40" s="1">
        <v>54394902</v>
      </c>
      <c r="X40" s="1">
        <v>50914379</v>
      </c>
      <c r="Z40" s="1">
        <v>1420105</v>
      </c>
    </row>
    <row r="41" spans="1:26" ht="10.9" customHeight="1">
      <c r="A41" s="276" t="s">
        <v>182</v>
      </c>
      <c r="B41" s="1" t="s">
        <v>140</v>
      </c>
      <c r="C41" s="56">
        <v>474553</v>
      </c>
      <c r="D41" s="56">
        <v>306574</v>
      </c>
      <c r="E41" s="56">
        <v>20000</v>
      </c>
      <c r="F41" s="56">
        <v>0</v>
      </c>
      <c r="G41" s="56">
        <v>-19366</v>
      </c>
      <c r="H41" s="56">
        <v>0</v>
      </c>
      <c r="I41" s="56">
        <v>0</v>
      </c>
      <c r="J41" s="56">
        <v>0</v>
      </c>
      <c r="K41" s="56">
        <f t="shared" si="0"/>
        <v>781761</v>
      </c>
      <c r="L41" s="56">
        <v>46578</v>
      </c>
      <c r="M41" s="56">
        <v>0</v>
      </c>
      <c r="N41" s="56"/>
      <c r="O41" s="56">
        <v>0</v>
      </c>
      <c r="P41" s="56">
        <v>6412171</v>
      </c>
      <c r="Q41" s="56">
        <v>437916</v>
      </c>
      <c r="R41" s="56">
        <v>1040938</v>
      </c>
      <c r="S41" s="56">
        <v>1107810</v>
      </c>
      <c r="U41" s="1">
        <v>452339</v>
      </c>
      <c r="W41" s="1">
        <v>32394497</v>
      </c>
      <c r="X41" s="1">
        <v>29414800</v>
      </c>
      <c r="Z41" s="1">
        <v>730330</v>
      </c>
    </row>
    <row r="42" spans="1:26" ht="10.9" customHeight="1">
      <c r="A42" s="276" t="s">
        <v>183</v>
      </c>
      <c r="B42" s="1" t="s">
        <v>141</v>
      </c>
      <c r="C42" s="56">
        <v>1300</v>
      </c>
      <c r="D42" s="56">
        <v>0</v>
      </c>
      <c r="E42" s="56">
        <v>0</v>
      </c>
      <c r="F42" s="56">
        <v>0</v>
      </c>
      <c r="G42" s="56">
        <v>0</v>
      </c>
      <c r="H42" s="56">
        <v>0</v>
      </c>
      <c r="I42" s="56">
        <v>0</v>
      </c>
      <c r="J42" s="56">
        <v>0</v>
      </c>
      <c r="K42" s="56">
        <f t="shared" si="0"/>
        <v>1300</v>
      </c>
      <c r="L42" s="56">
        <v>19052</v>
      </c>
      <c r="M42" s="56">
        <v>0</v>
      </c>
      <c r="N42" s="56"/>
      <c r="O42" s="56">
        <v>0</v>
      </c>
      <c r="P42" s="56">
        <v>2414001</v>
      </c>
      <c r="Q42" s="56">
        <v>143545</v>
      </c>
      <c r="R42" s="56">
        <v>447170</v>
      </c>
      <c r="S42" s="56">
        <v>219511</v>
      </c>
      <c r="U42" s="1">
        <v>292574</v>
      </c>
      <c r="W42" s="1">
        <v>7729154</v>
      </c>
      <c r="X42" s="1">
        <v>6672657</v>
      </c>
      <c r="Z42" s="1">
        <v>329747</v>
      </c>
    </row>
    <row r="43" spans="1:26" ht="10.9" customHeight="1">
      <c r="A43" s="276" t="s">
        <v>184</v>
      </c>
      <c r="B43" s="1" t="s">
        <v>142</v>
      </c>
      <c r="C43" s="56">
        <v>26008</v>
      </c>
      <c r="D43" s="56">
        <v>0</v>
      </c>
      <c r="E43" s="56">
        <v>0</v>
      </c>
      <c r="F43" s="56">
        <v>0</v>
      </c>
      <c r="G43" s="56">
        <v>0</v>
      </c>
      <c r="H43" s="56">
        <v>0</v>
      </c>
      <c r="I43" s="56">
        <v>0</v>
      </c>
      <c r="J43" s="56">
        <v>0</v>
      </c>
      <c r="K43" s="56">
        <f>SUM(C43:I43)-J43</f>
        <v>26008</v>
      </c>
      <c r="L43" s="56">
        <v>17939</v>
      </c>
      <c r="M43" s="56">
        <v>0</v>
      </c>
      <c r="N43" s="56"/>
      <c r="O43" s="56">
        <v>0</v>
      </c>
      <c r="P43" s="56">
        <v>1207718</v>
      </c>
      <c r="Q43" s="56">
        <v>100816</v>
      </c>
      <c r="R43" s="56">
        <v>173336</v>
      </c>
      <c r="S43" s="56">
        <v>102575</v>
      </c>
      <c r="U43" s="1">
        <v>422493</v>
      </c>
      <c r="W43" s="1">
        <v>5932852</v>
      </c>
      <c r="X43" s="1">
        <v>5932852</v>
      </c>
      <c r="Z43" s="1">
        <v>182598</v>
      </c>
    </row>
    <row r="44" spans="1:26" ht="10.9" customHeight="1">
      <c r="A44" s="276" t="s">
        <v>185</v>
      </c>
      <c r="B44" s="1" t="s">
        <v>143</v>
      </c>
      <c r="C44" s="56">
        <v>211741</v>
      </c>
      <c r="D44" s="56">
        <v>0</v>
      </c>
      <c r="E44" s="56">
        <v>0</v>
      </c>
      <c r="F44" s="56">
        <v>0</v>
      </c>
      <c r="G44" s="56">
        <v>0</v>
      </c>
      <c r="H44" s="56">
        <v>0</v>
      </c>
      <c r="I44" s="56">
        <v>0</v>
      </c>
      <c r="J44" s="56">
        <v>0</v>
      </c>
      <c r="K44" s="56">
        <f>SUM(C44:I44)-J44</f>
        <v>211741</v>
      </c>
      <c r="L44" s="56">
        <v>7395</v>
      </c>
      <c r="M44" s="56">
        <v>0</v>
      </c>
      <c r="N44" s="56"/>
      <c r="O44" s="56">
        <v>0</v>
      </c>
      <c r="P44" s="56">
        <v>1598627</v>
      </c>
      <c r="Q44" s="56">
        <v>73060</v>
      </c>
      <c r="R44" s="56">
        <v>280288</v>
      </c>
      <c r="S44" s="56">
        <v>143605</v>
      </c>
      <c r="U44" s="1">
        <v>209531</v>
      </c>
      <c r="W44" s="1">
        <v>3550178</v>
      </c>
      <c r="X44" s="1">
        <v>3081259</v>
      </c>
      <c r="Z44" s="1">
        <v>179107</v>
      </c>
    </row>
    <row r="45" spans="1:26" ht="10.9" customHeight="1">
      <c r="A45" s="276" t="s">
        <v>186</v>
      </c>
      <c r="B45" s="1" t="s">
        <v>144</v>
      </c>
      <c r="C45" s="56">
        <v>246045</v>
      </c>
      <c r="D45" s="56">
        <v>0</v>
      </c>
      <c r="E45" s="56">
        <v>7000</v>
      </c>
      <c r="F45" s="56">
        <v>0</v>
      </c>
      <c r="G45" s="56">
        <v>-7000</v>
      </c>
      <c r="H45" s="56">
        <v>0</v>
      </c>
      <c r="I45" s="56">
        <v>0</v>
      </c>
      <c r="J45" s="56">
        <v>0</v>
      </c>
      <c r="K45" s="56">
        <f>SUM(C45:I45)-J45</f>
        <v>246045</v>
      </c>
      <c r="L45" s="56">
        <v>14809</v>
      </c>
      <c r="M45" s="56">
        <v>0</v>
      </c>
      <c r="N45" s="56"/>
      <c r="O45" s="56">
        <v>0</v>
      </c>
      <c r="P45" s="56">
        <v>1577768</v>
      </c>
      <c r="Q45" s="56">
        <v>136876</v>
      </c>
      <c r="R45" s="56">
        <v>336530</v>
      </c>
      <c r="S45" s="56">
        <v>174378</v>
      </c>
      <c r="U45" s="1">
        <v>277782</v>
      </c>
      <c r="W45" s="1">
        <v>7426255</v>
      </c>
      <c r="X45" s="1">
        <v>7426255</v>
      </c>
      <c r="Z45" s="1">
        <v>207024</v>
      </c>
    </row>
    <row r="46" spans="1:26" ht="10.9" customHeight="1">
      <c r="A46" s="276" t="s">
        <v>187</v>
      </c>
      <c r="B46" s="1" t="s">
        <v>145</v>
      </c>
      <c r="C46" s="56">
        <v>1867634</v>
      </c>
      <c r="D46" s="56">
        <v>317900</v>
      </c>
      <c r="E46" s="56">
        <v>0</v>
      </c>
      <c r="F46" s="56">
        <v>0</v>
      </c>
      <c r="G46" s="56">
        <v>8474</v>
      </c>
      <c r="H46" s="56">
        <v>73639</v>
      </c>
      <c r="I46" s="56">
        <v>0</v>
      </c>
      <c r="J46" s="56">
        <v>0</v>
      </c>
      <c r="K46" s="56">
        <f>SUM(C46:I46)-J46</f>
        <v>2267647</v>
      </c>
      <c r="L46" s="56">
        <v>0</v>
      </c>
      <c r="M46" s="56">
        <v>181062</v>
      </c>
      <c r="N46" s="56"/>
      <c r="O46" s="56">
        <v>0</v>
      </c>
      <c r="P46" s="56">
        <v>28995140</v>
      </c>
      <c r="Q46" s="56">
        <v>2065875</v>
      </c>
      <c r="R46" s="56">
        <v>6800672</v>
      </c>
      <c r="S46" s="56">
        <v>7044851</v>
      </c>
      <c r="U46" s="1">
        <v>360068</v>
      </c>
      <c r="W46" s="1">
        <v>167684502</v>
      </c>
      <c r="X46" s="1">
        <v>158104106</v>
      </c>
      <c r="Z46" s="1">
        <v>4979329</v>
      </c>
    </row>
    <row r="47" spans="1:26" ht="3.95" customHeight="1">
      <c r="A47" s="276"/>
      <c r="Z47"/>
    </row>
    <row r="48" spans="1:26">
      <c r="A48" s="276"/>
      <c r="B48" s="1" t="s">
        <v>146</v>
      </c>
      <c r="C48" s="1">
        <f t="shared" ref="C48" si="1">SUM(C11:C46)</f>
        <v>15860025</v>
      </c>
      <c r="D48" s="1">
        <f t="shared" ref="D48:E48" si="2">SUM(D11:D46)</f>
        <v>1444985</v>
      </c>
      <c r="E48" s="1">
        <f t="shared" si="2"/>
        <v>1332239</v>
      </c>
      <c r="F48" s="1">
        <f t="shared" ref="F48" si="3">SUM(F11:F46)</f>
        <v>72778</v>
      </c>
      <c r="G48" s="1">
        <f t="shared" ref="G48" si="4">SUM(G11:G46)</f>
        <v>60860</v>
      </c>
      <c r="H48" s="1">
        <f t="shared" ref="H48" si="5">SUM(H11:H46)</f>
        <v>401813</v>
      </c>
      <c r="I48" s="1">
        <f t="shared" ref="I48" si="6">SUM(I11:I46)</f>
        <v>188880</v>
      </c>
      <c r="J48" s="1">
        <f t="shared" ref="J48" si="7">SUM(J11:J46)</f>
        <v>0</v>
      </c>
      <c r="K48" s="1">
        <f t="shared" ref="K48:M48" si="8">SUM(K11:K46)</f>
        <v>19361580</v>
      </c>
      <c r="L48" s="1">
        <f t="shared" si="8"/>
        <v>1088914</v>
      </c>
      <c r="M48" s="1">
        <f t="shared" si="8"/>
        <v>2032166</v>
      </c>
      <c r="O48" s="1">
        <f t="shared" ref="O48:P48" si="9">SUM(O11:O46)</f>
        <v>0</v>
      </c>
      <c r="P48" s="1">
        <f t="shared" si="9"/>
        <v>193243339</v>
      </c>
      <c r="Q48" s="1">
        <f t="shared" ref="Q48:S48" si="10">SUM(Q11:Q46)</f>
        <v>13278354</v>
      </c>
      <c r="R48" s="1">
        <f t="shared" si="10"/>
        <v>36737089</v>
      </c>
      <c r="S48" s="1">
        <f t="shared" si="10"/>
        <v>37226528</v>
      </c>
      <c r="U48" s="1">
        <v>371860.10778698581</v>
      </c>
      <c r="W48" s="1">
        <v>916493311</v>
      </c>
      <c r="X48" s="1">
        <v>855074984</v>
      </c>
      <c r="Z48" s="1">
        <f>SUM(Z11:Z46)</f>
        <v>28702241.199999999</v>
      </c>
    </row>
    <row r="49" spans="1:26" ht="3.95" customHeight="1">
      <c r="A49" s="276"/>
      <c r="B49" s="1" t="s">
        <v>8</v>
      </c>
    </row>
    <row r="50" spans="1:26" ht="10.9" customHeight="1">
      <c r="A50" s="276" t="s">
        <v>189</v>
      </c>
      <c r="B50" s="1" t="s">
        <v>147</v>
      </c>
      <c r="C50" s="56">
        <v>0</v>
      </c>
      <c r="D50" s="56">
        <v>0</v>
      </c>
      <c r="E50" s="56">
        <v>0</v>
      </c>
      <c r="F50" s="56">
        <v>0</v>
      </c>
      <c r="G50" s="56">
        <v>0</v>
      </c>
      <c r="H50" s="56">
        <v>0</v>
      </c>
      <c r="I50" s="56">
        <v>0</v>
      </c>
      <c r="J50" s="56">
        <v>0</v>
      </c>
      <c r="K50" s="56">
        <f>SUM(C50:I50)-J50</f>
        <v>0</v>
      </c>
      <c r="L50" s="56">
        <v>12296</v>
      </c>
      <c r="M50" s="56">
        <v>0</v>
      </c>
      <c r="N50" s="56"/>
      <c r="O50" s="56">
        <v>0</v>
      </c>
      <c r="P50" s="56">
        <v>155831</v>
      </c>
      <c r="Q50" s="56">
        <v>16578</v>
      </c>
      <c r="R50" s="56">
        <v>31348</v>
      </c>
      <c r="S50" s="56">
        <v>65648</v>
      </c>
      <c r="Z50" s="419">
        <v>72531</v>
      </c>
    </row>
    <row r="51" spans="1:26">
      <c r="A51" s="276" t="s">
        <v>188</v>
      </c>
      <c r="B51" s="1" t="s">
        <v>643</v>
      </c>
      <c r="C51" s="56">
        <v>0</v>
      </c>
      <c r="D51" s="56">
        <v>0</v>
      </c>
      <c r="E51" s="56">
        <v>418719</v>
      </c>
      <c r="F51" s="56">
        <v>0</v>
      </c>
      <c r="G51" s="56">
        <v>0</v>
      </c>
      <c r="H51" s="56">
        <v>0</v>
      </c>
      <c r="I51" s="56">
        <v>0</v>
      </c>
      <c r="J51" s="56">
        <v>0</v>
      </c>
      <c r="K51" s="56">
        <f>SUM(C51:I51)-J51</f>
        <v>418719</v>
      </c>
      <c r="L51" s="56">
        <v>0</v>
      </c>
      <c r="M51" s="56">
        <v>0</v>
      </c>
      <c r="N51" s="56"/>
      <c r="O51" s="56">
        <v>0</v>
      </c>
      <c r="P51" s="56">
        <v>0</v>
      </c>
      <c r="Q51" s="56">
        <v>0</v>
      </c>
      <c r="R51" s="56">
        <v>0</v>
      </c>
      <c r="S51" s="56">
        <v>0</v>
      </c>
    </row>
    <row r="55" spans="1:26">
      <c r="B55" s="559" t="s">
        <v>467</v>
      </c>
      <c r="C55" s="856" t="s">
        <v>469</v>
      </c>
      <c r="D55" s="857"/>
      <c r="E55" s="857"/>
      <c r="F55" s="858"/>
      <c r="G55" s="559" t="s">
        <v>468</v>
      </c>
      <c r="K55" s="56"/>
    </row>
    <row r="56" spans="1:26">
      <c r="B56" s="558">
        <v>18</v>
      </c>
      <c r="C56" s="558">
        <v>0</v>
      </c>
      <c r="D56" s="558">
        <v>3.7252902984619141E-9</v>
      </c>
      <c r="E56" s="558"/>
      <c r="F56" s="558"/>
      <c r="G56" s="558">
        <v>100</v>
      </c>
    </row>
    <row r="57" spans="1:26">
      <c r="B57" s="560">
        <f>+B56+1</f>
        <v>19</v>
      </c>
      <c r="C57" s="560">
        <v>0</v>
      </c>
      <c r="D57" s="560">
        <v>0</v>
      </c>
      <c r="E57" s="560">
        <v>0</v>
      </c>
      <c r="F57" s="560"/>
      <c r="G57" s="560">
        <v>100</v>
      </c>
    </row>
    <row r="58" spans="1:26">
      <c r="B58" s="558">
        <f t="shared" ref="B58:B71" si="11">+B57+1</f>
        <v>20</v>
      </c>
      <c r="C58" s="558">
        <v>0</v>
      </c>
      <c r="D58" s="558"/>
      <c r="E58" s="558"/>
      <c r="F58" s="558"/>
      <c r="G58" s="558">
        <v>100</v>
      </c>
    </row>
    <row r="59" spans="1:26">
      <c r="B59" s="560">
        <f t="shared" si="11"/>
        <v>21</v>
      </c>
      <c r="C59" s="560">
        <v>0</v>
      </c>
      <c r="D59" s="560">
        <v>0</v>
      </c>
      <c r="E59" s="560">
        <v>0</v>
      </c>
      <c r="F59" s="560"/>
      <c r="G59" s="560">
        <v>200</v>
      </c>
    </row>
    <row r="60" spans="1:26">
      <c r="B60" s="558">
        <f t="shared" si="11"/>
        <v>22</v>
      </c>
      <c r="C60" s="558">
        <v>0</v>
      </c>
      <c r="D60" s="558">
        <v>0</v>
      </c>
      <c r="E60" s="558">
        <v>0</v>
      </c>
      <c r="F60" s="558"/>
      <c r="G60" s="558">
        <v>200</v>
      </c>
    </row>
    <row r="61" spans="1:26">
      <c r="B61" s="560">
        <f t="shared" si="11"/>
        <v>23</v>
      </c>
      <c r="C61" s="560">
        <v>0</v>
      </c>
      <c r="D61" s="560">
        <v>0</v>
      </c>
      <c r="E61" s="560"/>
      <c r="F61" s="560"/>
      <c r="G61" s="560">
        <v>300</v>
      </c>
    </row>
    <row r="62" spans="1:26">
      <c r="B62" s="558">
        <f t="shared" si="11"/>
        <v>24</v>
      </c>
      <c r="C62" s="558">
        <v>0</v>
      </c>
      <c r="D62" s="558">
        <v>0</v>
      </c>
      <c r="E62" s="558">
        <v>0</v>
      </c>
      <c r="F62" s="558">
        <v>0</v>
      </c>
      <c r="G62" s="558">
        <v>400</v>
      </c>
    </row>
    <row r="63" spans="1:26">
      <c r="B63" s="560">
        <f t="shared" si="11"/>
        <v>25</v>
      </c>
      <c r="C63" s="560">
        <v>0</v>
      </c>
      <c r="D63" s="560">
        <v>0</v>
      </c>
      <c r="E63" s="560">
        <v>0</v>
      </c>
      <c r="F63" s="560"/>
      <c r="G63" s="560">
        <v>500</v>
      </c>
    </row>
    <row r="64" spans="1:26">
      <c r="B64" s="558">
        <f t="shared" si="11"/>
        <v>26</v>
      </c>
      <c r="C64" s="558">
        <v>0</v>
      </c>
      <c r="D64" s="558"/>
      <c r="E64" s="558"/>
      <c r="F64" s="558"/>
      <c r="G64" s="558">
        <v>500</v>
      </c>
    </row>
    <row r="65" spans="2:7">
      <c r="B65" s="560">
        <f t="shared" si="11"/>
        <v>27</v>
      </c>
      <c r="C65" s="560">
        <v>0</v>
      </c>
      <c r="D65" s="560">
        <v>0</v>
      </c>
      <c r="E65" s="560">
        <v>0</v>
      </c>
      <c r="F65" s="560"/>
      <c r="G65" s="560">
        <v>600</v>
      </c>
    </row>
    <row r="66" spans="2:7">
      <c r="B66" s="558">
        <f t="shared" si="11"/>
        <v>28</v>
      </c>
      <c r="C66" s="558">
        <v>0</v>
      </c>
      <c r="D66" s="558">
        <v>0</v>
      </c>
      <c r="E66" s="558"/>
      <c r="F66" s="558"/>
      <c r="G66" s="558">
        <v>600</v>
      </c>
    </row>
    <row r="67" spans="2:7">
      <c r="B67" s="560">
        <f t="shared" si="11"/>
        <v>29</v>
      </c>
      <c r="C67" s="560">
        <v>0</v>
      </c>
      <c r="D67" s="560">
        <v>0</v>
      </c>
      <c r="E67" s="560">
        <v>0</v>
      </c>
      <c r="F67" s="560"/>
      <c r="G67" s="560">
        <v>700</v>
      </c>
    </row>
    <row r="68" spans="2:7">
      <c r="B68" s="558">
        <f t="shared" si="11"/>
        <v>30</v>
      </c>
      <c r="C68" s="558">
        <v>0</v>
      </c>
      <c r="D68" s="558">
        <v>0</v>
      </c>
      <c r="E68" s="558"/>
      <c r="F68" s="558"/>
      <c r="G68" s="558">
        <v>700</v>
      </c>
    </row>
    <row r="69" spans="2:7">
      <c r="B69" s="560">
        <f t="shared" si="11"/>
        <v>31</v>
      </c>
      <c r="C69" s="560">
        <v>0</v>
      </c>
      <c r="D69" s="560">
        <v>0</v>
      </c>
      <c r="E69" s="560">
        <v>0</v>
      </c>
      <c r="F69" s="560"/>
      <c r="G69" s="560">
        <v>800</v>
      </c>
    </row>
    <row r="70" spans="2:7">
      <c r="B70" s="558">
        <f t="shared" si="11"/>
        <v>32</v>
      </c>
      <c r="C70" s="558">
        <v>0</v>
      </c>
      <c r="D70" s="558">
        <v>0</v>
      </c>
      <c r="E70" s="558"/>
      <c r="F70" s="558"/>
      <c r="G70" s="558">
        <v>800</v>
      </c>
    </row>
    <row r="71" spans="2:7">
      <c r="B71" s="560">
        <f t="shared" si="11"/>
        <v>33</v>
      </c>
      <c r="C71" s="560">
        <v>0</v>
      </c>
      <c r="D71" s="560">
        <v>0</v>
      </c>
      <c r="E71" s="560">
        <v>0</v>
      </c>
      <c r="F71" s="560"/>
      <c r="G71" s="560">
        <v>900</v>
      </c>
    </row>
    <row r="72" spans="2:7">
      <c r="B72" s="579" t="s">
        <v>642</v>
      </c>
      <c r="C72" s="579">
        <f>SUM(C56:F71)</f>
        <v>3.7252902984619141E-9</v>
      </c>
    </row>
    <row r="88" spans="2:3">
      <c r="B88" s="1" t="s">
        <v>281</v>
      </c>
    </row>
    <row r="89" spans="2:3">
      <c r="B89" s="276">
        <f>+FALLYR-1</f>
        <v>2013</v>
      </c>
      <c r="C89" s="1" t="s">
        <v>282</v>
      </c>
    </row>
    <row r="90" spans="2:3">
      <c r="B90" s="276"/>
    </row>
    <row r="91" spans="2:3">
      <c r="B91" s="276"/>
    </row>
  </sheetData>
  <mergeCells count="1">
    <mergeCell ref="C55:F55"/>
  </mergeCells>
  <phoneticPr fontId="6" type="noConversion"/>
  <pageMargins left="0.5" right="0.5" top="0.6" bottom="0.2" header="0.3" footer="0.5"/>
  <pageSetup scale="87" orientation="landscape" horizontalDpi="4294967292" r:id="rId1"/>
  <headerFooter alignWithMargins="0"/>
  <legacyDrawing r:id="rId2"/>
</worksheet>
</file>

<file path=xl/worksheets/sheet7.xml><?xml version="1.0" encoding="utf-8"?>
<worksheet xmlns="http://schemas.openxmlformats.org/spreadsheetml/2006/main" xmlns:r="http://schemas.openxmlformats.org/officeDocument/2006/relationships">
  <sheetPr codeName="Sheet6">
    <pageSetUpPr fitToPage="1"/>
  </sheetPr>
  <dimension ref="A1:D58"/>
  <sheetViews>
    <sheetView showGridLines="0" showZeros="0" workbookViewId="0"/>
  </sheetViews>
  <sheetFormatPr defaultRowHeight="12"/>
  <cols>
    <col min="1" max="1" width="39.83203125" style="1" customWidth="1"/>
    <col min="2" max="3" width="31.83203125" style="1" customWidth="1"/>
    <col min="4" max="4" width="29.83203125" style="1" customWidth="1"/>
    <col min="5" max="16384" width="9.33203125" style="1"/>
  </cols>
  <sheetData>
    <row r="1" spans="1:4" ht="6.95" customHeight="1">
      <c r="A1" s="6"/>
      <c r="B1" s="7"/>
      <c r="C1" s="7"/>
      <c r="D1" s="7"/>
    </row>
    <row r="2" spans="1:4" ht="15.95" customHeight="1">
      <c r="A2" s="62"/>
      <c r="B2" s="8" t="s">
        <v>88</v>
      </c>
      <c r="C2" s="9"/>
      <c r="D2" s="63"/>
    </row>
    <row r="3" spans="1:4" ht="15.95" customHeight="1">
      <c r="A3" s="547"/>
      <c r="B3" s="10" t="str">
        <f>STATDATE</f>
        <v>ACTUAL SEPTEMBER 30, 2014</v>
      </c>
      <c r="C3" s="11"/>
      <c r="D3" s="65"/>
    </row>
    <row r="4" spans="1:4" ht="15.95" customHeight="1">
      <c r="B4" s="7"/>
      <c r="C4" s="7"/>
      <c r="D4" s="7"/>
    </row>
    <row r="5" spans="1:4" ht="15.95" customHeight="1">
      <c r="B5" s="7"/>
      <c r="C5" s="7"/>
      <c r="D5" s="7"/>
    </row>
    <row r="6" spans="1:4" ht="15.95" customHeight="1">
      <c r="B6" s="7"/>
      <c r="C6" s="7"/>
      <c r="D6" s="7"/>
    </row>
    <row r="7" spans="1:4" ht="15.95" customHeight="1">
      <c r="B7" s="303" t="s">
        <v>88</v>
      </c>
      <c r="C7" s="285"/>
      <c r="D7" s="7"/>
    </row>
    <row r="8" spans="1:4" ht="15.95" customHeight="1">
      <c r="A8" s="66"/>
      <c r="B8" s="617" t="s">
        <v>486</v>
      </c>
      <c r="C8" s="67"/>
      <c r="D8" s="68"/>
    </row>
    <row r="9" spans="1:4" ht="15.95" customHeight="1">
      <c r="A9" s="34" t="s">
        <v>43</v>
      </c>
      <c r="B9" s="618"/>
      <c r="C9" s="35" t="s">
        <v>245</v>
      </c>
    </row>
    <row r="10" spans="1:4" ht="5.0999999999999996" customHeight="1">
      <c r="A10" s="5"/>
    </row>
    <row r="11" spans="1:4" ht="14.1" customHeight="1">
      <c r="A11" s="287" t="s">
        <v>111</v>
      </c>
      <c r="B11" s="294">
        <v>16.399999999999999</v>
      </c>
      <c r="C11" s="294">
        <v>14.054671706073655</v>
      </c>
    </row>
    <row r="12" spans="1:4" ht="14.1" customHeight="1">
      <c r="A12" s="18" t="s">
        <v>112</v>
      </c>
      <c r="B12" s="69">
        <v>14.639132821075737</v>
      </c>
      <c r="C12" s="69">
        <v>11.494290023701787</v>
      </c>
    </row>
    <row r="13" spans="1:4" ht="14.1" customHeight="1">
      <c r="A13" s="287" t="s">
        <v>113</v>
      </c>
      <c r="B13" s="294">
        <v>17.04216115588839</v>
      </c>
      <c r="C13" s="294">
        <v>12.687413380370415</v>
      </c>
    </row>
    <row r="14" spans="1:4" ht="14.1" customHeight="1">
      <c r="A14" s="18" t="s">
        <v>365</v>
      </c>
      <c r="B14" s="69">
        <v>14.94495465175974</v>
      </c>
      <c r="C14" s="69">
        <v>12.169349032722543</v>
      </c>
    </row>
    <row r="15" spans="1:4" ht="14.1" customHeight="1">
      <c r="A15" s="287" t="s">
        <v>114</v>
      </c>
      <c r="B15" s="294">
        <v>16.584836720712492</v>
      </c>
      <c r="C15" s="294">
        <v>12.861949880456919</v>
      </c>
    </row>
    <row r="16" spans="1:4" ht="14.1" customHeight="1">
      <c r="A16" s="18" t="s">
        <v>115</v>
      </c>
      <c r="B16" s="69">
        <v>14.973770491803279</v>
      </c>
      <c r="C16" s="69">
        <v>11.635668789808918</v>
      </c>
    </row>
    <row r="17" spans="1:3" ht="14.1" customHeight="1">
      <c r="A17" s="287" t="s">
        <v>116</v>
      </c>
      <c r="B17" s="294">
        <v>15.788229732923657</v>
      </c>
      <c r="C17" s="294">
        <v>13.189850923092111</v>
      </c>
    </row>
    <row r="18" spans="1:3" ht="14.1" customHeight="1">
      <c r="A18" s="18" t="s">
        <v>117</v>
      </c>
      <c r="B18" s="69">
        <v>14.800658536585367</v>
      </c>
      <c r="C18" s="69">
        <v>11.865995307000393</v>
      </c>
    </row>
    <row r="19" spans="1:3" ht="14.1" customHeight="1">
      <c r="A19" s="287" t="s">
        <v>118</v>
      </c>
      <c r="B19" s="294">
        <v>18.135782816331798</v>
      </c>
      <c r="C19" s="294">
        <v>14.732114773005275</v>
      </c>
    </row>
    <row r="20" spans="1:3" ht="14.1" customHeight="1">
      <c r="A20" s="18" t="s">
        <v>119</v>
      </c>
      <c r="B20" s="69">
        <v>17.290640394088669</v>
      </c>
      <c r="C20" s="69">
        <v>14.451807701356755</v>
      </c>
    </row>
    <row r="21" spans="1:3" ht="14.1" customHeight="1">
      <c r="A21" s="287" t="s">
        <v>120</v>
      </c>
      <c r="B21" s="294">
        <v>15.632116788321168</v>
      </c>
      <c r="C21" s="294">
        <v>11.685873930504627</v>
      </c>
    </row>
    <row r="22" spans="1:3" ht="14.1" customHeight="1">
      <c r="A22" s="18" t="s">
        <v>121</v>
      </c>
      <c r="B22" s="69">
        <v>17.709826589595377</v>
      </c>
      <c r="C22" s="69">
        <v>12.92197385069591</v>
      </c>
    </row>
    <row r="23" spans="1:3" ht="14.1" customHeight="1">
      <c r="A23" s="287" t="s">
        <v>122</v>
      </c>
      <c r="B23" s="294">
        <v>14.505494505494507</v>
      </c>
      <c r="C23" s="294">
        <v>11.596899224806201</v>
      </c>
    </row>
    <row r="24" spans="1:3" ht="14.1" customHeight="1">
      <c r="A24" s="18" t="s">
        <v>123</v>
      </c>
      <c r="B24" s="69">
        <v>15.223246191461349</v>
      </c>
      <c r="C24" s="69">
        <v>12.068286864469956</v>
      </c>
    </row>
    <row r="25" spans="1:3" ht="14.1" customHeight="1">
      <c r="A25" s="287" t="s">
        <v>124</v>
      </c>
      <c r="B25" s="294">
        <v>18.810110473302284</v>
      </c>
      <c r="C25" s="294">
        <v>14.301198122529645</v>
      </c>
    </row>
    <row r="26" spans="1:3" ht="14.1" customHeight="1">
      <c r="A26" s="18" t="s">
        <v>125</v>
      </c>
      <c r="B26" s="69">
        <v>16.120246926388962</v>
      </c>
      <c r="C26" s="69">
        <v>13.084210526315788</v>
      </c>
    </row>
    <row r="27" spans="1:3" ht="14.1" customHeight="1">
      <c r="A27" s="287" t="s">
        <v>126</v>
      </c>
      <c r="B27" s="294">
        <v>15.354648038688877</v>
      </c>
      <c r="C27" s="294">
        <v>11.540791599353797</v>
      </c>
    </row>
    <row r="28" spans="1:3" ht="14.1" customHeight="1">
      <c r="A28" s="18" t="s">
        <v>127</v>
      </c>
      <c r="B28" s="69">
        <v>13.862140630412194</v>
      </c>
      <c r="C28" s="69">
        <v>11.425797978644436</v>
      </c>
    </row>
    <row r="29" spans="1:3" ht="14.1" customHeight="1">
      <c r="A29" s="287" t="s">
        <v>128</v>
      </c>
      <c r="B29" s="294">
        <v>17.99467561780196</v>
      </c>
      <c r="C29" s="294">
        <v>14.182336507212499</v>
      </c>
    </row>
    <row r="30" spans="1:3" ht="14.1" customHeight="1">
      <c r="A30" s="18" t="s">
        <v>129</v>
      </c>
      <c r="B30" s="69">
        <v>15.278184480234261</v>
      </c>
      <c r="C30" s="69">
        <v>12.494013409961687</v>
      </c>
    </row>
    <row r="31" spans="1:3" ht="14.1" customHeight="1">
      <c r="A31" s="287" t="s">
        <v>130</v>
      </c>
      <c r="B31" s="294">
        <v>16.578195181706821</v>
      </c>
      <c r="C31" s="294">
        <v>12.912972607641235</v>
      </c>
    </row>
    <row r="32" spans="1:3" ht="14.1" customHeight="1">
      <c r="A32" s="18" t="s">
        <v>131</v>
      </c>
      <c r="B32" s="69">
        <v>14.621883946651769</v>
      </c>
      <c r="C32" s="69">
        <v>12.364194615021258</v>
      </c>
    </row>
    <row r="33" spans="1:4" ht="14.1" customHeight="1">
      <c r="A33" s="287" t="s">
        <v>132</v>
      </c>
      <c r="B33" s="294">
        <v>15.364882456543379</v>
      </c>
      <c r="C33" s="294">
        <v>12.511691712913887</v>
      </c>
    </row>
    <row r="34" spans="1:4" ht="14.1" customHeight="1">
      <c r="A34" s="18" t="s">
        <v>133</v>
      </c>
      <c r="B34" s="69">
        <v>15.618703907108113</v>
      </c>
      <c r="C34" s="69">
        <v>12.418189757345147</v>
      </c>
    </row>
    <row r="35" spans="1:4" ht="14.1" customHeight="1">
      <c r="A35" s="287" t="s">
        <v>134</v>
      </c>
      <c r="B35" s="294">
        <v>17.527702314256405</v>
      </c>
      <c r="C35" s="294">
        <v>13.715147612705186</v>
      </c>
    </row>
    <row r="36" spans="1:4" ht="14.1" customHeight="1">
      <c r="A36" s="18" t="s">
        <v>135</v>
      </c>
      <c r="B36" s="69">
        <v>15.062111801242235</v>
      </c>
      <c r="C36" s="69">
        <v>12.240656200126192</v>
      </c>
    </row>
    <row r="37" spans="1:4" ht="14.1" customHeight="1">
      <c r="A37" s="287" t="s">
        <v>136</v>
      </c>
      <c r="B37" s="294">
        <v>17.975535446318951</v>
      </c>
      <c r="C37" s="294">
        <v>13.933241690458567</v>
      </c>
    </row>
    <row r="38" spans="1:4" ht="14.1" customHeight="1">
      <c r="A38" s="18" t="s">
        <v>137</v>
      </c>
      <c r="B38" s="69">
        <v>17.254102387737056</v>
      </c>
      <c r="C38" s="69">
        <v>13.958267090620033</v>
      </c>
    </row>
    <row r="39" spans="1:4" ht="14.1" customHeight="1">
      <c r="A39" s="287" t="s">
        <v>138</v>
      </c>
      <c r="B39" s="294">
        <v>14.887656674175474</v>
      </c>
      <c r="C39" s="294">
        <v>12.419891100081916</v>
      </c>
    </row>
    <row r="40" spans="1:4" ht="14.1" customHeight="1">
      <c r="A40" s="18" t="s">
        <v>139</v>
      </c>
      <c r="B40" s="69">
        <v>17.235605298823941</v>
      </c>
      <c r="C40" s="69">
        <v>13.429510653880875</v>
      </c>
    </row>
    <row r="41" spans="1:4" ht="14.1" customHeight="1">
      <c r="A41" s="287" t="s">
        <v>140</v>
      </c>
      <c r="B41" s="294">
        <v>16.352543645579125</v>
      </c>
      <c r="C41" s="294">
        <v>12.58196839703036</v>
      </c>
    </row>
    <row r="42" spans="1:4" ht="14.1" customHeight="1">
      <c r="A42" s="18" t="s">
        <v>141</v>
      </c>
      <c r="B42" s="69">
        <v>14.573467066487439</v>
      </c>
      <c r="C42" s="69">
        <v>12.18993253762325</v>
      </c>
    </row>
    <row r="43" spans="1:4" ht="14.1" customHeight="1">
      <c r="A43" s="287" t="s">
        <v>142</v>
      </c>
      <c r="B43" s="294">
        <v>14.043300772707392</v>
      </c>
      <c r="C43" s="294">
        <v>11.426215895610914</v>
      </c>
    </row>
    <row r="44" spans="1:4" ht="14.1" customHeight="1">
      <c r="A44" s="18" t="s">
        <v>143</v>
      </c>
      <c r="B44" s="69">
        <v>12.929029857687656</v>
      </c>
      <c r="C44" s="69">
        <v>11.036125446605794</v>
      </c>
    </row>
    <row r="45" spans="1:4" ht="14.1" customHeight="1">
      <c r="A45" s="287" t="s">
        <v>144</v>
      </c>
      <c r="B45" s="294">
        <v>16.281661600810537</v>
      </c>
      <c r="C45" s="294">
        <v>13.653355989804588</v>
      </c>
    </row>
    <row r="46" spans="1:4" ht="14.1" customHeight="1">
      <c r="A46" s="18" t="s">
        <v>145</v>
      </c>
      <c r="B46" s="69">
        <v>17.747181008902079</v>
      </c>
      <c r="C46" s="69">
        <v>13.404035016158891</v>
      </c>
    </row>
    <row r="47" spans="1:4" ht="5.0999999999999996" customHeight="1">
      <c r="A47"/>
      <c r="B47"/>
      <c r="C47"/>
      <c r="D47"/>
    </row>
    <row r="48" spans="1:4" ht="14.1" customHeight="1">
      <c r="A48" s="289" t="s">
        <v>146</v>
      </c>
      <c r="B48" s="297">
        <v>16.836123606258457</v>
      </c>
      <c r="C48" s="297">
        <v>13.212881005292349</v>
      </c>
      <c r="D48" s="5"/>
    </row>
    <row r="49" spans="1:4" ht="5.0999999999999996" customHeight="1">
      <c r="A49" s="20" t="s">
        <v>8</v>
      </c>
      <c r="B49" s="70"/>
      <c r="C49" s="70"/>
    </row>
    <row r="50" spans="1:4" ht="14.1" customHeight="1">
      <c r="A50" s="18" t="s">
        <v>147</v>
      </c>
      <c r="B50" s="69">
        <v>9.0140845070422539</v>
      </c>
      <c r="C50" s="69">
        <v>7.4551971326164876</v>
      </c>
    </row>
    <row r="51" spans="1:4" ht="14.1" customHeight="1">
      <c r="A51" s="287" t="s">
        <v>643</v>
      </c>
      <c r="B51" s="294">
        <v>22.17910447761194</v>
      </c>
      <c r="C51" s="294">
        <v>18.345679012345681</v>
      </c>
    </row>
    <row r="52" spans="1:4" ht="49.5" customHeight="1">
      <c r="A52" s="22"/>
      <c r="B52" s="22"/>
      <c r="C52" s="22"/>
      <c r="D52" s="22"/>
    </row>
    <row r="53" spans="1:4" ht="15" customHeight="1">
      <c r="A53" s="607" t="s">
        <v>487</v>
      </c>
      <c r="B53" s="607"/>
      <c r="C53" s="607"/>
      <c r="D53" s="607"/>
    </row>
    <row r="54" spans="1:4" ht="12" customHeight="1">
      <c r="A54" s="608"/>
      <c r="B54" s="608"/>
      <c r="C54" s="608"/>
      <c r="D54" s="608"/>
    </row>
    <row r="55" spans="1:4" ht="12" customHeight="1">
      <c r="A55" s="608"/>
      <c r="B55" s="608"/>
      <c r="C55" s="608"/>
      <c r="D55" s="608"/>
    </row>
    <row r="56" spans="1:4" ht="12" customHeight="1">
      <c r="A56" s="608" t="s">
        <v>488</v>
      </c>
      <c r="B56" s="608"/>
      <c r="C56" s="608"/>
      <c r="D56" s="608"/>
    </row>
    <row r="57" spans="1:4" ht="12" customHeight="1">
      <c r="A57" s="608"/>
      <c r="B57" s="608"/>
      <c r="C57" s="608"/>
      <c r="D57" s="608"/>
    </row>
    <row r="58" spans="1:4">
      <c r="A58" s="608"/>
      <c r="B58" s="608"/>
      <c r="C58" s="608"/>
      <c r="D58" s="608"/>
    </row>
  </sheetData>
  <mergeCells count="3">
    <mergeCell ref="B8:B9"/>
    <mergeCell ref="A53:D55"/>
    <mergeCell ref="A56:D58"/>
  </mergeCells>
  <phoneticPr fontId="6" type="noConversion"/>
  <pageMargins left="0.5" right="0.5" top="0.6" bottom="0.2" header="0.3" footer="0.5"/>
  <pageSetup scale="88" orientation="portrait" r:id="rId1"/>
  <headerFooter alignWithMargins="0">
    <oddHeader>&amp;C&amp;"Arial,Regular"&amp;11&amp;A</oddHeader>
  </headerFooter>
</worksheet>
</file>

<file path=xl/worksheets/sheet8.xml><?xml version="1.0" encoding="utf-8"?>
<worksheet xmlns="http://schemas.openxmlformats.org/spreadsheetml/2006/main" xmlns:r="http://schemas.openxmlformats.org/officeDocument/2006/relationships">
  <sheetPr codeName="Sheet7"/>
  <dimension ref="A2:M28"/>
  <sheetViews>
    <sheetView showGridLines="0" showZeros="0" workbookViewId="0"/>
  </sheetViews>
  <sheetFormatPr defaultColWidth="15.83203125" defaultRowHeight="12"/>
  <cols>
    <col min="1" max="1" width="6.5" style="1" customWidth="1"/>
    <col min="2" max="2" width="39.5" style="1" customWidth="1"/>
    <col min="3" max="3" width="16" style="1" customWidth="1"/>
    <col min="4" max="4" width="15.83203125" style="1" customWidth="1"/>
    <col min="5" max="5" width="15.5" style="1" customWidth="1"/>
    <col min="6" max="6" width="17.1640625" style="1" customWidth="1"/>
    <col min="7" max="7" width="14.83203125" style="1" customWidth="1"/>
    <col min="8" max="8" width="15" style="1" customWidth="1"/>
    <col min="9" max="9" width="13.5" style="1" customWidth="1"/>
    <col min="10" max="10" width="3.33203125" style="1" customWidth="1"/>
    <col min="11" max="11" width="17.6640625" style="1" customWidth="1"/>
    <col min="12" max="12" width="6.83203125" style="1" customWidth="1"/>
    <col min="13" max="16384" width="15.83203125" style="1"/>
  </cols>
  <sheetData>
    <row r="2" spans="1:11">
      <c r="A2" s="38"/>
      <c r="B2" s="38"/>
      <c r="C2" s="39" t="str">
        <f>OPYEAR</f>
        <v>OPERATING FUND 2014/2015 ACTUAL</v>
      </c>
      <c r="D2" s="40"/>
      <c r="E2" s="40"/>
      <c r="F2" s="40"/>
      <c r="G2" s="40"/>
      <c r="H2" s="40"/>
      <c r="I2" s="40"/>
      <c r="J2" s="40"/>
      <c r="K2" s="41"/>
    </row>
    <row r="3" spans="1:11" ht="14.25">
      <c r="A3" s="543"/>
    </row>
    <row r="4" spans="1:11" ht="19.5" customHeight="1">
      <c r="C4" s="7"/>
      <c r="D4" s="7"/>
      <c r="E4" s="7"/>
      <c r="F4" s="7"/>
      <c r="G4" s="7"/>
      <c r="H4" s="7"/>
      <c r="I4" s="7"/>
      <c r="J4" s="7"/>
      <c r="K4" s="7"/>
    </row>
    <row r="5" spans="1:11" ht="15.75">
      <c r="C5" s="282" t="s">
        <v>260</v>
      </c>
      <c r="D5" s="42"/>
      <c r="E5" s="42"/>
      <c r="F5" s="42"/>
      <c r="G5" s="42"/>
      <c r="H5" s="42"/>
      <c r="I5" s="42"/>
      <c r="J5" s="42"/>
      <c r="K5" s="7"/>
    </row>
    <row r="6" spans="1:11" ht="16.5" customHeight="1">
      <c r="C6" s="7"/>
      <c r="D6" s="7"/>
      <c r="E6" s="7"/>
      <c r="F6" s="7"/>
      <c r="G6" s="7"/>
      <c r="H6" s="7"/>
      <c r="I6" s="7"/>
      <c r="J6" s="7"/>
      <c r="K6" s="7"/>
    </row>
    <row r="7" spans="1:11">
      <c r="C7" s="7"/>
      <c r="D7" s="7"/>
      <c r="E7" s="7"/>
      <c r="F7" s="7"/>
      <c r="G7" s="7"/>
      <c r="H7" s="7"/>
      <c r="I7" s="7"/>
      <c r="J7" s="7"/>
      <c r="K7" s="7"/>
    </row>
    <row r="8" spans="1:11">
      <c r="C8" s="284" t="s">
        <v>72</v>
      </c>
      <c r="D8" s="304"/>
      <c r="E8" s="304"/>
      <c r="F8" s="304"/>
      <c r="G8" s="304"/>
      <c r="H8" s="304"/>
      <c r="I8" s="304"/>
      <c r="J8" s="305"/>
      <c r="K8" s="7"/>
    </row>
    <row r="9" spans="1:11">
      <c r="C9" s="7"/>
      <c r="D9" s="7"/>
      <c r="E9" s="7"/>
      <c r="F9" s="7"/>
      <c r="G9" s="7"/>
      <c r="H9" s="7"/>
      <c r="I9" s="7"/>
      <c r="J9" s="7"/>
      <c r="K9" s="7"/>
    </row>
    <row r="10" spans="1:11">
      <c r="A10" s="43"/>
      <c r="B10" s="44"/>
      <c r="C10" s="306"/>
      <c r="D10" s="622" t="s">
        <v>489</v>
      </c>
      <c r="E10" s="307"/>
      <c r="F10" s="624" t="s">
        <v>490</v>
      </c>
      <c r="G10" s="625" t="s">
        <v>38</v>
      </c>
      <c r="H10" s="627" t="s">
        <v>491</v>
      </c>
      <c r="I10" s="308"/>
      <c r="J10" s="309"/>
      <c r="K10" s="306"/>
    </row>
    <row r="11" spans="1:11" ht="13.5" customHeight="1">
      <c r="A11" s="619" t="s">
        <v>79</v>
      </c>
      <c r="B11" s="620"/>
      <c r="C11" s="310" t="s">
        <v>73</v>
      </c>
      <c r="D11" s="623"/>
      <c r="E11" s="302" t="s">
        <v>68</v>
      </c>
      <c r="F11" s="623"/>
      <c r="G11" s="626"/>
      <c r="H11" s="628"/>
      <c r="I11" s="301" t="s">
        <v>48</v>
      </c>
      <c r="J11" s="311"/>
      <c r="K11" s="310" t="s">
        <v>74</v>
      </c>
    </row>
    <row r="13" spans="1:11">
      <c r="A13" s="46">
        <v>100</v>
      </c>
      <c r="B13" s="5" t="s">
        <v>27</v>
      </c>
      <c r="C13" s="47">
        <f>'- 12 -'!B21</f>
        <v>1020820183</v>
      </c>
      <c r="D13" s="48">
        <f>'- 12 -'!B22</f>
        <v>64362387</v>
      </c>
      <c r="E13" s="48">
        <f>'- 12 -'!B39</f>
        <v>33076046</v>
      </c>
      <c r="F13" s="48">
        <f>'- 12 -'!B45</f>
        <v>75749693</v>
      </c>
      <c r="G13" s="49"/>
      <c r="H13" s="183"/>
      <c r="I13" s="50"/>
      <c r="J13" s="49"/>
      <c r="K13" s="47">
        <f>SUM(C13:F13)</f>
        <v>1194008309</v>
      </c>
    </row>
    <row r="14" spans="1:11" ht="24" customHeight="1">
      <c r="A14" s="46">
        <v>200</v>
      </c>
      <c r="B14" s="5" t="s">
        <v>263</v>
      </c>
      <c r="C14" s="47">
        <f>'- 12 -'!D21</f>
        <v>341386028</v>
      </c>
      <c r="D14" s="48">
        <f>'- 12 -'!D22</f>
        <v>33822565</v>
      </c>
      <c r="E14" s="48">
        <f>'- 12 -'!D39</f>
        <v>10028257</v>
      </c>
      <c r="F14" s="48">
        <f>'- 12 -'!D45</f>
        <v>4503124</v>
      </c>
      <c r="G14" s="49"/>
      <c r="H14" s="183"/>
      <c r="I14" s="50"/>
      <c r="J14" s="49"/>
      <c r="K14" s="47">
        <f>SUM(C14:F14)</f>
        <v>389739974</v>
      </c>
    </row>
    <row r="15" spans="1:11" ht="24" customHeight="1">
      <c r="A15" s="46">
        <v>300</v>
      </c>
      <c r="B15" s="5" t="s">
        <v>107</v>
      </c>
      <c r="C15" s="47">
        <f>'- 12 -'!F21</f>
        <v>8219125</v>
      </c>
      <c r="D15" s="48">
        <f>'- 12 -'!F22</f>
        <v>549656</v>
      </c>
      <c r="E15" s="48">
        <f>'- 12 -'!F39</f>
        <v>812358</v>
      </c>
      <c r="F15" s="48">
        <f>'- 12 -'!F45</f>
        <v>485859</v>
      </c>
      <c r="G15" s="49"/>
      <c r="H15" s="183"/>
      <c r="I15" s="50">
        <f>'- 12 -'!F47</f>
        <v>59500</v>
      </c>
      <c r="J15" s="109" t="s">
        <v>97</v>
      </c>
      <c r="K15" s="47">
        <f>SUM(C15:F15,I15)</f>
        <v>10126498</v>
      </c>
    </row>
    <row r="16" spans="1:11" ht="24" customHeight="1">
      <c r="A16" s="46">
        <v>400</v>
      </c>
      <c r="B16" s="5" t="s">
        <v>75</v>
      </c>
      <c r="C16" s="47">
        <f>'- 12 -'!H21</f>
        <v>16023105</v>
      </c>
      <c r="D16" s="48">
        <f>'- 12 -'!H22</f>
        <v>1486767</v>
      </c>
      <c r="E16" s="48">
        <f>'- 12 -'!H39</f>
        <v>2760613</v>
      </c>
      <c r="F16" s="48">
        <f>'- 12 -'!H45</f>
        <v>1885048</v>
      </c>
      <c r="G16" s="49"/>
      <c r="H16" s="183"/>
      <c r="I16" s="50">
        <f>'- 12 -'!H47</f>
        <v>47283</v>
      </c>
      <c r="J16" s="109" t="s">
        <v>97</v>
      </c>
      <c r="K16" s="47">
        <f>SUM(C16:F16,I16)</f>
        <v>22202816</v>
      </c>
    </row>
    <row r="17" spans="1:13" ht="24" customHeight="1">
      <c r="A17" s="46">
        <v>500</v>
      </c>
      <c r="B17" s="5" t="s">
        <v>94</v>
      </c>
      <c r="C17" s="47">
        <f>'- 12 -'!J21</f>
        <v>48155820</v>
      </c>
      <c r="D17" s="48">
        <f>'- 12 -'!J22</f>
        <v>6293307</v>
      </c>
      <c r="E17" s="48">
        <f>'- 12 -'!J39</f>
        <v>16129625</v>
      </c>
      <c r="F17" s="48">
        <f>'- 12 -'!J45</f>
        <v>3340505</v>
      </c>
      <c r="G17" s="49"/>
      <c r="H17" s="183"/>
      <c r="I17" s="50">
        <f>'- 12 -'!J47</f>
        <v>-106783</v>
      </c>
      <c r="J17" s="109" t="s">
        <v>97</v>
      </c>
      <c r="K17" s="47">
        <f>SUM(C17:F17,I17)</f>
        <v>73812474</v>
      </c>
    </row>
    <row r="18" spans="1:13" ht="12" customHeight="1">
      <c r="A18" s="46"/>
      <c r="B18" s="5"/>
      <c r="C18" s="51"/>
      <c r="D18" s="52"/>
      <c r="E18" s="52"/>
      <c r="F18" s="52"/>
      <c r="G18" s="49"/>
      <c r="H18" s="183"/>
      <c r="I18" s="53"/>
      <c r="J18" s="430"/>
      <c r="K18" s="47"/>
    </row>
    <row r="19" spans="1:13" ht="24" customHeight="1">
      <c r="A19" s="54">
        <v>600</v>
      </c>
      <c r="B19" s="55" t="s">
        <v>286</v>
      </c>
      <c r="C19" s="47">
        <f>'- 13 -'!B21</f>
        <v>48091781</v>
      </c>
      <c r="D19" s="48">
        <f>'- 13 -'!B22</f>
        <v>4642447</v>
      </c>
      <c r="E19" s="48">
        <f>'- 13 -'!B39</f>
        <v>12700746</v>
      </c>
      <c r="F19" s="48">
        <f>'- 13 -'!B45</f>
        <v>7286458</v>
      </c>
      <c r="G19" s="49"/>
      <c r="H19" s="183"/>
      <c r="I19" s="50"/>
      <c r="J19" s="430"/>
      <c r="K19" s="47">
        <f>SUM(C19:F19)</f>
        <v>72721432</v>
      </c>
    </row>
    <row r="20" spans="1:13" ht="28.5" customHeight="1">
      <c r="A20" s="46">
        <v>700</v>
      </c>
      <c r="B20" s="5" t="s">
        <v>76</v>
      </c>
      <c r="C20" s="47">
        <f>'- 13 -'!D21</f>
        <v>44226363</v>
      </c>
      <c r="D20" s="48">
        <f>'- 13 -'!D22</f>
        <v>6256015</v>
      </c>
      <c r="E20" s="48">
        <f>'- 13 -'!D39</f>
        <v>26051731</v>
      </c>
      <c r="F20" s="48">
        <f>'- 13 -'!D45</f>
        <v>18017170</v>
      </c>
      <c r="G20" s="49"/>
      <c r="H20" s="183"/>
      <c r="I20" s="50"/>
      <c r="J20" s="430"/>
      <c r="K20" s="47">
        <f>SUM(C20:F20)</f>
        <v>94551279</v>
      </c>
      <c r="L20" s="621" t="s">
        <v>98</v>
      </c>
    </row>
    <row r="21" spans="1:13" ht="24" customHeight="1">
      <c r="A21" s="46">
        <v>800</v>
      </c>
      <c r="B21" s="5" t="s">
        <v>77</v>
      </c>
      <c r="C21" s="47">
        <f>'- 13 -'!F21</f>
        <v>108337954</v>
      </c>
      <c r="D21" s="48">
        <f>'- 13 -'!F22</f>
        <v>17610819</v>
      </c>
      <c r="E21" s="48">
        <f>'- 13 -'!F39</f>
        <v>94179958</v>
      </c>
      <c r="F21" s="48">
        <f>'- 13 -'!F45</f>
        <v>23302062</v>
      </c>
      <c r="G21" s="49"/>
      <c r="H21" s="183"/>
      <c r="I21" s="50">
        <f>'- 13 -'!F47</f>
        <v>0</v>
      </c>
      <c r="J21" s="431"/>
      <c r="K21" s="47">
        <f>SUM(C21:F21,I21)</f>
        <v>243430793</v>
      </c>
      <c r="L21" s="621"/>
    </row>
    <row r="22" spans="1:13" ht="24" customHeight="1">
      <c r="A22" s="46">
        <v>900</v>
      </c>
      <c r="B22" s="5" t="s">
        <v>31</v>
      </c>
      <c r="C22" s="51"/>
      <c r="D22" s="52"/>
      <c r="E22" s="52"/>
      <c r="F22" s="52"/>
      <c r="G22" s="48">
        <v>1884713</v>
      </c>
      <c r="H22" s="48">
        <v>183567</v>
      </c>
      <c r="I22" s="53">
        <v>34894981</v>
      </c>
      <c r="J22" s="431" t="s">
        <v>225</v>
      </c>
      <c r="K22" s="47">
        <f>SUM(G22:I22)</f>
        <v>36963261</v>
      </c>
    </row>
    <row r="23" spans="1:13">
      <c r="A23" s="46"/>
      <c r="B23" s="5"/>
      <c r="C23" s="51"/>
      <c r="D23" s="52"/>
      <c r="E23" s="52"/>
      <c r="F23" s="52"/>
      <c r="G23" s="52"/>
      <c r="H23" s="31"/>
      <c r="I23" s="53"/>
      <c r="J23" s="49"/>
      <c r="K23" s="51"/>
    </row>
    <row r="24" spans="1:13">
      <c r="B24" s="5"/>
      <c r="C24" s="56"/>
      <c r="D24" s="56"/>
      <c r="E24" s="56"/>
      <c r="F24" s="56"/>
      <c r="G24" s="56"/>
      <c r="H24" s="56"/>
      <c r="I24" s="56"/>
      <c r="K24" s="56"/>
    </row>
    <row r="25" spans="1:13">
      <c r="A25" s="57"/>
      <c r="B25" s="58" t="s">
        <v>74</v>
      </c>
      <c r="C25" s="59">
        <f>SUM(C13:C22)</f>
        <v>1635260359</v>
      </c>
      <c r="D25" s="60">
        <f>SUM(D13:D22)</f>
        <v>135023963</v>
      </c>
      <c r="E25" s="60">
        <f>SUM(E13:E22)</f>
        <v>195739334</v>
      </c>
      <c r="F25" s="60">
        <f>SUM(F13:F22)</f>
        <v>134569919</v>
      </c>
      <c r="G25" s="60">
        <f>G22</f>
        <v>1884713</v>
      </c>
      <c r="H25" s="60">
        <f>H22</f>
        <v>183567</v>
      </c>
      <c r="I25" s="433">
        <f>SUM(I13:I22)</f>
        <v>34894981</v>
      </c>
      <c r="J25" s="61"/>
      <c r="K25" s="59">
        <f>SUM(K13:K22)</f>
        <v>2137556836</v>
      </c>
      <c r="M25" s="1">
        <f>K25-'- 3 -'!D48</f>
        <v>0</v>
      </c>
    </row>
    <row r="26" spans="1:13" ht="60" customHeight="1"/>
    <row r="27" spans="1:13">
      <c r="A27" s="108" t="s">
        <v>97</v>
      </c>
      <c r="B27" s="132" t="s">
        <v>403</v>
      </c>
      <c r="C27" s="5"/>
    </row>
    <row r="28" spans="1:13" ht="13.5" customHeight="1">
      <c r="A28" s="432" t="s">
        <v>225</v>
      </c>
      <c r="B28" s="1" t="s">
        <v>280</v>
      </c>
      <c r="C28" s="5"/>
    </row>
  </sheetData>
  <mergeCells count="6">
    <mergeCell ref="A11:B11"/>
    <mergeCell ref="L20:L21"/>
    <mergeCell ref="D10:D11"/>
    <mergeCell ref="F10:F11"/>
    <mergeCell ref="G10:G11"/>
    <mergeCell ref="H10:H11"/>
  </mergeCells>
  <phoneticPr fontId="6" type="noConversion"/>
  <pageMargins left="0.39370078740157483" right="0" top="0.64" bottom="0.19685039370078741" header="0.31496062992125984" footer="0.51181102362204722"/>
  <pageSetup scale="90" orientation="landscape" r:id="rId1"/>
  <headerFooter alignWithMargins="0"/>
</worksheet>
</file>

<file path=xl/worksheets/sheet9.xml><?xml version="1.0" encoding="utf-8"?>
<worksheet xmlns="http://schemas.openxmlformats.org/spreadsheetml/2006/main" xmlns:r="http://schemas.openxmlformats.org/officeDocument/2006/relationships">
  <sheetPr codeName="Sheet8">
    <pageSetUpPr autoPageBreaks="0" fitToPage="1"/>
  </sheetPr>
  <dimension ref="A2:L54"/>
  <sheetViews>
    <sheetView showGridLines="0" showZeros="0" workbookViewId="0"/>
  </sheetViews>
  <sheetFormatPr defaultColWidth="15.83203125" defaultRowHeight="12"/>
  <cols>
    <col min="1" max="1" width="49.6640625" style="1" customWidth="1"/>
    <col min="2" max="2" width="15.83203125" style="1" customWidth="1"/>
    <col min="3" max="3" width="8.83203125" style="1" customWidth="1"/>
    <col min="4" max="4" width="15.83203125" style="1" customWidth="1"/>
    <col min="5" max="5" width="8.83203125" style="1" customWidth="1"/>
    <col min="6" max="6" width="15.83203125" style="1" customWidth="1"/>
    <col min="7" max="7" width="8.83203125" style="1" customWidth="1"/>
    <col min="8" max="8" width="15.83203125" style="1" customWidth="1"/>
    <col min="9" max="9" width="8.83203125" style="1" customWidth="1"/>
    <col min="10" max="10" width="15.83203125" style="1" customWidth="1"/>
    <col min="11" max="11" width="8.83203125" style="1" customWidth="1"/>
    <col min="12" max="12" width="5" style="1" customWidth="1"/>
    <col min="13" max="16384" width="15.83203125" style="1"/>
  </cols>
  <sheetData>
    <row r="2" spans="1:11">
      <c r="A2" s="38"/>
      <c r="B2" s="38"/>
      <c r="C2" s="38"/>
      <c r="D2" s="39" t="str">
        <f>OPYEAR</f>
        <v>OPERATING FUND 2014/2015 ACTUAL</v>
      </c>
      <c r="E2" s="39"/>
      <c r="F2" s="39"/>
      <c r="G2" s="39"/>
      <c r="H2" s="40"/>
      <c r="I2" s="40"/>
      <c r="J2" s="41"/>
      <c r="K2" s="110" t="s">
        <v>12</v>
      </c>
    </row>
    <row r="3" spans="1:11" ht="9" customHeight="1">
      <c r="A3" s="543"/>
      <c r="J3" s="79"/>
      <c r="K3" s="79"/>
    </row>
    <row r="4" spans="1:11" ht="15.75">
      <c r="B4" s="283" t="s">
        <v>261</v>
      </c>
      <c r="C4" s="79"/>
      <c r="D4" s="79"/>
      <c r="E4" s="79"/>
      <c r="F4" s="79"/>
      <c r="G4" s="79"/>
      <c r="H4" s="79"/>
      <c r="I4" s="79"/>
      <c r="J4" s="79"/>
      <c r="K4" s="79"/>
    </row>
    <row r="5" spans="1:11" ht="15.75">
      <c r="B5" s="283" t="s">
        <v>262</v>
      </c>
      <c r="C5" s="79"/>
      <c r="D5" s="79"/>
      <c r="E5" s="79"/>
      <c r="F5" s="79"/>
      <c r="G5" s="79"/>
      <c r="H5" s="79"/>
      <c r="I5" s="79"/>
      <c r="J5" s="79"/>
      <c r="K5" s="79"/>
    </row>
    <row r="6" spans="1:11" ht="9" customHeight="1"/>
    <row r="7" spans="1:11">
      <c r="B7" s="111" t="s">
        <v>79</v>
      </c>
      <c r="C7" s="40"/>
      <c r="D7" s="40"/>
      <c r="E7" s="40"/>
      <c r="F7" s="40"/>
      <c r="G7" s="40"/>
      <c r="H7" s="40"/>
      <c r="I7" s="40"/>
      <c r="J7" s="40"/>
      <c r="K7" s="112"/>
    </row>
    <row r="8" spans="1:11">
      <c r="A8" s="7"/>
      <c r="B8" s="631" t="s">
        <v>492</v>
      </c>
      <c r="C8" s="632"/>
      <c r="D8" s="635" t="s">
        <v>263</v>
      </c>
      <c r="E8" s="632"/>
      <c r="F8" s="635" t="s">
        <v>107</v>
      </c>
      <c r="G8" s="632"/>
      <c r="H8" s="631" t="s">
        <v>493</v>
      </c>
      <c r="I8" s="632"/>
      <c r="J8" s="635" t="s">
        <v>94</v>
      </c>
      <c r="K8" s="632"/>
    </row>
    <row r="9" spans="1:11">
      <c r="A9" s="7"/>
      <c r="B9" s="633"/>
      <c r="C9" s="634"/>
      <c r="D9" s="633"/>
      <c r="E9" s="634"/>
      <c r="F9" s="633"/>
      <c r="G9" s="634"/>
      <c r="H9" s="633"/>
      <c r="I9" s="634"/>
      <c r="J9" s="633"/>
      <c r="K9" s="634"/>
    </row>
    <row r="10" spans="1:11">
      <c r="A10" s="113" t="s">
        <v>72</v>
      </c>
      <c r="B10" s="114" t="s">
        <v>44</v>
      </c>
      <c r="C10" s="114" t="s">
        <v>45</v>
      </c>
      <c r="D10" s="114" t="s">
        <v>44</v>
      </c>
      <c r="E10" s="114" t="s">
        <v>45</v>
      </c>
      <c r="F10" s="114" t="s">
        <v>44</v>
      </c>
      <c r="G10" s="114" t="s">
        <v>45</v>
      </c>
      <c r="H10" s="114" t="s">
        <v>44</v>
      </c>
      <c r="I10" s="114" t="s">
        <v>45</v>
      </c>
      <c r="J10" s="114" t="s">
        <v>44</v>
      </c>
      <c r="K10" s="45" t="s">
        <v>45</v>
      </c>
    </row>
    <row r="11" spans="1:11" ht="5.0999999999999996" customHeight="1">
      <c r="A11" s="115"/>
      <c r="B11" s="7"/>
      <c r="C11" s="7"/>
      <c r="D11" s="7"/>
      <c r="E11" s="7"/>
      <c r="F11" s="7"/>
      <c r="G11" s="7"/>
      <c r="H11" s="7"/>
      <c r="I11" s="7"/>
      <c r="J11" s="7"/>
      <c r="K11" s="7"/>
    </row>
    <row r="12" spans="1:11">
      <c r="A12" s="316" t="s">
        <v>73</v>
      </c>
      <c r="B12" s="116"/>
      <c r="C12" s="117"/>
      <c r="D12" s="116"/>
      <c r="E12" s="117"/>
      <c r="F12" s="116"/>
      <c r="G12" s="117"/>
      <c r="H12" s="116"/>
      <c r="I12" s="117"/>
      <c r="J12" s="116"/>
      <c r="K12" s="117"/>
    </row>
    <row r="13" spans="1:11">
      <c r="A13" s="118" t="s">
        <v>191</v>
      </c>
      <c r="B13" s="119"/>
      <c r="C13" s="342"/>
      <c r="D13" s="119"/>
      <c r="E13" s="342"/>
      <c r="F13" s="119"/>
      <c r="G13" s="342"/>
      <c r="H13" s="119"/>
      <c r="I13" s="342"/>
      <c r="J13" s="119">
        <v>3940306</v>
      </c>
      <c r="K13" s="342"/>
    </row>
    <row r="14" spans="1:11">
      <c r="A14" s="118" t="s">
        <v>227</v>
      </c>
      <c r="B14" s="119">
        <v>86422308</v>
      </c>
      <c r="C14" s="342">
        <f>B14/'- 13 -'!$J$53*100</f>
        <v>4.043041408046097</v>
      </c>
      <c r="D14" s="119">
        <v>7038608</v>
      </c>
      <c r="E14" s="342">
        <f>D14/'- 13 -'!$J$53*100</f>
        <v>0.32928284672754315</v>
      </c>
      <c r="F14" s="119">
        <v>948523</v>
      </c>
      <c r="G14" s="342">
        <f>F14/'- 13 -'!$J$53*100</f>
        <v>4.4374165122784137E-2</v>
      </c>
      <c r="H14" s="119">
        <v>857071</v>
      </c>
      <c r="I14" s="342">
        <f>H14/'- 13 -'!$J$53*100</f>
        <v>4.0095822743306933E-2</v>
      </c>
      <c r="J14" s="119">
        <v>21770083</v>
      </c>
      <c r="K14" s="342">
        <f>J14/'- 13 -'!$J$53*100</f>
        <v>1.0184563345103026</v>
      </c>
    </row>
    <row r="15" spans="1:11">
      <c r="A15" s="118" t="s">
        <v>192</v>
      </c>
      <c r="B15" s="119">
        <v>857339787</v>
      </c>
      <c r="C15" s="342">
        <f>B15/'- 13 -'!$J$53*100</f>
        <v>40.108397239361167</v>
      </c>
      <c r="D15" s="119">
        <v>144984214</v>
      </c>
      <c r="E15" s="342">
        <f>D15/'- 13 -'!$J$53*100</f>
        <v>6.7827068528997936</v>
      </c>
      <c r="F15" s="119">
        <v>6219912</v>
      </c>
      <c r="G15" s="342">
        <f>F15/'- 13 -'!$J$53*100</f>
        <v>0.290982297885435</v>
      </c>
      <c r="H15" s="119">
        <v>7818568</v>
      </c>
      <c r="I15" s="342">
        <f>H15/'- 13 -'!$J$53*100</f>
        <v>0.36577123322862604</v>
      </c>
      <c r="J15" s="119"/>
      <c r="K15" s="342">
        <f>J15/'- 13 -'!$J$53*100</f>
        <v>0</v>
      </c>
    </row>
    <row r="16" spans="1:11">
      <c r="A16" s="118" t="s">
        <v>193</v>
      </c>
      <c r="B16" s="119">
        <v>22109477</v>
      </c>
      <c r="C16" s="342">
        <f>B16/'- 13 -'!$J$53*100</f>
        <v>1.0343339941956051</v>
      </c>
      <c r="D16" s="119">
        <v>152052521</v>
      </c>
      <c r="E16" s="342">
        <f>D16/'- 13 -'!$J$53*100</f>
        <v>7.1133790895841233</v>
      </c>
      <c r="F16" s="119">
        <v>325275</v>
      </c>
      <c r="G16" s="342">
        <f>F16/'- 13 -'!$J$53*100</f>
        <v>1.5217139236806707E-2</v>
      </c>
      <c r="H16" s="119">
        <v>4180999</v>
      </c>
      <c r="I16" s="342">
        <f>H16/'- 13 -'!$J$53*100</f>
        <v>0.19559709148243673</v>
      </c>
      <c r="J16" s="119"/>
      <c r="K16" s="342">
        <f>J16/'- 13 -'!$J$53*100</f>
        <v>0</v>
      </c>
    </row>
    <row r="17" spans="1:12">
      <c r="A17" s="118" t="s">
        <v>194</v>
      </c>
      <c r="B17" s="119">
        <v>6118289</v>
      </c>
      <c r="C17" s="342">
        <f>B17/'- 13 -'!$J$53*100</f>
        <v>0.28622813190076973</v>
      </c>
      <c r="D17" s="119">
        <v>1283744</v>
      </c>
      <c r="E17" s="342">
        <f>D17/'- 13 -'!$J$53*100</f>
        <v>6.0056601928876151E-2</v>
      </c>
      <c r="F17" s="119">
        <v>248763</v>
      </c>
      <c r="G17" s="342">
        <f>F17/'- 13 -'!$J$53*100</f>
        <v>1.1637725641275066E-2</v>
      </c>
      <c r="H17" s="119">
        <v>1741651</v>
      </c>
      <c r="I17" s="342">
        <f>H17/'- 13 -'!$J$53*100</f>
        <v>8.1478582027280422E-2</v>
      </c>
      <c r="J17" s="119">
        <v>5267473</v>
      </c>
      <c r="K17" s="342">
        <f>J17/'- 13 -'!$J$53*100</f>
        <v>0.24642493295556051</v>
      </c>
    </row>
    <row r="18" spans="1:12">
      <c r="A18" s="120" t="s">
        <v>195</v>
      </c>
      <c r="B18" s="119">
        <v>36228240</v>
      </c>
      <c r="C18" s="342">
        <f>B18/'- 13 -'!$J$53*100</f>
        <v>1.6948433552669289</v>
      </c>
      <c r="D18" s="119">
        <v>2746577</v>
      </c>
      <c r="E18" s="342">
        <f>D18/'- 13 -'!$J$53*100</f>
        <v>0.12849141383017709</v>
      </c>
      <c r="F18" s="119">
        <v>474172</v>
      </c>
      <c r="G18" s="342">
        <f>F18/'- 13 -'!$J$53*100</f>
        <v>2.2182895538221843E-2</v>
      </c>
      <c r="H18" s="119">
        <v>685503</v>
      </c>
      <c r="I18" s="342">
        <f>H18/'- 13 -'!$J$53*100</f>
        <v>3.206946306432621E-2</v>
      </c>
      <c r="J18" s="119">
        <v>15343324</v>
      </c>
      <c r="K18" s="342">
        <f>J18/'- 13 -'!$J$53*100</f>
        <v>0.71779724129871036</v>
      </c>
    </row>
    <row r="19" spans="1:12">
      <c r="A19" s="120" t="s">
        <v>196</v>
      </c>
      <c r="B19" s="119"/>
      <c r="C19" s="343"/>
      <c r="D19" s="121">
        <v>33118000</v>
      </c>
      <c r="E19" s="343">
        <f>D19/'- 13 -'!$J$53*100</f>
        <v>1.5493389201277827</v>
      </c>
      <c r="F19" s="121"/>
      <c r="G19" s="343"/>
      <c r="H19" s="121">
        <v>685360</v>
      </c>
      <c r="I19" s="343"/>
      <c r="J19" s="121"/>
      <c r="K19" s="343"/>
    </row>
    <row r="20" spans="1:12">
      <c r="A20" s="123" t="s">
        <v>197</v>
      </c>
      <c r="B20" s="122">
        <v>12602082</v>
      </c>
      <c r="C20" s="343">
        <f>B20/'- 13 -'!$J$53*100</f>
        <v>0.58955541147538404</v>
      </c>
      <c r="D20" s="122">
        <v>162364</v>
      </c>
      <c r="E20" s="343">
        <f>D20/'- 13 -'!$J$53*100</f>
        <v>7.5957746369837344E-3</v>
      </c>
      <c r="F20" s="122">
        <v>2480</v>
      </c>
      <c r="G20" s="343">
        <f>F20/'- 13 -'!$J$53*100</f>
        <v>1.1602030683969144E-4</v>
      </c>
      <c r="H20" s="122">
        <v>53953</v>
      </c>
      <c r="I20" s="343">
        <f>H20/'- 13 -'!$J$53*100</f>
        <v>2.5240498447265617E-3</v>
      </c>
      <c r="J20" s="122">
        <v>1834634</v>
      </c>
      <c r="K20" s="343">
        <f>J20/'- 13 -'!$J$53*100</f>
        <v>8.5828548233278415E-2</v>
      </c>
    </row>
    <row r="21" spans="1:12" ht="12.75" customHeight="1">
      <c r="A21" s="124" t="s">
        <v>198</v>
      </c>
      <c r="B21" s="345">
        <f>SUM(B13:B20)</f>
        <v>1020820183</v>
      </c>
      <c r="C21" s="346">
        <f>B21/'- 13 -'!$J$53*100</f>
        <v>47.756399540245958</v>
      </c>
      <c r="D21" s="345">
        <f>SUM(D13:D20)</f>
        <v>341386028</v>
      </c>
      <c r="E21" s="346">
        <f>D21/'- 13 -'!$J$53*100</f>
        <v>15.97085149973528</v>
      </c>
      <c r="F21" s="345">
        <f>SUM(F13:F20)</f>
        <v>8219125</v>
      </c>
      <c r="G21" s="346">
        <f>F21/'- 13 -'!$J$53*100</f>
        <v>0.38451024373136244</v>
      </c>
      <c r="H21" s="345">
        <f>SUM(H13:H20)</f>
        <v>16023105</v>
      </c>
      <c r="I21" s="346">
        <f>H21/'- 13 -'!$J$53*100</f>
        <v>0.7495990155744332</v>
      </c>
      <c r="J21" s="345">
        <f>SUM(J13:J20)</f>
        <v>48155820</v>
      </c>
      <c r="K21" s="346">
        <f>J21/'- 13 -'!$J$53*100</f>
        <v>2.2528439566600604</v>
      </c>
    </row>
    <row r="22" spans="1:12">
      <c r="A22" s="316" t="s">
        <v>81</v>
      </c>
      <c r="B22" s="345">
        <v>64362387</v>
      </c>
      <c r="C22" s="346">
        <f>B22/'- 13 -'!$J$53*100</f>
        <v>3.0110257615624869</v>
      </c>
      <c r="D22" s="345">
        <v>33822565</v>
      </c>
      <c r="E22" s="346">
        <f>D22/'- 13 -'!$J$53*100</f>
        <v>1.5823001489537938</v>
      </c>
      <c r="F22" s="345">
        <v>549656</v>
      </c>
      <c r="G22" s="346">
        <f>F22/'- 13 -'!$J$53*100</f>
        <v>2.5714216845273162E-2</v>
      </c>
      <c r="H22" s="345">
        <v>1486767</v>
      </c>
      <c r="I22" s="346">
        <f>H22/'- 13 -'!$J$53*100</f>
        <v>6.9554501427067553E-2</v>
      </c>
      <c r="J22" s="345">
        <v>6293307</v>
      </c>
      <c r="K22" s="346">
        <f>J22/'- 13 -'!$J$53*100</f>
        <v>0.29441589079692665</v>
      </c>
    </row>
    <row r="23" spans="1:12">
      <c r="A23" s="316" t="s">
        <v>68</v>
      </c>
      <c r="B23" s="127"/>
      <c r="C23" s="344"/>
      <c r="D23" s="127"/>
      <c r="E23" s="344"/>
      <c r="F23" s="127"/>
      <c r="G23" s="344"/>
      <c r="H23" s="127"/>
      <c r="I23" s="344"/>
      <c r="J23" s="127"/>
      <c r="K23" s="344"/>
    </row>
    <row r="24" spans="1:12">
      <c r="A24" s="120" t="s">
        <v>199</v>
      </c>
      <c r="B24" s="119">
        <v>6422558</v>
      </c>
      <c r="C24" s="342">
        <f>B24/'- 13 -'!$J$53*100</f>
        <v>0.30046256042569153</v>
      </c>
      <c r="D24" s="119">
        <v>6166075</v>
      </c>
      <c r="E24" s="342">
        <f>D24/'- 13 -'!$J$53*100</f>
        <v>0.28846367479699614</v>
      </c>
      <c r="F24" s="119">
        <v>87205</v>
      </c>
      <c r="G24" s="342">
        <f>F24/'- 13 -'!$J$53*100</f>
        <v>4.0796576040142314E-3</v>
      </c>
      <c r="H24" s="119">
        <v>1591057</v>
      </c>
      <c r="I24" s="342">
        <f>H24/'- 13 -'!$J$53*100</f>
        <v>7.443343602396732E-2</v>
      </c>
      <c r="J24" s="119">
        <v>4947560</v>
      </c>
      <c r="K24" s="342">
        <f>J24/'- 13 -'!$J$53*100</f>
        <v>0.23145864084991283</v>
      </c>
    </row>
    <row r="25" spans="1:12">
      <c r="A25" s="120" t="s">
        <v>200</v>
      </c>
      <c r="B25" s="121">
        <v>4464483</v>
      </c>
      <c r="C25" s="343">
        <f>B25/'- 13 -'!$J$53*100</f>
        <v>0.20885914820184928</v>
      </c>
      <c r="D25" s="121">
        <v>363300</v>
      </c>
      <c r="E25" s="343">
        <f>D25/'- 13 -'!$J$53*100</f>
        <v>1.6996039304378992E-2</v>
      </c>
      <c r="F25" s="121">
        <v>59864</v>
      </c>
      <c r="G25" s="343">
        <f>F25/'- 13 -'!$J$53*100</f>
        <v>2.8005805034884228E-3</v>
      </c>
      <c r="H25" s="121">
        <v>59306</v>
      </c>
      <c r="I25" s="343">
        <f>H25/'- 13 -'!$J$53*100</f>
        <v>2.7744759344494924E-3</v>
      </c>
      <c r="J25" s="121">
        <v>1181562</v>
      </c>
      <c r="K25" s="343">
        <f>J25/'- 13 -'!$J$53*100</f>
        <v>5.5276284592790124E-2</v>
      </c>
    </row>
    <row r="26" spans="1:12">
      <c r="A26" s="120" t="s">
        <v>201</v>
      </c>
      <c r="B26" s="121"/>
      <c r="C26" s="343">
        <f>B26/'- 13 -'!$J$53*100</f>
        <v>0</v>
      </c>
      <c r="D26" s="121"/>
      <c r="E26" s="343">
        <f>D26/'- 13 -'!$J$53*100</f>
        <v>0</v>
      </c>
      <c r="F26" s="121">
        <v>47330</v>
      </c>
      <c r="G26" s="343">
        <f>F26/'- 13 -'!$J$53*100</f>
        <v>2.2142101301300789E-3</v>
      </c>
      <c r="H26" s="121"/>
      <c r="I26" s="343">
        <f>H26/'- 13 -'!$J$53*100</f>
        <v>0</v>
      </c>
      <c r="J26" s="121"/>
      <c r="K26" s="343">
        <f>J26/'- 13 -'!$J$53*100</f>
        <v>0</v>
      </c>
    </row>
    <row r="27" spans="1:12" ht="19.5" customHeight="1">
      <c r="A27" s="120" t="s">
        <v>223</v>
      </c>
      <c r="B27" s="121">
        <v>3262449</v>
      </c>
      <c r="C27" s="343">
        <f>B27/'- 13 -'!$J$53*100</f>
        <v>0.1526251346890502</v>
      </c>
      <c r="D27" s="121">
        <v>2259094</v>
      </c>
      <c r="E27" s="343">
        <f>D27/'- 13 -'!$J$53*100</f>
        <v>0.10568579800794592</v>
      </c>
      <c r="F27" s="121">
        <v>78432</v>
      </c>
      <c r="G27" s="343">
        <f>F27/'- 13 -'!$J$53*100</f>
        <v>3.6692357685688226E-3</v>
      </c>
      <c r="H27" s="121">
        <v>270958</v>
      </c>
      <c r="I27" s="343">
        <f>H27/'- 13 -'!$J$53*100</f>
        <v>1.2676060605108515E-2</v>
      </c>
      <c r="J27" s="121">
        <v>2588000</v>
      </c>
      <c r="K27" s="343">
        <f>J27/'- 13 -'!$J$53*100</f>
        <v>0.12107280407303285</v>
      </c>
      <c r="L27" s="629" t="s">
        <v>109</v>
      </c>
    </row>
    <row r="28" spans="1:12" ht="12.75" customHeight="1">
      <c r="A28" s="120" t="s">
        <v>202</v>
      </c>
      <c r="B28" s="121"/>
      <c r="C28" s="343">
        <f>B28/'- 13 -'!$J$53*100</f>
        <v>0</v>
      </c>
      <c r="D28" s="121"/>
      <c r="E28" s="343">
        <f>D28/'- 13 -'!$J$53*100</f>
        <v>0</v>
      </c>
      <c r="F28" s="121"/>
      <c r="G28" s="343">
        <f>F28/'- 13 -'!$J$53*100</f>
        <v>0</v>
      </c>
      <c r="H28" s="121"/>
      <c r="I28" s="343">
        <f>H28/'- 13 -'!$J$53*100</f>
        <v>0</v>
      </c>
      <c r="J28" s="121"/>
      <c r="K28" s="343">
        <f>J28/'- 13 -'!$J$53*100</f>
        <v>0</v>
      </c>
      <c r="L28" s="630"/>
    </row>
    <row r="29" spans="1:12" ht="12.75" customHeight="1">
      <c r="A29" s="120" t="s">
        <v>203</v>
      </c>
      <c r="B29" s="121">
        <v>765178</v>
      </c>
      <c r="C29" s="343">
        <f>B29/'- 13 -'!$J$53*100</f>
        <v>3.5796849333460251E-2</v>
      </c>
      <c r="D29" s="121">
        <v>594038</v>
      </c>
      <c r="E29" s="343">
        <f>D29/'- 13 -'!$J$53*100</f>
        <v>2.7790512513885736E-2</v>
      </c>
      <c r="F29" s="121">
        <v>979</v>
      </c>
      <c r="G29" s="343">
        <f>F29/'- 13 -'!$J$53*100</f>
        <v>4.5799951772604001E-5</v>
      </c>
      <c r="H29" s="121"/>
      <c r="I29" s="343">
        <f>H29/'- 13 -'!$J$53*100</f>
        <v>0</v>
      </c>
      <c r="J29" s="121"/>
      <c r="K29" s="343">
        <f>J29/'- 13 -'!$J$53*100</f>
        <v>0</v>
      </c>
      <c r="L29" s="630"/>
    </row>
    <row r="30" spans="1:12" ht="12.75" customHeight="1">
      <c r="A30" s="120" t="s">
        <v>204</v>
      </c>
      <c r="B30" s="121">
        <v>554562</v>
      </c>
      <c r="C30" s="343">
        <f>B30/'- 13 -'!$J$53*100</f>
        <v>2.5943731210335871E-2</v>
      </c>
      <c r="D30" s="121">
        <v>21088</v>
      </c>
      <c r="E30" s="343">
        <f>D30/'- 13 -'!$J$53*100</f>
        <v>9.865468671916987E-4</v>
      </c>
      <c r="F30" s="121">
        <v>10974</v>
      </c>
      <c r="G30" s="343">
        <f>F30/'- 13 -'!$J$53*100</f>
        <v>5.1338985776563462E-4</v>
      </c>
      <c r="H30" s="121">
        <v>81844</v>
      </c>
      <c r="I30" s="343">
        <f>H30/'- 13 -'!$J$53*100</f>
        <v>3.8288572552369784E-3</v>
      </c>
      <c r="J30" s="121">
        <v>215998</v>
      </c>
      <c r="K30" s="343">
        <f>J30/'- 13 -'!$J$53*100</f>
        <v>1.0104900901919223E-2</v>
      </c>
    </row>
    <row r="31" spans="1:12">
      <c r="A31" s="120" t="s">
        <v>205</v>
      </c>
      <c r="B31" s="121">
        <v>144616</v>
      </c>
      <c r="C31" s="343">
        <f>B31/'- 13 -'!$J$53*100</f>
        <v>6.7654809249712974E-3</v>
      </c>
      <c r="D31" s="121">
        <v>13486</v>
      </c>
      <c r="E31" s="343">
        <f>D31/'- 13 -'!$J$53*100</f>
        <v>6.3090720082261244E-4</v>
      </c>
      <c r="F31" s="121">
        <v>2362</v>
      </c>
      <c r="G31" s="343">
        <f>F31/'- 13 -'!$J$53*100</f>
        <v>1.1049998578844805E-4</v>
      </c>
      <c r="H31" s="121">
        <v>3516</v>
      </c>
      <c r="I31" s="343">
        <f>H31/'- 13 -'!$J$53*100</f>
        <v>1.6448685437433675E-4</v>
      </c>
      <c r="J31" s="121">
        <v>1170393</v>
      </c>
      <c r="K31" s="343">
        <f>J31/'- 13 -'!$J$53*100</f>
        <v>5.4753772170575393E-2</v>
      </c>
    </row>
    <row r="32" spans="1:12">
      <c r="A32" s="120" t="s">
        <v>206</v>
      </c>
      <c r="B32" s="121">
        <v>2872714</v>
      </c>
      <c r="C32" s="343">
        <f>B32/'- 13 -'!$J$53*100</f>
        <v>0.13439240312204734</v>
      </c>
      <c r="D32" s="121">
        <v>84054</v>
      </c>
      <c r="E32" s="343">
        <f>D32/'- 13 -'!$J$53*100</f>
        <v>3.9322463189933165E-3</v>
      </c>
      <c r="F32" s="121">
        <v>41546</v>
      </c>
      <c r="G32" s="343">
        <f>F32/'- 13 -'!$J$53*100</f>
        <v>1.943620833855573E-3</v>
      </c>
      <c r="H32" s="121">
        <v>63934</v>
      </c>
      <c r="I32" s="343">
        <f>H32/'- 13 -'!$J$53*100</f>
        <v>2.9909847973745292E-3</v>
      </c>
      <c r="J32" s="121">
        <v>145952</v>
      </c>
      <c r="K32" s="343">
        <f>J32/'- 13 -'!$J$53*100</f>
        <v>6.8279821870430015E-3</v>
      </c>
    </row>
    <row r="33" spans="1:11">
      <c r="A33" s="120" t="s">
        <v>207</v>
      </c>
      <c r="B33" s="121">
        <v>3506624</v>
      </c>
      <c r="C33" s="343">
        <f>B33/'- 13 -'!$J$53*100</f>
        <v>0.16404822276267184</v>
      </c>
      <c r="D33" s="121">
        <v>190508</v>
      </c>
      <c r="E33" s="343">
        <f>D33/'- 13 -'!$J$53*100</f>
        <v>8.912417990087072E-3</v>
      </c>
      <c r="F33" s="121">
        <v>421819</v>
      </c>
      <c r="G33" s="343">
        <f>F33/'- 13 -'!$J$53*100</f>
        <v>1.9733697504359597E-2</v>
      </c>
      <c r="H33" s="121">
        <v>537997</v>
      </c>
      <c r="I33" s="343">
        <f>H33/'- 13 -'!$J$53*100</f>
        <v>2.5168781055981242E-2</v>
      </c>
      <c r="J33" s="121">
        <v>-994262</v>
      </c>
      <c r="K33" s="343">
        <f>J33/'- 13 -'!$J$53*100</f>
        <v>-4.651394448348601E-2</v>
      </c>
    </row>
    <row r="34" spans="1:11">
      <c r="A34" s="395" t="s">
        <v>250</v>
      </c>
      <c r="B34" s="121"/>
      <c r="C34" s="343">
        <f>B34/'- 13 -'!$J$53*100</f>
        <v>0</v>
      </c>
      <c r="D34" s="121"/>
      <c r="E34" s="343">
        <f>D34/'- 13 -'!$J$53*100</f>
        <v>0</v>
      </c>
      <c r="F34" s="121">
        <v>3326</v>
      </c>
      <c r="G34" s="343">
        <f>F34/'- 13 -'!$J$53*100</f>
        <v>1.5559820183419908E-4</v>
      </c>
      <c r="H34" s="121"/>
      <c r="I34" s="343">
        <f>H34/'- 13 -'!$J$53*100</f>
        <v>0</v>
      </c>
      <c r="J34" s="121"/>
      <c r="K34" s="343">
        <f>J34/'- 13 -'!$J$53*100</f>
        <v>0</v>
      </c>
    </row>
    <row r="35" spans="1:11">
      <c r="A35" s="120" t="s">
        <v>208</v>
      </c>
      <c r="B35" s="121">
        <v>337179</v>
      </c>
      <c r="C35" s="343">
        <f>B35/'- 13 -'!$J$53*100</f>
        <v>1.5774036709637226E-2</v>
      </c>
      <c r="D35" s="121">
        <v>42660</v>
      </c>
      <c r="E35" s="343">
        <f>D35/'- 13 -'!$J$53*100</f>
        <v>1.9957364071698535E-3</v>
      </c>
      <c r="F35" s="121">
        <v>12469</v>
      </c>
      <c r="G35" s="343">
        <f>F35/'- 13 -'!$J$53*100</f>
        <v>5.8332951854198089E-4</v>
      </c>
      <c r="H35" s="121">
        <v>98350</v>
      </c>
      <c r="I35" s="343">
        <f>H35/'- 13 -'!$J$53*100</f>
        <v>4.6010472490659897E-3</v>
      </c>
      <c r="J35" s="121">
        <v>749274</v>
      </c>
      <c r="K35" s="343">
        <f>J35/'- 13 -'!$J$53*100</f>
        <v>3.5052822333468937E-2</v>
      </c>
    </row>
    <row r="36" spans="1:11">
      <c r="A36" s="120" t="s">
        <v>209</v>
      </c>
      <c r="B36" s="121">
        <v>865268</v>
      </c>
      <c r="C36" s="343">
        <f>B36/'- 13 -'!$J$53*100</f>
        <v>4.0479297926841185E-2</v>
      </c>
      <c r="D36" s="121">
        <v>110504</v>
      </c>
      <c r="E36" s="343">
        <f>D36/'- 13 -'!$J$53*100</f>
        <v>5.1696403173440578E-3</v>
      </c>
      <c r="F36" s="121">
        <v>891</v>
      </c>
      <c r="G36" s="343">
        <f>F36/'- 13 -'!$J$53*100</f>
        <v>4.1683102175066565E-5</v>
      </c>
      <c r="H36" s="121">
        <v>5043</v>
      </c>
      <c r="I36" s="343">
        <f>H36/'- 13 -'!$J$53*100</f>
        <v>2.3592355136796932E-4</v>
      </c>
      <c r="J36" s="121">
        <v>2425210</v>
      </c>
      <c r="K36" s="343">
        <f>J36/'- 13 -'!$J$53*100</f>
        <v>0.11345710014140649</v>
      </c>
    </row>
    <row r="37" spans="1:11">
      <c r="A37" s="125" t="s">
        <v>210</v>
      </c>
      <c r="B37" s="121">
        <v>303697</v>
      </c>
      <c r="C37" s="343">
        <f>B37/'- 13 -'!$J$53*100</f>
        <v>1.4207669002537811E-2</v>
      </c>
      <c r="D37" s="121">
        <v>149610</v>
      </c>
      <c r="E37" s="343">
        <f>D37/'- 13 -'!$J$53*100</f>
        <v>6.9991121396315477E-3</v>
      </c>
      <c r="F37" s="121">
        <v>30900</v>
      </c>
      <c r="G37" s="343">
        <f>F37/'- 13 -'!$J$53*100</f>
        <v>1.4455755973171232E-3</v>
      </c>
      <c r="H37" s="121">
        <v>29544</v>
      </c>
      <c r="I37" s="343">
        <f>H37/'- 13 -'!$J$53*100</f>
        <v>1.3821386876096144E-3</v>
      </c>
      <c r="J37" s="121">
        <v>1336796</v>
      </c>
      <c r="K37" s="343">
        <f>J37/'- 13 -'!$J$53*100</f>
        <v>6.2538500847609743E-2</v>
      </c>
    </row>
    <row r="38" spans="1:11">
      <c r="A38" s="126" t="s">
        <v>211</v>
      </c>
      <c r="B38" s="121">
        <v>9576718</v>
      </c>
      <c r="C38" s="343">
        <f>B38/'- 13 -'!$J$53*100</f>
        <v>0.44802167777306295</v>
      </c>
      <c r="D38" s="121">
        <v>33840</v>
      </c>
      <c r="E38" s="343">
        <f>D38/'- 13 -'!$J$53*100</f>
        <v>1.5831157997803057E-3</v>
      </c>
      <c r="F38" s="121">
        <v>14261</v>
      </c>
      <c r="G38" s="343">
        <f>F38/'- 13 -'!$J$53*100</f>
        <v>6.6716354671001593E-4</v>
      </c>
      <c r="H38" s="121">
        <v>19064</v>
      </c>
      <c r="I38" s="343">
        <f>H38/'- 13 -'!$J$53*100</f>
        <v>8.9185932644833771E-4</v>
      </c>
      <c r="J38" s="121">
        <v>2363142</v>
      </c>
      <c r="K38" s="343">
        <f>J38/'- 13 -'!$J$53*100</f>
        <v>0.11055341126845247</v>
      </c>
    </row>
    <row r="39" spans="1:11">
      <c r="A39" s="124" t="s">
        <v>212</v>
      </c>
      <c r="B39" s="345">
        <f>SUM(B24:B38)</f>
        <v>33076046</v>
      </c>
      <c r="C39" s="346">
        <f>B39/'- 13 -'!$J$53*100</f>
        <v>1.5473762120821568</v>
      </c>
      <c r="D39" s="345">
        <f>SUM(D24:D38)</f>
        <v>10028257</v>
      </c>
      <c r="E39" s="346">
        <f>D39/'- 13 -'!$J$53*100</f>
        <v>0.46914574766422729</v>
      </c>
      <c r="F39" s="345">
        <f>SUM(F24:F38)</f>
        <v>812358</v>
      </c>
      <c r="G39" s="346">
        <f>F39/'- 13 -'!$J$53*100</f>
        <v>3.80040421063218E-2</v>
      </c>
      <c r="H39" s="345">
        <f>SUM(H24:H38)</f>
        <v>2760613</v>
      </c>
      <c r="I39" s="346">
        <f>H39/'- 13 -'!$J$53*100</f>
        <v>0.12914805134098434</v>
      </c>
      <c r="J39" s="345">
        <f>SUM(J24:J38)</f>
        <v>16129625</v>
      </c>
      <c r="K39" s="346">
        <f>J39/'- 13 -'!$J$53*100</f>
        <v>0.754582274882725</v>
      </c>
    </row>
    <row r="40" spans="1:11">
      <c r="A40" s="317" t="s">
        <v>213</v>
      </c>
      <c r="B40" s="127"/>
      <c r="C40" s="344"/>
      <c r="D40" s="127"/>
      <c r="E40" s="344"/>
      <c r="F40" s="127"/>
      <c r="G40" s="344"/>
      <c r="H40" s="127"/>
      <c r="I40" s="344"/>
      <c r="J40" s="127"/>
      <c r="K40" s="344"/>
    </row>
    <row r="41" spans="1:11">
      <c r="A41" s="120" t="s">
        <v>214</v>
      </c>
      <c r="B41" s="121">
        <v>30639445</v>
      </c>
      <c r="C41" s="343">
        <f>B41/'- 13 -'!$J$53*100</f>
        <v>1.4333862138297782</v>
      </c>
      <c r="D41" s="121">
        <v>2591815</v>
      </c>
      <c r="E41" s="343">
        <f>D41/'- 13 -'!$J$53*100</f>
        <v>0.12125127885956245</v>
      </c>
      <c r="F41" s="121">
        <v>249689</v>
      </c>
      <c r="G41" s="343">
        <f>F41/'- 13 -'!$J$53*100</f>
        <v>1.1681046126812788E-2</v>
      </c>
      <c r="H41" s="121">
        <v>1547198</v>
      </c>
      <c r="I41" s="343">
        <f>H41/'- 13 -'!$J$53*100</f>
        <v>7.2381607541031012E-2</v>
      </c>
      <c r="J41" s="121">
        <v>1577326</v>
      </c>
      <c r="K41" s="343">
        <f>J41/'- 13 -'!$J$53*100</f>
        <v>7.3791067139606106E-2</v>
      </c>
    </row>
    <row r="42" spans="1:11">
      <c r="A42" s="120" t="s">
        <v>215</v>
      </c>
      <c r="B42" s="121">
        <v>10421113</v>
      </c>
      <c r="C42" s="343">
        <f>B42/'- 13 -'!$J$53*100</f>
        <v>0.48752448704479734</v>
      </c>
      <c r="D42" s="121">
        <v>773542</v>
      </c>
      <c r="E42" s="343">
        <f>D42/'- 13 -'!$J$53*100</f>
        <v>3.6188137174753464E-2</v>
      </c>
      <c r="F42" s="121">
        <v>67383</v>
      </c>
      <c r="G42" s="343">
        <f>F42/'- 13 -'!$J$53*100</f>
        <v>3.1523372321689228E-3</v>
      </c>
      <c r="H42" s="121">
        <v>115042</v>
      </c>
      <c r="I42" s="343">
        <f>H42/'- 13 -'!$J$53*100</f>
        <v>5.381938765907977E-3</v>
      </c>
      <c r="J42" s="121">
        <v>86918</v>
      </c>
      <c r="K42" s="343">
        <f>J42/'- 13 -'!$J$53*100</f>
        <v>4.0662310604404435E-3</v>
      </c>
    </row>
    <row r="43" spans="1:11">
      <c r="A43" s="120" t="s">
        <v>216</v>
      </c>
      <c r="B43" s="121">
        <v>12247975</v>
      </c>
      <c r="C43" s="343">
        <f>B43/'- 13 -'!$J$53*100</f>
        <v>0.57298944260680229</v>
      </c>
      <c r="D43" s="121">
        <v>455234</v>
      </c>
      <c r="E43" s="343">
        <f>D43/'- 13 -'!$J$53*100</f>
        <v>2.1296930791879071E-2</v>
      </c>
      <c r="F43" s="121">
        <v>76462</v>
      </c>
      <c r="G43" s="343">
        <f>F43/'- 13 -'!$J$53*100</f>
        <v>3.5770744764421314E-3</v>
      </c>
      <c r="H43" s="121">
        <v>114598</v>
      </c>
      <c r="I43" s="343">
        <f>H43/'- 13 -'!$J$53*100</f>
        <v>5.3611673883931284E-3</v>
      </c>
      <c r="J43" s="121">
        <v>296175</v>
      </c>
      <c r="K43" s="343">
        <f>J43/'- 13 -'!$J$53*100</f>
        <v>1.3855771926711939E-2</v>
      </c>
    </row>
    <row r="44" spans="1:11">
      <c r="A44" s="126" t="s">
        <v>217</v>
      </c>
      <c r="B44" s="121">
        <v>22441160</v>
      </c>
      <c r="C44" s="343">
        <f>B44/'- 13 -'!$J$53*100</f>
        <v>1.0498509149349233</v>
      </c>
      <c r="D44" s="121">
        <v>682533</v>
      </c>
      <c r="E44" s="343">
        <f>D44/'- 13 -'!$J$53*100</f>
        <v>3.193051939040932E-2</v>
      </c>
      <c r="F44" s="121">
        <v>92325</v>
      </c>
      <c r="G44" s="343">
        <f>F44/'- 13 -'!$J$53*100</f>
        <v>4.3191833987800453E-3</v>
      </c>
      <c r="H44" s="121">
        <v>108210</v>
      </c>
      <c r="I44" s="343">
        <f>H44/'- 13 -'!$J$53*100</f>
        <v>5.062321533517343E-3</v>
      </c>
      <c r="J44" s="121">
        <v>1380086</v>
      </c>
      <c r="K44" s="343">
        <f>J44/'- 13 -'!$J$53*100</f>
        <v>6.456371015530743E-2</v>
      </c>
    </row>
    <row r="45" spans="1:11">
      <c r="A45" s="124" t="s">
        <v>218</v>
      </c>
      <c r="B45" s="345">
        <f>SUM(B41:B44)</f>
        <v>75749693</v>
      </c>
      <c r="C45" s="346">
        <f>B45/'- 13 -'!$J$53*100</f>
        <v>3.5437510584163014</v>
      </c>
      <c r="D45" s="345">
        <f>SUM(D41:D44)</f>
        <v>4503124</v>
      </c>
      <c r="E45" s="346">
        <f>D45/'- 13 -'!$J$53*100</f>
        <v>0.21066686621660433</v>
      </c>
      <c r="F45" s="345">
        <f>SUM(F41:F44)</f>
        <v>485859</v>
      </c>
      <c r="G45" s="346">
        <f>F45/'- 13 -'!$J$53*100</f>
        <v>2.2729641234203891E-2</v>
      </c>
      <c r="H45" s="345">
        <f>SUM(H41:H44)</f>
        <v>1885048</v>
      </c>
      <c r="I45" s="346">
        <f>H45/'- 13 -'!$J$53*100</f>
        <v>8.8187035228849464E-2</v>
      </c>
      <c r="J45" s="345">
        <f>SUM(J41:J44)</f>
        <v>3340505</v>
      </c>
      <c r="K45" s="346">
        <f>J45/'- 13 -'!$J$53*100</f>
        <v>0.15627678028206593</v>
      </c>
    </row>
    <row r="46" spans="1:11">
      <c r="A46" s="316" t="s">
        <v>48</v>
      </c>
      <c r="B46" s="127"/>
      <c r="C46" s="344"/>
      <c r="D46" s="127"/>
      <c r="E46" s="344"/>
      <c r="F46" s="127"/>
      <c r="G46" s="344"/>
      <c r="H46" s="127"/>
      <c r="I46" s="344"/>
      <c r="J46" s="127"/>
      <c r="K46" s="344"/>
    </row>
    <row r="47" spans="1:11" ht="14.25">
      <c r="A47" s="126" t="s">
        <v>246</v>
      </c>
      <c r="B47" s="121"/>
      <c r="C47" s="343"/>
      <c r="D47" s="121"/>
      <c r="E47" s="343"/>
      <c r="F47" s="121">
        <v>59500</v>
      </c>
      <c r="G47" s="343"/>
      <c r="H47" s="121">
        <v>47283</v>
      </c>
      <c r="I47" s="343"/>
      <c r="J47" s="121">
        <v>-106783</v>
      </c>
      <c r="K47" s="343"/>
    </row>
    <row r="48" spans="1:11">
      <c r="A48" s="124" t="s">
        <v>221</v>
      </c>
      <c r="B48" s="345"/>
      <c r="C48" s="346"/>
      <c r="D48" s="345"/>
      <c r="E48" s="346"/>
      <c r="F48" s="345">
        <f>F47</f>
        <v>59500</v>
      </c>
      <c r="G48" s="346"/>
      <c r="H48" s="345">
        <f>H47</f>
        <v>47283</v>
      </c>
      <c r="I48" s="346"/>
      <c r="J48" s="345">
        <f>J47</f>
        <v>-106783</v>
      </c>
      <c r="K48" s="346"/>
    </row>
    <row r="49" spans="1:11" ht="5.0999999999999996" customHeight="1">
      <c r="A49" s="22"/>
      <c r="B49" s="31"/>
      <c r="C49" s="128"/>
      <c r="D49" s="56"/>
      <c r="E49" s="128"/>
      <c r="F49" s="56"/>
      <c r="G49" s="128"/>
      <c r="H49" s="56"/>
      <c r="I49" s="128"/>
      <c r="J49" s="56"/>
      <c r="K49" s="128"/>
    </row>
    <row r="50" spans="1:11">
      <c r="A50" s="318" t="s">
        <v>222</v>
      </c>
      <c r="B50" s="347">
        <f>SUM(B48,B45,B39,B22,B21)</f>
        <v>1194008309</v>
      </c>
      <c r="C50" s="348">
        <f>B50/'- 13 -'!$J$53*100</f>
        <v>55.858552572306898</v>
      </c>
      <c r="D50" s="347">
        <f>SUM(D48,D45,D39,D22,D21)</f>
        <v>389739974</v>
      </c>
      <c r="E50" s="348">
        <f>D50/'- 13 -'!$J$53*100</f>
        <v>18.232964262569908</v>
      </c>
      <c r="F50" s="347">
        <f>SUM(F48,F45,F39,F22,F21)</f>
        <v>10126498</v>
      </c>
      <c r="G50" s="348">
        <f>F50/'- 13 -'!$J$53*100</f>
        <v>0.47374169563367807</v>
      </c>
      <c r="H50" s="347">
        <f>SUM(H48,H45,H39,H22,H21)</f>
        <v>22202816</v>
      </c>
      <c r="I50" s="348">
        <f>H50/'- 13 -'!$J$53*100</f>
        <v>1.0387006149295204</v>
      </c>
      <c r="J50" s="347">
        <f>SUM(J48,J45,J39,J22,J21)</f>
        <v>73812474</v>
      </c>
      <c r="K50" s="348">
        <f>J50/'- 13 -'!$J$53*100</f>
        <v>3.4531233395470755</v>
      </c>
    </row>
    <row r="51" spans="1:11" ht="15.95" customHeight="1">
      <c r="A51" s="417" t="s">
        <v>404</v>
      </c>
    </row>
    <row r="52" spans="1:11">
      <c r="A52" s="131"/>
      <c r="B52" s="1">
        <f>+B50-'- 15 -'!B48</f>
        <v>0</v>
      </c>
      <c r="D52" s="1">
        <f>+D50-'- 15 -'!E48</f>
        <v>0</v>
      </c>
      <c r="F52" s="1">
        <f>+F50-'- 15 -'!H48</f>
        <v>0</v>
      </c>
      <c r="H52" s="1">
        <f>H50-'- 16 -'!B48</f>
        <v>0</v>
      </c>
      <c r="J52" s="1">
        <f>+J50-'- 16 -'!D48</f>
        <v>0</v>
      </c>
    </row>
    <row r="54" spans="1:11">
      <c r="B54" s="1">
        <f>+B50-'- 15 -'!B48</f>
        <v>0</v>
      </c>
      <c r="F54" s="1">
        <f>+F50-'- 15 -'!H48</f>
        <v>0</v>
      </c>
      <c r="J54" s="1">
        <f>+J50-'- 16 -'!D48</f>
        <v>0</v>
      </c>
    </row>
  </sheetData>
  <mergeCells count="6">
    <mergeCell ref="L27:L29"/>
    <mergeCell ref="B8:C9"/>
    <mergeCell ref="D8:E9"/>
    <mergeCell ref="F8:G9"/>
    <mergeCell ref="H8:I9"/>
    <mergeCell ref="J8:K9"/>
  </mergeCells>
  <phoneticPr fontId="6" type="noConversion"/>
  <printOptions verticalCentered="1"/>
  <pageMargins left="0.51181102362204722" right="0" top="0.59055118110236227" bottom="0.19685039370078741" header="0.31496062992125984" footer="0.51181102362204722"/>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60</vt:i4>
      </vt:variant>
      <vt:variant>
        <vt:lpstr>Named Ranges</vt:lpstr>
      </vt:variant>
      <vt:variant>
        <vt:i4>68</vt:i4>
      </vt:variant>
    </vt:vector>
  </HeadingPairs>
  <TitlesOfParts>
    <vt:vector size="128" baseType="lpstr">
      <vt:lpstr>README</vt:lpstr>
      <vt:lpstr>- 3 -</vt:lpstr>
      <vt:lpstr>- 4 -</vt:lpstr>
      <vt:lpstr>- 6 -</vt:lpstr>
      <vt:lpstr>- 7 -</vt:lpstr>
      <vt:lpstr>- 8 -</vt:lpstr>
      <vt:lpstr>- 9 -</vt:lpstr>
      <vt:lpstr>- 10 -</vt:lpstr>
      <vt:lpstr>- 12 -</vt:lpstr>
      <vt:lpstr>- 13 -</vt:lpstr>
      <vt:lpstr>- 15 -</vt:lpstr>
      <vt:lpstr>- 16 -</vt:lpstr>
      <vt:lpstr>- 17 -</vt:lpstr>
      <vt:lpstr>- 18 -</vt:lpstr>
      <vt:lpstr>- 19 -</vt:lpstr>
      <vt:lpstr>- 20 -</vt:lpstr>
      <vt:lpstr>- 21 -</vt:lpstr>
      <vt:lpstr>- 22 -</vt:lpstr>
      <vt:lpstr>- 23 -</vt:lpstr>
      <vt:lpstr>- 24 -</vt:lpstr>
      <vt:lpstr>- 25 -</vt:lpstr>
      <vt:lpstr>- 26 -</vt:lpstr>
      <vt:lpstr>- 27 -</vt:lpstr>
      <vt:lpstr>- 28 -</vt:lpstr>
      <vt:lpstr>- 29 -</vt:lpstr>
      <vt:lpstr>- 30 -</vt:lpstr>
      <vt:lpstr>- 31 -</vt:lpstr>
      <vt:lpstr>- 32 -</vt:lpstr>
      <vt:lpstr>- 33 -</vt:lpstr>
      <vt:lpstr>- 34 -</vt:lpstr>
      <vt:lpstr>- 35 -</vt:lpstr>
      <vt:lpstr>- 36 -</vt:lpstr>
      <vt:lpstr>- 37 -</vt:lpstr>
      <vt:lpstr>- 38 -</vt:lpstr>
      <vt:lpstr>- 40 -</vt:lpstr>
      <vt:lpstr>- 41 -</vt:lpstr>
      <vt:lpstr>- 42 -</vt:lpstr>
      <vt:lpstr>- 43 -</vt:lpstr>
      <vt:lpstr>- 44 -</vt:lpstr>
      <vt:lpstr>- 45 -</vt:lpstr>
      <vt:lpstr>- 46 -</vt:lpstr>
      <vt:lpstr>- 47 -</vt:lpstr>
      <vt:lpstr>- 48 -</vt:lpstr>
      <vt:lpstr>- 49 -</vt:lpstr>
      <vt:lpstr>- 50 -</vt:lpstr>
      <vt:lpstr>- 51 -</vt:lpstr>
      <vt:lpstr>- 53 -</vt:lpstr>
      <vt:lpstr>- 54 - </vt:lpstr>
      <vt:lpstr>- 55 -</vt:lpstr>
      <vt:lpstr>- 57 -</vt:lpstr>
      <vt:lpstr>- 58 -</vt:lpstr>
      <vt:lpstr>- 59 -</vt:lpstr>
      <vt:lpstr>- 60 -</vt:lpstr>
      <vt:lpstr>- 61 -</vt:lpstr>
      <vt:lpstr>- 62 -</vt:lpstr>
      <vt:lpstr>- 63 -</vt:lpstr>
      <vt:lpstr>- 64 -</vt:lpstr>
      <vt:lpstr>- 65 -</vt:lpstr>
      <vt:lpstr>- 66 -</vt:lpstr>
      <vt:lpstr>Data</vt:lpstr>
      <vt:lpstr>'- 48 -'!capyear</vt:lpstr>
      <vt:lpstr>capyear</vt:lpstr>
      <vt:lpstr>CurrY</vt:lpstr>
      <vt:lpstr>FALLYR</vt:lpstr>
      <vt:lpstr>OPYEAR</vt:lpstr>
      <vt:lpstr>PrevY</vt:lpstr>
      <vt:lpstr>'- 10 -'!Print_Area</vt:lpstr>
      <vt:lpstr>'- 12 -'!Print_Area</vt:lpstr>
      <vt:lpstr>'- 13 -'!Print_Area</vt:lpstr>
      <vt:lpstr>'- 15 -'!Print_Area</vt:lpstr>
      <vt:lpstr>'- 16 -'!Print_Area</vt:lpstr>
      <vt:lpstr>'- 17 -'!Print_Area</vt:lpstr>
      <vt:lpstr>'- 18 -'!Print_Area</vt:lpstr>
      <vt:lpstr>'- 19 -'!Print_Area</vt:lpstr>
      <vt:lpstr>'- 20 -'!Print_Area</vt:lpstr>
      <vt:lpstr>'- 21 -'!Print_Area</vt:lpstr>
      <vt:lpstr>'- 22 -'!Print_Area</vt:lpstr>
      <vt:lpstr>'- 23 -'!Print_Area</vt:lpstr>
      <vt:lpstr>'- 24 -'!Print_Area</vt:lpstr>
      <vt:lpstr>'- 25 -'!Print_Area</vt:lpstr>
      <vt:lpstr>'- 26 -'!Print_Area</vt:lpstr>
      <vt:lpstr>'- 27 -'!Print_Area</vt:lpstr>
      <vt:lpstr>'- 28 -'!Print_Area</vt:lpstr>
      <vt:lpstr>'- 29 -'!Print_Area</vt:lpstr>
      <vt:lpstr>'- 3 -'!Print_Area</vt:lpstr>
      <vt:lpstr>'- 30 -'!Print_Area</vt:lpstr>
      <vt:lpstr>'- 31 -'!Print_Area</vt:lpstr>
      <vt:lpstr>'- 32 -'!Print_Area</vt:lpstr>
      <vt:lpstr>'- 33 -'!Print_Area</vt:lpstr>
      <vt:lpstr>'- 34 -'!Print_Area</vt:lpstr>
      <vt:lpstr>'- 35 -'!Print_Area</vt:lpstr>
      <vt:lpstr>'- 36 -'!Print_Area</vt:lpstr>
      <vt:lpstr>'- 37 -'!Print_Area</vt:lpstr>
      <vt:lpstr>'- 38 -'!Print_Area</vt:lpstr>
      <vt:lpstr>'- 4 -'!Print_Area</vt:lpstr>
      <vt:lpstr>'- 40 -'!Print_Area</vt:lpstr>
      <vt:lpstr>'- 41 -'!Print_Area</vt:lpstr>
      <vt:lpstr>'- 42 -'!Print_Area</vt:lpstr>
      <vt:lpstr>'- 43 -'!Print_Area</vt:lpstr>
      <vt:lpstr>'- 44 -'!Print_Area</vt:lpstr>
      <vt:lpstr>'- 45 -'!Print_Area</vt:lpstr>
      <vt:lpstr>'- 46 -'!Print_Area</vt:lpstr>
      <vt:lpstr>'- 47 -'!Print_Area</vt:lpstr>
      <vt:lpstr>'- 48 -'!Print_Area</vt:lpstr>
      <vt:lpstr>'- 49 -'!Print_Area</vt:lpstr>
      <vt:lpstr>'- 50 -'!Print_Area</vt:lpstr>
      <vt:lpstr>'- 51 -'!Print_Area</vt:lpstr>
      <vt:lpstr>'- 53 -'!Print_Area</vt:lpstr>
      <vt:lpstr>'- 54 - '!Print_Area</vt:lpstr>
      <vt:lpstr>'- 55 -'!Print_Area</vt:lpstr>
      <vt:lpstr>'- 57 -'!Print_Area</vt:lpstr>
      <vt:lpstr>'- 58 -'!Print_Area</vt:lpstr>
      <vt:lpstr>'- 59 -'!Print_Area</vt:lpstr>
      <vt:lpstr>'- 6 -'!Print_Area</vt:lpstr>
      <vt:lpstr>'- 60 -'!Print_Area</vt:lpstr>
      <vt:lpstr>'- 61 -'!Print_Area</vt:lpstr>
      <vt:lpstr>'- 62 -'!Print_Area</vt:lpstr>
      <vt:lpstr>'- 63 -'!Print_Area</vt:lpstr>
      <vt:lpstr>'- 64 -'!Print_Area</vt:lpstr>
      <vt:lpstr>'- 65 -'!Print_Area</vt:lpstr>
      <vt:lpstr>'- 66 -'!Print_Area</vt:lpstr>
      <vt:lpstr>'- 7 -'!Print_Area</vt:lpstr>
      <vt:lpstr>'- 8 -'!Print_Area</vt:lpstr>
      <vt:lpstr>'- 9 -'!Print_Area</vt:lpstr>
      <vt:lpstr>REVYEAR</vt:lpstr>
      <vt:lpstr>SPRINGYR</vt:lpstr>
      <vt:lpstr>STATDATE</vt:lpstr>
      <vt:lpstr>TAXYEAR</vt:lpstr>
    </vt:vector>
  </TitlesOfParts>
  <Company>Government of Manitoba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J. Anderson</dc:creator>
  <cp:lastModifiedBy>GPizarro</cp:lastModifiedBy>
  <cp:lastPrinted>2016-05-18T19:48:02Z</cp:lastPrinted>
  <dcterms:created xsi:type="dcterms:W3CDTF">1999-01-19T20:49:35Z</dcterms:created>
  <dcterms:modified xsi:type="dcterms:W3CDTF">2016-05-19T19:06:46Z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-908183845</vt:i4>
  </property>
  <property fmtid="{D5CDD505-2E9C-101B-9397-08002B2CF9AE}" pid="3" name="_NewReviewCycle">
    <vt:lpwstr/>
  </property>
  <property fmtid="{D5CDD505-2E9C-101B-9397-08002B2CF9AE}" pid="4" name="_EmailSubject">
    <vt:lpwstr>2014-15 FRAME Report Actual to be posted.</vt:lpwstr>
  </property>
  <property fmtid="{D5CDD505-2E9C-101B-9397-08002B2CF9AE}" pid="5" name="_AuthorEmail">
    <vt:lpwstr>Gonzalo.Pizarro@gov.mb.ca</vt:lpwstr>
  </property>
  <property fmtid="{D5CDD505-2E9C-101B-9397-08002B2CF9AE}" pid="6" name="_AuthorEmailDisplayName">
    <vt:lpwstr>Pizarro, Gonzalo (EAL)</vt:lpwstr>
  </property>
</Properties>
</file>