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externalLinks/externalLink3.xml" ContentType="application/vnd.openxmlformats-officedocument.spreadsheetml.externalLink+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5480" windowHeight="5160" tabRatio="865"/>
  </bookViews>
  <sheets>
    <sheet name="README" sheetId="9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6" r:id="rId19"/>
    <sheet name="- 24 -" sheetId="82" r:id="rId20"/>
    <sheet name="- 25 -" sheetId="25" r:id="rId21"/>
    <sheet name="- 26 -" sheetId="26" r:id="rId22"/>
    <sheet name="- 27 -" sheetId="27" r:id="rId23"/>
    <sheet name="- 28 -" sheetId="28" r:id="rId24"/>
    <sheet name="- 29 -" sheetId="29" r:id="rId25"/>
    <sheet name="- 30 -" sheetId="34" r:id="rId26"/>
    <sheet name="- 31 -" sheetId="35" r:id="rId27"/>
    <sheet name="- 32 -" sheetId="36" r:id="rId28"/>
    <sheet name="- 33 -" sheetId="37" r:id="rId29"/>
    <sheet name="- 34 -" sheetId="38" r:id="rId30"/>
    <sheet name="- 35 -" sheetId="39" r:id="rId31"/>
    <sheet name="- 36 -" sheetId="40" r:id="rId32"/>
    <sheet name="- 37 -" sheetId="41" r:id="rId33"/>
    <sheet name="- 38 -" sheetId="54" r:id="rId34"/>
    <sheet name="- 39 -" sheetId="76" r:id="rId35"/>
    <sheet name="- 41 -" sheetId="42" r:id="rId36"/>
    <sheet name="- 42 -" sheetId="43" r:id="rId37"/>
    <sheet name="- 43 -" sheetId="44" r:id="rId38"/>
    <sheet name="- 44 -" sheetId="45" r:id="rId39"/>
    <sheet name="- 45 -" sheetId="33" r:id="rId40"/>
    <sheet name="- 46 -" sheetId="48" r:id="rId41"/>
    <sheet name="- 48 -" sheetId="49" r:id="rId42"/>
    <sheet name="- 49 - " sheetId="88" r:id="rId43"/>
    <sheet name="- 51 -" sheetId="50" r:id="rId44"/>
    <sheet name="- 52 -" sheetId="51" r:id="rId45"/>
    <sheet name="- 53 -" sheetId="81" r:id="rId46"/>
    <sheet name="- 54 -" sheetId="47" r:id="rId47"/>
    <sheet name="- 55 -" sheetId="46" r:id="rId48"/>
    <sheet name="- 56 -" sheetId="52" r:id="rId49"/>
    <sheet name="- 57 -" sheetId="84" r:id="rId50"/>
    <sheet name="- 58 -" sheetId="85" r:id="rId51"/>
    <sheet name="- 59 -" sheetId="89" r:id="rId52"/>
    <sheet name="- 60 -" sheetId="90" r:id="rId53"/>
    <sheet name="- 61 -" sheetId="78" r:id="rId54"/>
    <sheet name="Data" sheetId="2" state="hidden" r:id="rId55"/>
  </sheets>
  <externalReferences>
    <externalReference r:id="rId56"/>
    <externalReference r:id="rId57"/>
    <externalReference r:id="rId58"/>
    <externalReference r:id="rId59"/>
  </externalReferences>
  <definedNames>
    <definedName name="_Fill" localSheetId="51" hidden="1">#REF!</definedName>
    <definedName name="_Fill" localSheetId="0" hidden="1">#REF!</definedName>
    <definedName name="_Fill" hidden="1">#REF!</definedName>
    <definedName name="_Order1" hidden="1">0</definedName>
    <definedName name="capyear" localSheetId="0">#REF!</definedName>
    <definedName name="capyear">#REF!</definedName>
    <definedName name="DATE_ENTRY" localSheetId="0">#REF!</definedName>
    <definedName name="DATE_ENTRY">#REF!</definedName>
    <definedName name="DIV">[1]Data!$A$9:$A$696</definedName>
    <definedName name="DIVNUM">[2]DATA!$B$1</definedName>
    <definedName name="HTML_CodePage" hidden="1">1252</definedName>
    <definedName name="HTML_Control" localSheetId="18" hidden="1">{"'- 4 -'!$A$1:$G$76","'-3 -'!$A$1:$G$77"}</definedName>
    <definedName name="HTML_Control" localSheetId="19" hidden="1">{"'- 4 -'!$A$1:$G$76","'-3 -'!$A$1:$G$77"}</definedName>
    <definedName name="HTML_Control" localSheetId="42" hidden="1">{"'- 4 -'!$A$1:$G$76","'-3 -'!$A$1:$G$77"}</definedName>
    <definedName name="HTML_Control" localSheetId="45" hidden="1">{"'- 4 -'!$A$1:$G$76","'-3 -'!$A$1:$G$77"}</definedName>
    <definedName name="HTML_Control" localSheetId="49" hidden="1">{"'- 4 -'!$A$1:$G$76","'-3 -'!$A$1:$G$77"}</definedName>
    <definedName name="HTML_Control" localSheetId="50" hidden="1">{"'- 4 -'!$A$1:$G$76","'-3 -'!$A$1:$G$77"}</definedName>
    <definedName name="HTML_Control" localSheetId="53"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[2]DATA!$D$1:$D$39</definedName>
    <definedName name="LOADED1" localSheetId="0">#REF!</definedName>
    <definedName name="LOADED1">#REF!</definedName>
    <definedName name="LOADED2" localSheetId="0">#REF!</definedName>
    <definedName name="LOADED2">#REF!</definedName>
    <definedName name="LOADED3" localSheetId="0">#REF!</definedName>
    <definedName name="LOADED3">#REF!</definedName>
    <definedName name="NOW" localSheetId="0">#REF!</definedName>
    <definedName name="NOW">#REF!</definedName>
    <definedName name="OD_FINISH" localSheetId="0">#REF!</definedName>
    <definedName name="OD_FINISH">#REF!</definedName>
    <definedName name="OD_FIRST" localSheetId="0">#REF!</definedName>
    <definedName name="OD_FIRST">#REF!</definedName>
    <definedName name="OD_LAST" localSheetId="0">#REF!</definedName>
    <definedName name="OD_LAST">#REF!</definedName>
    <definedName name="OD_START" localSheetId="0">#REF!</definedName>
    <definedName name="OD_START">#REF!</definedName>
    <definedName name="ONE_AM" localSheetId="0">#REF!</definedName>
    <definedName name="ONE_AM">#REF!</definedName>
    <definedName name="ONE_PM" localSheetId="0">#REF!</definedName>
    <definedName name="ONE_PM">#REF!</definedName>
    <definedName name="OPYEAR" localSheetId="0">'[3]- 3 -'!$A$3</definedName>
    <definedName name="OPYEAR">'- 3 -'!$A$3</definedName>
    <definedName name="_xlnm.Print_Area" localSheetId="7">'- 10 -'!$A$1:$L$34</definedName>
    <definedName name="_xlnm.Print_Area" localSheetId="8">'- 12 -'!$A$2:$L$53</definedName>
    <definedName name="_xlnm.Print_Area" localSheetId="9">'- 13 -'!$A$2:$L$55</definedName>
    <definedName name="_xlnm.Print_Area" localSheetId="10">'- 15 -'!$A$1:$I$59</definedName>
    <definedName name="_xlnm.Print_Area" localSheetId="11">'- 16 -'!$A$1:$I$59</definedName>
    <definedName name="_xlnm.Print_Area" localSheetId="12">'- 17 -'!$A$1:$J$59</definedName>
    <definedName name="_xlnm.Print_Area" localSheetId="13">'- 18 -'!$A$1:$G$59</definedName>
    <definedName name="_xlnm.Print_Area" localSheetId="14">'- 19 -'!$A$1:$J$59</definedName>
    <definedName name="_xlnm.Print_Area" localSheetId="15">'- 20 -'!$A$1:$I$59</definedName>
    <definedName name="_xlnm.Print_Area" localSheetId="16">'- 21 -'!$A$1:$J$59</definedName>
    <definedName name="_xlnm.Print_Area" localSheetId="17">'- 22 -'!$A$1:$I$58</definedName>
    <definedName name="_xlnm.Print_Area" localSheetId="18">'- 23 -'!$A$1:$E$59</definedName>
    <definedName name="_xlnm.Print_Area" localSheetId="19">'- 24 -'!$A$1:$F$59</definedName>
    <definedName name="_xlnm.Print_Area" localSheetId="20">'- 25 -'!$A$1:$I$59</definedName>
    <definedName name="_xlnm.Print_Area" localSheetId="21">'- 26 -'!$A$1:$J$59</definedName>
    <definedName name="_xlnm.Print_Area" localSheetId="22">'- 27 -'!$A$1:$E$59</definedName>
    <definedName name="_xlnm.Print_Area" localSheetId="23">'- 28 -'!$A$1:$J$59</definedName>
    <definedName name="_xlnm.Print_Area" localSheetId="24">'- 29 -'!$A$1:$G$59</definedName>
    <definedName name="_xlnm.Print_Area" localSheetId="1">'- 3 -'!$A$1:$F$59</definedName>
    <definedName name="_xlnm.Print_Area" localSheetId="25">'- 30 -'!$A$1:$G$59</definedName>
    <definedName name="_xlnm.Print_Area" localSheetId="26">'- 31 -'!$A$1:$F$59</definedName>
    <definedName name="_xlnm.Print_Area" localSheetId="27">'- 32 -'!$A$1:$G$59</definedName>
    <definedName name="_xlnm.Print_Area" localSheetId="28">'- 33 -'!$A$1:$F$59</definedName>
    <definedName name="_xlnm.Print_Area" localSheetId="29">'- 34 -'!$A$1:$F$59</definedName>
    <definedName name="_xlnm.Print_Area" localSheetId="30">'- 35 -'!$A$1:$H$59</definedName>
    <definedName name="_xlnm.Print_Area" localSheetId="31">'- 36 -'!$A$1:$E$59</definedName>
    <definedName name="_xlnm.Print_Area" localSheetId="32">'- 37 -'!$A$1:$G$59</definedName>
    <definedName name="_xlnm.Print_Area" localSheetId="33">'- 38 -'!$A$1:$J$59</definedName>
    <definedName name="_xlnm.Print_Area" localSheetId="34">'- 39 -'!$A$1:$H$58</definedName>
    <definedName name="_xlnm.Print_Area" localSheetId="2">'- 4 -'!$A$1:$E$59</definedName>
    <definedName name="_xlnm.Print_Area" localSheetId="35">'- 41 -'!$A$1:$H$59</definedName>
    <definedName name="_xlnm.Print_Area" localSheetId="36">'- 42 -'!$A$1:$I$62</definedName>
    <definedName name="_xlnm.Print_Area" localSheetId="37">'- 43 -'!$A$1:$I$59</definedName>
    <definedName name="_xlnm.Print_Area" localSheetId="38">'- 44 -'!$A$1:$I$59</definedName>
    <definedName name="_xlnm.Print_Area" localSheetId="39">'- 45 -'!$A$1:$C$60</definedName>
    <definedName name="_xlnm.Print_Area" localSheetId="40">'- 46 -'!$A$1:$D$58</definedName>
    <definedName name="_xlnm.Print_Area" localSheetId="41">'- 48 -'!$A$1:$G$57</definedName>
    <definedName name="_xlnm.Print_Area" localSheetId="42">'- 49 - '!$A$1:$F$52</definedName>
    <definedName name="_xlnm.Print_Area" localSheetId="43">'- 51 -'!$A$1:$F$57</definedName>
    <definedName name="_xlnm.Print_Area" localSheetId="44">'- 52 -'!$A$1:$G$59</definedName>
    <definedName name="_xlnm.Print_Area" localSheetId="45">'- 53 -'!$A$1:$G$59</definedName>
    <definedName name="_xlnm.Print_Area" localSheetId="46">'- 54 -'!$A$1:$F$57</definedName>
    <definedName name="_xlnm.Print_Area" localSheetId="47">'- 55 -'!$A$1:$F$59</definedName>
    <definedName name="_xlnm.Print_Area" localSheetId="48">'- 56 -'!$A$1:$F$59</definedName>
    <definedName name="_xlnm.Print_Area" localSheetId="49">'- 57 -'!$A$2:$G$64</definedName>
    <definedName name="_xlnm.Print_Area" localSheetId="50">'- 58 -'!$A$1:$G$56</definedName>
    <definedName name="_xlnm.Print_Area" localSheetId="51">'- 59 -'!$A$1:$I$56</definedName>
    <definedName name="_xlnm.Print_Area" localSheetId="3">'- 6 -'!$A$1:$H$59</definedName>
    <definedName name="_xlnm.Print_Area" localSheetId="52">'- 60 -'!$A$2:$G$52</definedName>
    <definedName name="_xlnm.Print_Area" localSheetId="53">'- 61 -'!$A$1:$I$55</definedName>
    <definedName name="_xlnm.Print_Area" localSheetId="4">'- 7 -'!$A$1:$G$59</definedName>
    <definedName name="_xlnm.Print_Area" localSheetId="5">'- 8 -'!$A$1:$G$59</definedName>
    <definedName name="_xlnm.Print_Area" localSheetId="6">'- 9 -'!$A$1:$D$58</definedName>
    <definedName name="_xlnm.Print_Area" localSheetId="54">Data!$A$3:$N$52</definedName>
    <definedName name="_xlnm.Print_Area" localSheetId="0">README!$B$3:$B$15</definedName>
    <definedName name="REVYEAR" localSheetId="0">'[3]- 42 -'!$B$1</definedName>
    <definedName name="REVYEAR">'- 42 -'!$B$1</definedName>
    <definedName name="STAMP" localSheetId="0">#REF!</definedName>
    <definedName name="STAMP">#REF!</definedName>
    <definedName name="STATDATE" localSheetId="0">'[3]- 6 -'!$B$3</definedName>
    <definedName name="STATDATE">'- 6 -'!$B$3</definedName>
    <definedName name="TAXYEAR" localSheetId="42">'[4]- 46 -'!$B$3</definedName>
    <definedName name="TAXYEAR" localSheetId="0">'[3]- 46 -'!$B$3</definedName>
    <definedName name="TAXYEAR">'- 46 -'!$B$3</definedName>
    <definedName name="TOTAL1" localSheetId="0">#REF!</definedName>
    <definedName name="TOTAL1">#REF!</definedName>
    <definedName name="TOTAL2" localSheetId="0">#REF!</definedName>
    <definedName name="TOTAL2">#REF!</definedName>
    <definedName name="TOTAL3" localSheetId="0">#REF!</definedName>
    <definedName name="TOTAL3">#REF!</definedName>
    <definedName name="TWO" localSheetId="0">#REF!</definedName>
    <definedName name="TWO">#REF!</definedName>
    <definedName name="YEAR" localSheetId="0">#REF!</definedName>
    <definedName name="YEAR">Data!$B$6</definedName>
  </definedNames>
  <calcPr calcId="125725"/>
</workbook>
</file>

<file path=xl/calcChain.xml><?xml version="1.0" encoding="utf-8"?>
<calcChain xmlns="http://schemas.openxmlformats.org/spreadsheetml/2006/main">
  <c r="F52" i="23"/>
  <c r="I23" i="21" s="1"/>
  <c r="J29" i="23"/>
  <c r="D21" i="21"/>
  <c r="J49" i="22"/>
  <c r="D18" i="21"/>
  <c r="D15"/>
  <c r="J14" i="23"/>
  <c r="H50"/>
  <c r="J50" s="1"/>
  <c r="H49"/>
  <c r="I15" i="49"/>
  <c r="I16"/>
  <c r="I17"/>
  <c r="I18"/>
  <c r="I19"/>
  <c r="I20"/>
  <c r="I21"/>
  <c r="I22"/>
  <c r="I23"/>
  <c r="I24"/>
  <c r="I25"/>
  <c r="I26"/>
  <c r="I27"/>
  <c r="I28"/>
  <c r="I29"/>
  <c r="I30"/>
  <c r="I31"/>
  <c r="I32"/>
  <c r="I33"/>
  <c r="I34"/>
  <c r="I35"/>
  <c r="I36"/>
  <c r="I37"/>
  <c r="I38"/>
  <c r="I39"/>
  <c r="I40"/>
  <c r="I41"/>
  <c r="I42"/>
  <c r="I43"/>
  <c r="I44"/>
  <c r="I45"/>
  <c r="A3" i="78"/>
  <c r="A3" i="90" s="1"/>
  <c r="D9" i="78"/>
  <c r="I14"/>
  <c r="B9" i="90"/>
  <c r="D9"/>
  <c r="F9"/>
  <c r="G9"/>
  <c r="B2" i="85"/>
  <c r="J16"/>
  <c r="J20"/>
  <c r="I15" i="84"/>
  <c r="I19"/>
  <c r="I52"/>
  <c r="B3" i="50"/>
  <c r="F11"/>
  <c r="G11" i="78" s="1"/>
  <c r="F12" i="50"/>
  <c r="G12" i="78" s="1"/>
  <c r="F13" i="49"/>
  <c r="F13" i="50"/>
  <c r="G13" i="78" s="1"/>
  <c r="F14" i="49"/>
  <c r="K14" s="1"/>
  <c r="F14" i="50"/>
  <c r="G14" i="78" s="1"/>
  <c r="F15" i="49"/>
  <c r="F15" i="50"/>
  <c r="G15" i="78" s="1"/>
  <c r="F16" i="49"/>
  <c r="F16" i="50"/>
  <c r="G16" i="78" s="1"/>
  <c r="F17" i="49"/>
  <c r="F17" i="50"/>
  <c r="G17" i="78" s="1"/>
  <c r="F18" i="49"/>
  <c r="F18" i="50"/>
  <c r="G18" i="78" s="1"/>
  <c r="F19" i="49"/>
  <c r="F19" i="50"/>
  <c r="G19" i="78" s="1"/>
  <c r="F20" i="49"/>
  <c r="F20" i="50"/>
  <c r="G20" i="78"/>
  <c r="F21" i="49"/>
  <c r="F21" i="50"/>
  <c r="G21" i="78" s="1"/>
  <c r="F22" i="49"/>
  <c r="F22" i="50"/>
  <c r="G22" i="78" s="1"/>
  <c r="F23" i="49"/>
  <c r="G23" s="1"/>
  <c r="F23" i="50"/>
  <c r="G23" i="78" s="1"/>
  <c r="F24" i="49"/>
  <c r="F24" i="50"/>
  <c r="G24" i="78" s="1"/>
  <c r="F25" i="49"/>
  <c r="F25" i="50"/>
  <c r="G25" i="78" s="1"/>
  <c r="F26" i="49"/>
  <c r="K26" s="1"/>
  <c r="F26" i="50"/>
  <c r="G26" i="78" s="1"/>
  <c r="F27" i="49"/>
  <c r="F27" i="50"/>
  <c r="G27" i="78" s="1"/>
  <c r="F28" i="50"/>
  <c r="G28" i="78" s="1"/>
  <c r="F29" i="49"/>
  <c r="G29" s="1"/>
  <c r="F29" i="50"/>
  <c r="G29" i="78" s="1"/>
  <c r="F30" i="49"/>
  <c r="F30" i="50"/>
  <c r="G30" i="78" s="1"/>
  <c r="F31" i="49"/>
  <c r="F31" i="50"/>
  <c r="G31" i="78" s="1"/>
  <c r="F32" i="49"/>
  <c r="F32" i="50"/>
  <c r="G32" i="78" s="1"/>
  <c r="F33" i="49"/>
  <c r="G33" s="1"/>
  <c r="F33" i="50"/>
  <c r="G33" i="78" s="1"/>
  <c r="F34" i="49"/>
  <c r="F34" i="50"/>
  <c r="G34" i="78" s="1"/>
  <c r="F35" i="49"/>
  <c r="F35" i="50"/>
  <c r="G35" i="78" s="1"/>
  <c r="F36" i="50"/>
  <c r="G36" i="78" s="1"/>
  <c r="F37" i="49"/>
  <c r="F37" i="50"/>
  <c r="G37" i="78" s="1"/>
  <c r="F38" i="49"/>
  <c r="F38" i="50"/>
  <c r="G38" i="78" s="1"/>
  <c r="F39" i="50"/>
  <c r="G39" i="78" s="1"/>
  <c r="F40" i="49"/>
  <c r="F40" i="50"/>
  <c r="G40" i="78" s="1"/>
  <c r="F41" i="49"/>
  <c r="F41" i="50"/>
  <c r="G41" i="78" s="1"/>
  <c r="F42" i="49"/>
  <c r="G42" s="1"/>
  <c r="F42" i="50"/>
  <c r="G42" i="78" s="1"/>
  <c r="F43" i="50"/>
  <c r="G43" i="78" s="1"/>
  <c r="F44" i="50"/>
  <c r="G44" i="78" s="1"/>
  <c r="F45" i="49"/>
  <c r="F45" i="50"/>
  <c r="G45" i="78" s="1"/>
  <c r="F46" i="49"/>
  <c r="F46" i="50"/>
  <c r="G46" i="78" s="1"/>
  <c r="F48" i="50"/>
  <c r="G48" i="78" s="1"/>
  <c r="A3" i="88"/>
  <c r="A3" i="49"/>
  <c r="I11"/>
  <c r="I12"/>
  <c r="I13"/>
  <c r="I14"/>
  <c r="K23"/>
  <c r="K47"/>
  <c r="B48"/>
  <c r="C48"/>
  <c r="D48"/>
  <c r="E48"/>
  <c r="B53"/>
  <c r="C53"/>
  <c r="D53"/>
  <c r="E53"/>
  <c r="A5" i="48"/>
  <c r="B11"/>
  <c r="C11" s="1"/>
  <c r="B11" i="50" s="1"/>
  <c r="B12" i="48"/>
  <c r="C12" s="1"/>
  <c r="B12" i="50" s="1"/>
  <c r="B13" i="48"/>
  <c r="C13" s="1"/>
  <c r="B14"/>
  <c r="C14" s="1"/>
  <c r="B14" i="50" s="1"/>
  <c r="B15" i="48"/>
  <c r="C15" s="1"/>
  <c r="B15" i="50" s="1"/>
  <c r="B16" i="48"/>
  <c r="C16" s="1"/>
  <c r="B16" i="50" s="1"/>
  <c r="B17" i="48"/>
  <c r="C17" s="1"/>
  <c r="B17" i="50" s="1"/>
  <c r="B18" i="48"/>
  <c r="C18" s="1"/>
  <c r="B18" i="50" s="1"/>
  <c r="D18" s="1"/>
  <c r="B19" i="48"/>
  <c r="C19" s="1"/>
  <c r="B19" i="50" s="1"/>
  <c r="B20" i="48"/>
  <c r="C20" s="1"/>
  <c r="B20" i="50" s="1"/>
  <c r="B21" i="48"/>
  <c r="C21" s="1"/>
  <c r="B21" i="50" s="1"/>
  <c r="D21" s="1"/>
  <c r="B22" i="48"/>
  <c r="C22" s="1"/>
  <c r="B22" i="50" s="1"/>
  <c r="B23" i="48"/>
  <c r="C23" s="1"/>
  <c r="B23" i="50" s="1"/>
  <c r="B24" i="48"/>
  <c r="C24" s="1"/>
  <c r="B24" i="50" s="1"/>
  <c r="B25" i="48"/>
  <c r="C25" s="1"/>
  <c r="B25" i="50" s="1"/>
  <c r="B26" i="48"/>
  <c r="C26" s="1"/>
  <c r="B26" i="50" s="1"/>
  <c r="D26" s="1"/>
  <c r="B27" i="48"/>
  <c r="C27" s="1"/>
  <c r="B27" i="50" s="1"/>
  <c r="B28" i="48"/>
  <c r="C28" s="1"/>
  <c r="B28" i="50" s="1"/>
  <c r="B29" i="48"/>
  <c r="C29" s="1"/>
  <c r="B29" i="50" s="1"/>
  <c r="B30" i="48"/>
  <c r="C30" s="1"/>
  <c r="B30" i="50" s="1"/>
  <c r="B31" i="48"/>
  <c r="C31" s="1"/>
  <c r="B31" i="50" s="1"/>
  <c r="B32" i="48"/>
  <c r="C32" s="1"/>
  <c r="B32" i="50" s="1"/>
  <c r="D32" s="1"/>
  <c r="B33" i="48"/>
  <c r="C33" s="1"/>
  <c r="B33" i="50" s="1"/>
  <c r="B34" i="48"/>
  <c r="C34" s="1"/>
  <c r="B34" i="50" s="1"/>
  <c r="B35" i="48"/>
  <c r="C35" s="1"/>
  <c r="B35" i="50" s="1"/>
  <c r="B36" i="48"/>
  <c r="C36" s="1"/>
  <c r="B36" i="50" s="1"/>
  <c r="B37" i="48"/>
  <c r="C37" s="1"/>
  <c r="B37" i="50" s="1"/>
  <c r="B38" i="48"/>
  <c r="C38" s="1"/>
  <c r="B38" i="50" s="1"/>
  <c r="B39" i="48"/>
  <c r="C39" s="1"/>
  <c r="B39" i="50" s="1"/>
  <c r="B40" i="48"/>
  <c r="C40" s="1"/>
  <c r="B40" i="50" s="1"/>
  <c r="B41" i="48"/>
  <c r="C41" s="1"/>
  <c r="B41" i="50" s="1"/>
  <c r="B42" i="48"/>
  <c r="C42" s="1"/>
  <c r="B42" i="50" s="1"/>
  <c r="B43" i="48"/>
  <c r="C43" s="1"/>
  <c r="B43" i="50" s="1"/>
  <c r="B44" i="48"/>
  <c r="C44" s="1"/>
  <c r="B44" i="50" s="1"/>
  <c r="B45" i="48"/>
  <c r="C45" s="1"/>
  <c r="B45" i="50" s="1"/>
  <c r="B46" i="48"/>
  <c r="C46" s="1"/>
  <c r="B46" i="50" s="1"/>
  <c r="B48" i="48"/>
  <c r="B50"/>
  <c r="B51"/>
  <c r="C51" s="1"/>
  <c r="B1" i="43"/>
  <c r="B2" i="52" s="1"/>
  <c r="I48" i="41"/>
  <c r="D14" i="40"/>
  <c r="D27"/>
  <c r="D50"/>
  <c r="D27" i="39"/>
  <c r="F27"/>
  <c r="H27"/>
  <c r="D50"/>
  <c r="F50"/>
  <c r="H50"/>
  <c r="J11" i="34"/>
  <c r="J12"/>
  <c r="J13"/>
  <c r="J14"/>
  <c r="J15"/>
  <c r="J16"/>
  <c r="J17"/>
  <c r="J18"/>
  <c r="J19"/>
  <c r="J20"/>
  <c r="J21"/>
  <c r="J22"/>
  <c r="J23"/>
  <c r="J24"/>
  <c r="J25"/>
  <c r="J26"/>
  <c r="J27"/>
  <c r="J28"/>
  <c r="J29"/>
  <c r="J30"/>
  <c r="J31"/>
  <c r="J32"/>
  <c r="J33"/>
  <c r="J34"/>
  <c r="J35"/>
  <c r="J36"/>
  <c r="J37"/>
  <c r="J38"/>
  <c r="J39"/>
  <c r="J40"/>
  <c r="J41"/>
  <c r="J42"/>
  <c r="J43"/>
  <c r="J44"/>
  <c r="J45"/>
  <c r="J46"/>
  <c r="J47"/>
  <c r="J48"/>
  <c r="D23" i="21"/>
  <c r="D16"/>
  <c r="I17"/>
  <c r="D17"/>
  <c r="D19"/>
  <c r="H51" i="23"/>
  <c r="J51" s="1"/>
  <c r="B48" i="16"/>
  <c r="C48"/>
  <c r="D48"/>
  <c r="F48"/>
  <c r="G48"/>
  <c r="D51"/>
  <c r="B3" i="14"/>
  <c r="B3" i="17" s="1"/>
  <c r="A3" i="5"/>
  <c r="B3" i="76" s="1"/>
  <c r="J22" i="22"/>
  <c r="C19" i="21" s="1"/>
  <c r="G27"/>
  <c r="D2" i="22"/>
  <c r="J38" i="23"/>
  <c r="B3" i="19"/>
  <c r="B3" i="8"/>
  <c r="B3" i="9"/>
  <c r="B3" i="7"/>
  <c r="B3" i="10"/>
  <c r="B3" i="11"/>
  <c r="B3" i="82"/>
  <c r="B3" i="28"/>
  <c r="B3" i="35"/>
  <c r="B3" i="36"/>
  <c r="B3" i="38"/>
  <c r="B3" i="54"/>
  <c r="B2" i="44"/>
  <c r="D31" i="50"/>
  <c r="B2" i="81"/>
  <c r="B2" i="47"/>
  <c r="J37" i="23"/>
  <c r="D40"/>
  <c r="E22" i="21" s="1"/>
  <c r="C2" i="23"/>
  <c r="B3" i="18"/>
  <c r="B3" i="20"/>
  <c r="B3" i="86"/>
  <c r="B3" i="25"/>
  <c r="B3" i="26"/>
  <c r="B3" i="27"/>
  <c r="B3" i="29"/>
  <c r="B3" i="34"/>
  <c r="B3" i="37"/>
  <c r="B3" i="39"/>
  <c r="B3" i="40"/>
  <c r="A3" i="41"/>
  <c r="B2" i="45"/>
  <c r="A3" i="33"/>
  <c r="B2" i="51"/>
  <c r="B2" i="46"/>
  <c r="B46" i="23"/>
  <c r="F21" i="21" s="1"/>
  <c r="F49" i="22"/>
  <c r="D22" i="21"/>
  <c r="H22" i="22"/>
  <c r="C18" i="21" s="1"/>
  <c r="J33" i="23"/>
  <c r="J15"/>
  <c r="J48"/>
  <c r="J36"/>
  <c r="K42" i="49"/>
  <c r="C2" i="21" l="1"/>
  <c r="B3" i="15"/>
  <c r="D23" i="50"/>
  <c r="A2" i="42"/>
  <c r="M48" i="2"/>
  <c r="K33" i="49"/>
  <c r="C49" i="84"/>
  <c r="D34" i="50"/>
  <c r="D39"/>
  <c r="D11"/>
  <c r="D16"/>
  <c r="D15"/>
  <c r="D27"/>
  <c r="D35"/>
  <c r="F47" i="84"/>
  <c r="G47" s="1"/>
  <c r="I47" s="1"/>
  <c r="F36"/>
  <c r="G36" s="1"/>
  <c r="F35"/>
  <c r="G35" s="1"/>
  <c r="F28"/>
  <c r="G28" s="1"/>
  <c r="F29" i="85" s="1"/>
  <c r="F25" i="84"/>
  <c r="G25" s="1"/>
  <c r="F18"/>
  <c r="G18" s="1"/>
  <c r="I18" s="1"/>
  <c r="F12"/>
  <c r="G12" s="1"/>
  <c r="B40" i="22"/>
  <c r="E15" i="21" s="1"/>
  <c r="J40" i="22"/>
  <c r="E19" i="21" s="1"/>
  <c r="D40" i="22"/>
  <c r="E16" i="21" s="1"/>
  <c r="J46" i="22"/>
  <c r="F19" i="21" s="1"/>
  <c r="C48" i="89"/>
  <c r="C50" i="85"/>
  <c r="J19" i="23"/>
  <c r="J21"/>
  <c r="J32"/>
  <c r="J35"/>
  <c r="F46"/>
  <c r="F23" i="21" s="1"/>
  <c r="J43" i="23"/>
  <c r="H27" i="21"/>
  <c r="D20" i="50"/>
  <c r="D38"/>
  <c r="D30"/>
  <c r="D14"/>
  <c r="F41" i="84"/>
  <c r="G41" s="1"/>
  <c r="I41" s="1"/>
  <c r="F40" i="22"/>
  <c r="E17" i="21" s="1"/>
  <c r="F46" i="22"/>
  <c r="F17" i="21" s="1"/>
  <c r="D46" i="22"/>
  <c r="F16" i="21" s="1"/>
  <c r="H46" i="22"/>
  <c r="F18" i="21" s="1"/>
  <c r="B22" i="23"/>
  <c r="C21" i="21" s="1"/>
  <c r="F22" i="23"/>
  <c r="C23" i="21" s="1"/>
  <c r="D22" i="23"/>
  <c r="C22" i="21" s="1"/>
  <c r="B40" i="23"/>
  <c r="E21" i="21" s="1"/>
  <c r="F40" i="23"/>
  <c r="E23" i="21" s="1"/>
  <c r="D46" i="23"/>
  <c r="F22" i="21" s="1"/>
  <c r="H49" i="84"/>
  <c r="B49"/>
  <c r="I51" i="89"/>
  <c r="I50"/>
  <c r="J16" i="23"/>
  <c r="J17"/>
  <c r="J18"/>
  <c r="J23"/>
  <c r="J26"/>
  <c r="J28"/>
  <c r="J31"/>
  <c r="J34"/>
  <c r="J39"/>
  <c r="J42"/>
  <c r="J44"/>
  <c r="J45"/>
  <c r="J32" i="49"/>
  <c r="I33" i="78"/>
  <c r="K32" i="49"/>
  <c r="G32"/>
  <c r="J31" s="1"/>
  <c r="J25" i="23"/>
  <c r="D19" i="50"/>
  <c r="D17"/>
  <c r="K24" i="21"/>
  <c r="D22" i="22"/>
  <c r="C16" i="21" s="1"/>
  <c r="B22" i="22"/>
  <c r="C15" i="21" s="1"/>
  <c r="J20" i="23"/>
  <c r="H40" i="22"/>
  <c r="E18" i="21" s="1"/>
  <c r="J27" i="23"/>
  <c r="F43" i="84"/>
  <c r="G43" s="1"/>
  <c r="D41" i="50"/>
  <c r="F39" i="49"/>
  <c r="G39" s="1"/>
  <c r="G48" i="89"/>
  <c r="I23" i="78"/>
  <c r="J22" i="49"/>
  <c r="K18"/>
  <c r="G18"/>
  <c r="K25"/>
  <c r="G25"/>
  <c r="K22"/>
  <c r="G22"/>
  <c r="K20"/>
  <c r="G20"/>
  <c r="J19" s="1"/>
  <c r="G16"/>
  <c r="J15" s="1"/>
  <c r="K16"/>
  <c r="E48" i="89"/>
  <c r="D46" i="50"/>
  <c r="D33"/>
  <c r="D25"/>
  <c r="D22"/>
  <c r="F51" i="84"/>
  <c r="G51" s="1"/>
  <c r="F52" i="85" s="1"/>
  <c r="F45" i="84"/>
  <c r="G45" s="1"/>
  <c r="F44"/>
  <c r="G44" s="1"/>
  <c r="F45" i="85" s="1"/>
  <c r="F40" i="84"/>
  <c r="F39"/>
  <c r="G39" s="1"/>
  <c r="I39" s="1"/>
  <c r="F37"/>
  <c r="G37" s="1"/>
  <c r="F32"/>
  <c r="G32" s="1"/>
  <c r="F24"/>
  <c r="G24" s="1"/>
  <c r="F25" i="85" s="1"/>
  <c r="F23" i="84"/>
  <c r="G23" s="1"/>
  <c r="F22"/>
  <c r="G22" s="1"/>
  <c r="F21"/>
  <c r="G21" s="1"/>
  <c r="B46" i="22"/>
  <c r="I42" i="78"/>
  <c r="J41" i="49"/>
  <c r="J49" i="23"/>
  <c r="J52" s="1"/>
  <c r="H52"/>
  <c r="H54" s="1"/>
  <c r="G30" i="49"/>
  <c r="J29" s="1"/>
  <c r="K30"/>
  <c r="G17"/>
  <c r="K17"/>
  <c r="F44"/>
  <c r="D44" i="50"/>
  <c r="F43" i="49"/>
  <c r="K43" s="1"/>
  <c r="D43" i="50"/>
  <c r="F36" i="49"/>
  <c r="D36" i="50"/>
  <c r="F28" i="49"/>
  <c r="D28" i="50"/>
  <c r="G27" i="49"/>
  <c r="K27"/>
  <c r="G24"/>
  <c r="I24" i="78" s="1"/>
  <c r="K24" i="49"/>
  <c r="G21"/>
  <c r="K21"/>
  <c r="G19"/>
  <c r="J18" s="1"/>
  <c r="K19"/>
  <c r="F12"/>
  <c r="G12" s="1"/>
  <c r="D12" i="50"/>
  <c r="F11" i="49"/>
  <c r="C48" i="50"/>
  <c r="G26" i="49"/>
  <c r="D24" i="50"/>
  <c r="D40"/>
  <c r="I12" i="89"/>
  <c r="B48"/>
  <c r="I46"/>
  <c r="I44"/>
  <c r="I42"/>
  <c r="I40"/>
  <c r="I38"/>
  <c r="I36"/>
  <c r="I34"/>
  <c r="I32"/>
  <c r="I30"/>
  <c r="I28"/>
  <c r="I26"/>
  <c r="I24"/>
  <c r="I22"/>
  <c r="I20"/>
  <c r="I18"/>
  <c r="I16"/>
  <c r="I14"/>
  <c r="H48"/>
  <c r="F48"/>
  <c r="D48"/>
  <c r="M48" i="22"/>
  <c r="I19" i="21"/>
  <c r="I27" s="1"/>
  <c r="I45" i="89"/>
  <c r="I43"/>
  <c r="I41"/>
  <c r="I39"/>
  <c r="I37"/>
  <c r="I35"/>
  <c r="I33"/>
  <c r="I31"/>
  <c r="I29"/>
  <c r="I27"/>
  <c r="I25"/>
  <c r="I23"/>
  <c r="I21"/>
  <c r="I19"/>
  <c r="I17"/>
  <c r="I15"/>
  <c r="I13"/>
  <c r="I11"/>
  <c r="N48" i="2"/>
  <c r="J30" i="23"/>
  <c r="D45" i="50"/>
  <c r="D42"/>
  <c r="D37"/>
  <c r="D29"/>
  <c r="F38" i="84"/>
  <c r="G38" s="1"/>
  <c r="F33"/>
  <c r="G33" s="1"/>
  <c r="F31"/>
  <c r="G31" s="1"/>
  <c r="F26"/>
  <c r="G26" s="1"/>
  <c r="F20"/>
  <c r="G20" s="1"/>
  <c r="B53" i="48"/>
  <c r="F16" i="84"/>
  <c r="G16" s="1"/>
  <c r="F27"/>
  <c r="G27" s="1"/>
  <c r="F17"/>
  <c r="G17" s="1"/>
  <c r="F13"/>
  <c r="G13" s="1"/>
  <c r="G45" i="49"/>
  <c r="J44" s="1"/>
  <c r="K45"/>
  <c r="G40" i="84"/>
  <c r="I40" s="1"/>
  <c r="F30"/>
  <c r="G30" s="1"/>
  <c r="K34" i="49"/>
  <c r="G34"/>
  <c r="G41"/>
  <c r="K41"/>
  <c r="G37"/>
  <c r="K37"/>
  <c r="J28"/>
  <c r="I29" i="78"/>
  <c r="E49" i="84"/>
  <c r="I50" i="85"/>
  <c r="F46" i="84"/>
  <c r="G46" s="1"/>
  <c r="I46" s="1"/>
  <c r="F14"/>
  <c r="G14" s="1"/>
  <c r="D49"/>
  <c r="D50" i="85"/>
  <c r="F42" i="84"/>
  <c r="G42" s="1"/>
  <c r="F34"/>
  <c r="G34" s="1"/>
  <c r="F29"/>
  <c r="G29" s="1"/>
  <c r="F30" i="85" s="1"/>
  <c r="G46" i="49"/>
  <c r="K46"/>
  <c r="G38"/>
  <c r="K38"/>
  <c r="K35"/>
  <c r="G35"/>
  <c r="D27" i="21"/>
  <c r="G40" i="49"/>
  <c r="K40"/>
  <c r="K31"/>
  <c r="G31"/>
  <c r="G15"/>
  <c r="K15"/>
  <c r="G13"/>
  <c r="K13"/>
  <c r="F22" i="22"/>
  <c r="B13" i="50"/>
  <c r="C48" i="48"/>
  <c r="C53" s="1"/>
  <c r="K18" i="21" l="1"/>
  <c r="J51" i="22"/>
  <c r="F54" i="23"/>
  <c r="I26" i="84"/>
  <c r="F27" i="85"/>
  <c r="G43" i="49"/>
  <c r="J42" s="1"/>
  <c r="K21" i="21"/>
  <c r="I27" i="84"/>
  <c r="F28" i="85"/>
  <c r="I32" i="78"/>
  <c r="I19"/>
  <c r="J23" i="49"/>
  <c r="K23" i="21"/>
  <c r="K12" i="49"/>
  <c r="I30" i="78"/>
  <c r="F48" i="85"/>
  <c r="B54" i="23"/>
  <c r="K16" i="21"/>
  <c r="I12" i="84"/>
  <c r="F13" i="85"/>
  <c r="I35" i="84"/>
  <c r="F36" i="85"/>
  <c r="F26"/>
  <c r="I25" i="84"/>
  <c r="K22" i="21"/>
  <c r="E27"/>
  <c r="D51" i="22"/>
  <c r="J40" i="23"/>
  <c r="F19" i="85"/>
  <c r="D54" i="23"/>
  <c r="F49" i="84"/>
  <c r="F42" i="85"/>
  <c r="H51" i="22"/>
  <c r="F41" i="85"/>
  <c r="F48" i="49"/>
  <c r="K48" s="1"/>
  <c r="K39"/>
  <c r="I16" i="78"/>
  <c r="F40" i="85"/>
  <c r="I33" i="84"/>
  <c r="F34" i="85"/>
  <c r="I45" i="84"/>
  <c r="F46" i="85"/>
  <c r="I20" i="78"/>
  <c r="I24" i="84"/>
  <c r="J38" i="49"/>
  <c r="I39" i="78"/>
  <c r="F37" i="85"/>
  <c r="I36" i="84"/>
  <c r="J21" i="49"/>
  <c r="I22" i="78"/>
  <c r="I25"/>
  <c r="J24" i="49"/>
  <c r="J17"/>
  <c r="I18" i="78"/>
  <c r="I23" i="84"/>
  <c r="F24" i="85"/>
  <c r="I37" i="84"/>
  <c r="F38" i="85"/>
  <c r="F23"/>
  <c r="I22" i="84"/>
  <c r="F15" i="21"/>
  <c r="B51" i="22"/>
  <c r="J46" i="23"/>
  <c r="I31" i="84"/>
  <c r="F32" i="85"/>
  <c r="F14"/>
  <c r="I13" i="84"/>
  <c r="J25" i="49"/>
  <c r="I26" i="78"/>
  <c r="G11" i="49"/>
  <c r="K11"/>
  <c r="J20"/>
  <c r="I21" i="78"/>
  <c r="I27"/>
  <c r="J26" i="49"/>
  <c r="G28"/>
  <c r="K28"/>
  <c r="K36"/>
  <c r="G36"/>
  <c r="K44"/>
  <c r="G44"/>
  <c r="I17" i="78"/>
  <c r="J16" i="49"/>
  <c r="F47" i="85"/>
  <c r="I48" i="89"/>
  <c r="K19" i="21"/>
  <c r="I44" i="84"/>
  <c r="I29"/>
  <c r="I28"/>
  <c r="I45" i="78"/>
  <c r="F31" i="85"/>
  <c r="I30" i="84"/>
  <c r="I34"/>
  <c r="F35" i="85"/>
  <c r="I42" i="84"/>
  <c r="F43" i="85"/>
  <c r="I14" i="84"/>
  <c r="F15" i="85"/>
  <c r="F21"/>
  <c r="I20" i="84"/>
  <c r="I38"/>
  <c r="F39" i="85"/>
  <c r="J12" i="49"/>
  <c r="I12" i="78"/>
  <c r="I37"/>
  <c r="J36" i="49"/>
  <c r="J40"/>
  <c r="I41" i="78"/>
  <c r="I17" i="84"/>
  <c r="F18" i="85"/>
  <c r="F33"/>
  <c r="I32" i="84"/>
  <c r="F44" i="85"/>
  <c r="I43" i="84"/>
  <c r="I43" i="78"/>
  <c r="J33" i="49"/>
  <c r="I34" i="78"/>
  <c r="F22" i="85"/>
  <c r="I21" i="84"/>
  <c r="I16"/>
  <c r="F17" i="85"/>
  <c r="J13" i="49"/>
  <c r="I13" i="78"/>
  <c r="I15"/>
  <c r="J14" i="49"/>
  <c r="J39"/>
  <c r="I40" i="78"/>
  <c r="J34" i="49"/>
  <c r="I35" i="78"/>
  <c r="G49" i="84"/>
  <c r="I49" s="1"/>
  <c r="C17" i="21"/>
  <c r="F51" i="22"/>
  <c r="J22" i="23"/>
  <c r="J30" i="49"/>
  <c r="I31" i="78"/>
  <c r="J37" i="49"/>
  <c r="I38" i="78"/>
  <c r="J45" i="49"/>
  <c r="I46" i="78"/>
  <c r="D13" i="50"/>
  <c r="D48" s="1"/>
  <c r="B48"/>
  <c r="G48" i="49" l="1"/>
  <c r="I48" i="78" s="1"/>
  <c r="J54" i="23"/>
  <c r="C30" i="22" s="1"/>
  <c r="F50" i="85"/>
  <c r="F27" i="21"/>
  <c r="K15"/>
  <c r="J43" i="49"/>
  <c r="I44" i="78"/>
  <c r="J35" i="49"/>
  <c r="I36" i="78"/>
  <c r="J27" i="49"/>
  <c r="I28" i="78"/>
  <c r="I11"/>
  <c r="J11" i="49"/>
  <c r="K17" i="21"/>
  <c r="K27" s="1"/>
  <c r="C27"/>
  <c r="E21" i="23" l="1"/>
  <c r="I38" i="22"/>
  <c r="E18"/>
  <c r="G40" i="23"/>
  <c r="C40" i="22"/>
  <c r="I25"/>
  <c r="K46"/>
  <c r="C33"/>
  <c r="E45" i="23"/>
  <c r="G21"/>
  <c r="I32" i="22"/>
  <c r="K17"/>
  <c r="C45"/>
  <c r="K23" i="23"/>
  <c r="N14" s="1"/>
  <c r="G29" i="22"/>
  <c r="G44"/>
  <c r="I43"/>
  <c r="E54" i="23"/>
  <c r="N30" s="1"/>
  <c r="I29" i="22"/>
  <c r="C39" i="23"/>
  <c r="G15" i="22"/>
  <c r="E39"/>
  <c r="K46" i="23"/>
  <c r="N16" s="1"/>
  <c r="G44"/>
  <c r="G22"/>
  <c r="E23"/>
  <c r="E46"/>
  <c r="I15" i="22"/>
  <c r="I31"/>
  <c r="C28" i="23"/>
  <c r="K26"/>
  <c r="G36"/>
  <c r="G17" i="22"/>
  <c r="E28"/>
  <c r="C35" i="23"/>
  <c r="K52"/>
  <c r="I17" i="22"/>
  <c r="I39"/>
  <c r="G25" i="23"/>
  <c r="E16" i="22"/>
  <c r="G35"/>
  <c r="C38" i="23"/>
  <c r="K28"/>
  <c r="C30"/>
  <c r="E32"/>
  <c r="C19"/>
  <c r="G32"/>
  <c r="I26" i="22"/>
  <c r="K42"/>
  <c r="G25"/>
  <c r="E35"/>
  <c r="K34" i="23"/>
  <c r="G45"/>
  <c r="C29" i="22"/>
  <c r="C19"/>
  <c r="E31"/>
  <c r="C37" i="23"/>
  <c r="G54"/>
  <c r="N31" s="1"/>
  <c r="E17"/>
  <c r="G34"/>
  <c r="E16"/>
  <c r="E45" i="22"/>
  <c r="E15"/>
  <c r="K38" i="23"/>
  <c r="G18" i="22"/>
  <c r="K19" i="23"/>
  <c r="K32" i="22"/>
  <c r="G46"/>
  <c r="E33" i="23"/>
  <c r="I23" i="22"/>
  <c r="G51"/>
  <c r="N26" i="23" s="1"/>
  <c r="K34" i="22"/>
  <c r="C42" i="23"/>
  <c r="K38" i="22"/>
  <c r="K16" i="23"/>
  <c r="G42"/>
  <c r="I37" i="22"/>
  <c r="I30"/>
  <c r="E40"/>
  <c r="E28" i="23"/>
  <c r="C38" i="22"/>
  <c r="K19"/>
  <c r="G16" i="23"/>
  <c r="G33" i="22"/>
  <c r="C51"/>
  <c r="N24" i="23" s="1"/>
  <c r="K21" i="22"/>
  <c r="I36"/>
  <c r="K15"/>
  <c r="K43" i="23"/>
  <c r="I42" i="22"/>
  <c r="E29" i="23"/>
  <c r="G19"/>
  <c r="E39"/>
  <c r="K40" i="22"/>
  <c r="K23"/>
  <c r="K42" i="23"/>
  <c r="G27"/>
  <c r="C40"/>
  <c r="I45" i="22"/>
  <c r="G27"/>
  <c r="G42"/>
  <c r="I33"/>
  <c r="K39" i="23"/>
  <c r="E19" i="22"/>
  <c r="K35" i="23"/>
  <c r="G30"/>
  <c r="G17"/>
  <c r="I51" i="22"/>
  <c r="N27" i="23" s="1"/>
  <c r="E30"/>
  <c r="E43"/>
  <c r="E29" i="22"/>
  <c r="C28"/>
  <c r="E26"/>
  <c r="K45"/>
  <c r="G32"/>
  <c r="E22"/>
  <c r="E44"/>
  <c r="E17"/>
  <c r="K28"/>
  <c r="C39"/>
  <c r="C23"/>
  <c r="I51" i="23"/>
  <c r="E38"/>
  <c r="C16"/>
  <c r="G31"/>
  <c r="E40"/>
  <c r="K30" i="22"/>
  <c r="C32"/>
  <c r="K14" i="23"/>
  <c r="G26" i="22"/>
  <c r="I19"/>
  <c r="C16"/>
  <c r="E37"/>
  <c r="G18" i="23"/>
  <c r="C17"/>
  <c r="K20"/>
  <c r="E33" i="22"/>
  <c r="C17"/>
  <c r="E43"/>
  <c r="G43" i="23"/>
  <c r="K22"/>
  <c r="N13" s="1"/>
  <c r="G22" i="22"/>
  <c r="E27"/>
  <c r="K33" i="23"/>
  <c r="K22" i="22"/>
  <c r="G19"/>
  <c r="C36"/>
  <c r="G34"/>
  <c r="K40" i="23"/>
  <c r="N15" s="1"/>
  <c r="C36"/>
  <c r="C23"/>
  <c r="E27"/>
  <c r="G43" i="22"/>
  <c r="K37" i="23"/>
  <c r="C46"/>
  <c r="C15" i="22"/>
  <c r="K36" i="23"/>
  <c r="G16" i="22"/>
  <c r="E18" i="23"/>
  <c r="C34"/>
  <c r="I35" i="22"/>
  <c r="I18"/>
  <c r="C43" i="23"/>
  <c r="K33" i="22"/>
  <c r="E15" i="23"/>
  <c r="K51"/>
  <c r="I46" i="22"/>
  <c r="K37"/>
  <c r="E51"/>
  <c r="N25" i="23" s="1"/>
  <c r="K44"/>
  <c r="G28"/>
  <c r="C54"/>
  <c r="N29" s="1"/>
  <c r="G37" i="22"/>
  <c r="K54" i="23"/>
  <c r="E25"/>
  <c r="I49"/>
  <c r="G29"/>
  <c r="K15"/>
  <c r="C25"/>
  <c r="C26"/>
  <c r="G38" i="22"/>
  <c r="I27"/>
  <c r="K32" i="23"/>
  <c r="E20" i="22"/>
  <c r="I40"/>
  <c r="E42" i="23"/>
  <c r="I28" i="22"/>
  <c r="G40"/>
  <c r="K39"/>
  <c r="C21" i="23"/>
  <c r="C44" i="22"/>
  <c r="C22"/>
  <c r="K45" i="23"/>
  <c r="K31" i="22"/>
  <c r="I52" i="23"/>
  <c r="C46" i="22"/>
  <c r="E22" i="23"/>
  <c r="C42" i="22"/>
  <c r="C21"/>
  <c r="K35"/>
  <c r="E21"/>
  <c r="K25"/>
  <c r="K18" i="23"/>
  <c r="K27" i="22"/>
  <c r="K31" i="23"/>
  <c r="K17"/>
  <c r="G35"/>
  <c r="C26" i="22"/>
  <c r="E36"/>
  <c r="I16"/>
  <c r="G23" i="23"/>
  <c r="C35" i="22"/>
  <c r="C27" i="23"/>
  <c r="K49"/>
  <c r="N17" s="1"/>
  <c r="I54"/>
  <c r="N32" s="1"/>
  <c r="K51" i="22"/>
  <c r="N28" i="23" s="1"/>
  <c r="G21" i="22"/>
  <c r="G30"/>
  <c r="C27"/>
  <c r="E46"/>
  <c r="C18"/>
  <c r="K30" i="23"/>
  <c r="C22"/>
  <c r="E30" i="22"/>
  <c r="E26" i="23"/>
  <c r="C29"/>
  <c r="I44" i="22"/>
  <c r="K29" i="23"/>
  <c r="E32" i="22"/>
  <c r="G33" i="23"/>
  <c r="K29" i="22"/>
  <c r="E44" i="23"/>
  <c r="K26" i="22"/>
  <c r="G28"/>
  <c r="K16"/>
  <c r="G36"/>
  <c r="C33" i="23"/>
  <c r="G23" i="22"/>
  <c r="E31" i="23"/>
  <c r="K21"/>
  <c r="K25"/>
  <c r="G26"/>
  <c r="C44"/>
  <c r="G15"/>
  <c r="K36" i="22"/>
  <c r="K43"/>
  <c r="K18"/>
  <c r="C43"/>
  <c r="C18" i="23"/>
  <c r="E35"/>
  <c r="C37" i="22"/>
  <c r="G31"/>
  <c r="I34"/>
  <c r="C45" i="23"/>
  <c r="G37"/>
  <c r="K27"/>
  <c r="E36"/>
  <c r="C25" i="22"/>
  <c r="E42"/>
  <c r="E25"/>
  <c r="C32" i="23"/>
  <c r="G38"/>
  <c r="E37"/>
  <c r="E19"/>
  <c r="G39" i="22"/>
  <c r="E38"/>
  <c r="K44"/>
  <c r="C31" i="23"/>
  <c r="I21" i="22"/>
  <c r="G46" i="23"/>
  <c r="C31" i="22"/>
  <c r="G45"/>
  <c r="E34" i="23"/>
  <c r="E34" i="22"/>
  <c r="C34"/>
  <c r="G39" i="23"/>
  <c r="I22" i="22"/>
  <c r="E23"/>
  <c r="C15" i="23"/>
  <c r="N18"/>
  <c r="N34" l="1"/>
  <c r="N20"/>
  <c r="H51" i="39" l="1"/>
  <c r="F51"/>
  <c r="D51" i="40"/>
  <c r="D51" i="39"/>
  <c r="J51" i="9"/>
  <c r="G51"/>
  <c r="G50" i="8"/>
  <c r="J50" i="9"/>
  <c r="G50"/>
  <c r="G46"/>
  <c r="J45"/>
  <c r="G45"/>
  <c r="G44" i="8"/>
  <c r="J44" i="9"/>
  <c r="J43"/>
  <c r="G43"/>
  <c r="J42"/>
  <c r="G42"/>
  <c r="G41" i="8"/>
  <c r="J41" i="9"/>
  <c r="G41"/>
  <c r="J39"/>
  <c r="G39"/>
  <c r="G38"/>
  <c r="G37" i="8"/>
  <c r="G37" i="9"/>
  <c r="J36"/>
  <c r="G36"/>
  <c r="G35"/>
  <c r="G34"/>
  <c r="J33"/>
  <c r="G33"/>
  <c r="G32"/>
  <c r="J31"/>
  <c r="G31"/>
  <c r="G30" i="8"/>
  <c r="J30" i="9"/>
  <c r="G30"/>
  <c r="G29" i="8"/>
  <c r="G29" i="9"/>
  <c r="G40"/>
  <c r="G28" i="8"/>
  <c r="J28" i="9"/>
  <c r="G28"/>
  <c r="J27"/>
  <c r="G27"/>
  <c r="G26"/>
  <c r="G25"/>
  <c r="G24"/>
  <c r="J23"/>
  <c r="G23"/>
  <c r="J17"/>
  <c r="G17"/>
  <c r="G22" i="8"/>
  <c r="J22" i="9"/>
  <c r="G22"/>
  <c r="G21" i="8"/>
  <c r="J21" i="9"/>
  <c r="G21"/>
  <c r="J20"/>
  <c r="G20"/>
  <c r="J19"/>
  <c r="G19"/>
  <c r="G18" i="8"/>
  <c r="J18" i="9"/>
  <c r="G18"/>
  <c r="J16"/>
  <c r="G16"/>
  <c r="G15" i="8"/>
  <c r="J15" i="9"/>
  <c r="G15"/>
  <c r="G14" i="8"/>
  <c r="J14" i="9"/>
  <c r="G13"/>
  <c r="J12"/>
  <c r="G12"/>
  <c r="F50" i="46"/>
  <c r="C45" i="15" l="1"/>
  <c r="F45" s="1"/>
  <c r="G45" i="10" s="1"/>
  <c r="E50" i="7"/>
  <c r="G51" i="81"/>
  <c r="C51" i="15"/>
  <c r="F51" s="1"/>
  <c r="E51" i="16" s="1"/>
  <c r="E48" i="51"/>
  <c r="G48"/>
  <c r="C48" i="81"/>
  <c r="E48"/>
  <c r="F11" i="46"/>
  <c r="E48" i="47"/>
  <c r="D48" i="46"/>
  <c r="B48" i="52"/>
  <c r="D48"/>
  <c r="G48" i="14"/>
  <c r="G12" i="81"/>
  <c r="C12" i="15"/>
  <c r="F12" s="1"/>
  <c r="E13" i="7"/>
  <c r="G14" i="81"/>
  <c r="C14" i="15"/>
  <c r="F14" s="1"/>
  <c r="F15" i="46"/>
  <c r="E15" i="7"/>
  <c r="G16" i="81"/>
  <c r="C16" i="15"/>
  <c r="F16" s="1"/>
  <c r="F18" i="46"/>
  <c r="E18" i="7"/>
  <c r="G19" i="81"/>
  <c r="C19" i="15"/>
  <c r="F19" s="1"/>
  <c r="F20" i="46"/>
  <c r="E20" i="7"/>
  <c r="F20" s="1"/>
  <c r="G21" i="81"/>
  <c r="C21" i="15"/>
  <c r="F21" s="1"/>
  <c r="E21" i="16" s="1"/>
  <c r="F22" i="46"/>
  <c r="E22" i="7"/>
  <c r="H22" s="1"/>
  <c r="G17" i="81"/>
  <c r="C17" i="15"/>
  <c r="F17" s="1"/>
  <c r="F23" i="46"/>
  <c r="C23" i="15"/>
  <c r="F23" s="1"/>
  <c r="F24" i="46"/>
  <c r="E24" i="7"/>
  <c r="G25" i="81"/>
  <c r="C25" i="15"/>
  <c r="F25" s="1"/>
  <c r="E25" i="16" s="1"/>
  <c r="E26" i="7"/>
  <c r="H26" s="1"/>
  <c r="G27" i="81"/>
  <c r="C27" i="15"/>
  <c r="F27" s="1"/>
  <c r="E27" i="16" s="1"/>
  <c r="E28" i="7"/>
  <c r="G40" i="81"/>
  <c r="C40" i="15"/>
  <c r="F40" s="1"/>
  <c r="E29" i="7"/>
  <c r="G30" i="81"/>
  <c r="C30" i="15"/>
  <c r="F30" s="1"/>
  <c r="F31" i="46"/>
  <c r="E31" i="7"/>
  <c r="G32" i="81"/>
  <c r="C32" i="15"/>
  <c r="F32" s="1"/>
  <c r="F33" i="46"/>
  <c r="E33" i="7"/>
  <c r="G34" i="81"/>
  <c r="C34" i="15"/>
  <c r="F34" s="1"/>
  <c r="F35" i="46"/>
  <c r="E35" i="7"/>
  <c r="E36"/>
  <c r="G37" i="81"/>
  <c r="C37" i="15"/>
  <c r="F37" s="1"/>
  <c r="F38" i="46"/>
  <c r="E38" i="7"/>
  <c r="E39"/>
  <c r="F41" i="46"/>
  <c r="E41" i="7"/>
  <c r="G42" i="81"/>
  <c r="C42" i="15"/>
  <c r="F42" s="1"/>
  <c r="F43" i="46"/>
  <c r="E43" i="7"/>
  <c r="F45" i="46"/>
  <c r="G51" i="54"/>
  <c r="D51" i="9"/>
  <c r="J51" i="26"/>
  <c r="B27" i="76"/>
  <c r="D27" i="27"/>
  <c r="D27" i="76" s="1"/>
  <c r="B12"/>
  <c r="D12" i="27"/>
  <c r="D12" i="76" s="1"/>
  <c r="B23" i="39"/>
  <c r="F23" s="1"/>
  <c r="B38" i="20"/>
  <c r="J37" i="10"/>
  <c r="J45"/>
  <c r="B50" i="18"/>
  <c r="D50" i="9"/>
  <c r="B50" i="39"/>
  <c r="D51" i="10"/>
  <c r="D40"/>
  <c r="D30"/>
  <c r="H22" i="18"/>
  <c r="G30" i="10"/>
  <c r="B11" i="76"/>
  <c r="B27" i="39"/>
  <c r="F50" i="45"/>
  <c r="F42" i="11"/>
  <c r="B16" i="39"/>
  <c r="F16" s="1"/>
  <c r="G23" i="26"/>
  <c r="C48" i="14"/>
  <c r="G11" i="9"/>
  <c r="E11" i="7"/>
  <c r="B48" i="15"/>
  <c r="S13" i="2" s="1"/>
  <c r="G11" i="8"/>
  <c r="C48" i="40"/>
  <c r="G48" i="39"/>
  <c r="E12" i="41"/>
  <c r="E12" i="16"/>
  <c r="F13" i="7"/>
  <c r="H13"/>
  <c r="I13"/>
  <c r="G13"/>
  <c r="E14" i="41"/>
  <c r="E14" i="16"/>
  <c r="H15" i="7"/>
  <c r="D15"/>
  <c r="F15"/>
  <c r="I15"/>
  <c r="G15"/>
  <c r="E16" i="16"/>
  <c r="E16" i="41"/>
  <c r="H18" i="7"/>
  <c r="D18"/>
  <c r="I18"/>
  <c r="F18"/>
  <c r="G18"/>
  <c r="J19" i="10"/>
  <c r="E19" i="41"/>
  <c r="E19" i="16"/>
  <c r="H20" i="7"/>
  <c r="D20"/>
  <c r="E21" i="41"/>
  <c r="F22" i="7"/>
  <c r="G22"/>
  <c r="E17" i="41"/>
  <c r="E17" i="16"/>
  <c r="E23"/>
  <c r="E23" i="41"/>
  <c r="H24" i="7"/>
  <c r="I24"/>
  <c r="G24"/>
  <c r="F24"/>
  <c r="E25" i="41"/>
  <c r="F26" i="7"/>
  <c r="G26"/>
  <c r="E27" i="41"/>
  <c r="H28" i="7"/>
  <c r="I28"/>
  <c r="D28"/>
  <c r="F28"/>
  <c r="G28"/>
  <c r="E40" i="16"/>
  <c r="E40" i="41"/>
  <c r="G29" i="7"/>
  <c r="F29"/>
  <c r="H29"/>
  <c r="I29"/>
  <c r="E30" i="16"/>
  <c r="E30" i="41"/>
  <c r="H31" i="7"/>
  <c r="G31"/>
  <c r="F31"/>
  <c r="I31"/>
  <c r="E32" i="16"/>
  <c r="E32" i="41"/>
  <c r="F33" i="7"/>
  <c r="G33"/>
  <c r="I33"/>
  <c r="H33"/>
  <c r="E34" i="16"/>
  <c r="E34" i="41"/>
  <c r="F35" i="7"/>
  <c r="G35"/>
  <c r="H35"/>
  <c r="I35"/>
  <c r="H36"/>
  <c r="F36"/>
  <c r="I36"/>
  <c r="G36"/>
  <c r="D36"/>
  <c r="E37" i="16"/>
  <c r="E37" i="41"/>
  <c r="F38" i="7"/>
  <c r="I38"/>
  <c r="H38"/>
  <c r="G38"/>
  <c r="D38"/>
  <c r="D39"/>
  <c r="G39"/>
  <c r="F39"/>
  <c r="H39"/>
  <c r="I39"/>
  <c r="I41"/>
  <c r="F41"/>
  <c r="G41"/>
  <c r="H41"/>
  <c r="E42" i="41"/>
  <c r="E42" i="16"/>
  <c r="G43" i="7"/>
  <c r="D43"/>
  <c r="I43"/>
  <c r="H43"/>
  <c r="F43"/>
  <c r="D48" i="38"/>
  <c r="G13" i="8"/>
  <c r="D16" i="39"/>
  <c r="D23"/>
  <c r="F39" i="46"/>
  <c r="E45" i="7"/>
  <c r="G46" i="81"/>
  <c r="G50"/>
  <c r="F50" i="52" s="1"/>
  <c r="B50" i="43" s="1"/>
  <c r="F50" s="1"/>
  <c r="H50" s="1"/>
  <c r="I50" i="45" s="1"/>
  <c r="I50" i="43" s="1"/>
  <c r="B50" i="42" s="1"/>
  <c r="C50" i="15"/>
  <c r="F50" s="1"/>
  <c r="F51" i="46"/>
  <c r="E51" i="7"/>
  <c r="G50" i="10"/>
  <c r="D37"/>
  <c r="B38" i="40"/>
  <c r="D38" s="1"/>
  <c r="D51" i="26"/>
  <c r="F50" i="11"/>
  <c r="F23"/>
  <c r="B38" i="39"/>
  <c r="F38" s="1"/>
  <c r="G40" i="10"/>
  <c r="G37"/>
  <c r="B18" i="76"/>
  <c r="B38"/>
  <c r="B34"/>
  <c r="D34" i="27"/>
  <c r="D34" i="76" s="1"/>
  <c r="B50"/>
  <c r="D50" i="27"/>
  <c r="D50" i="76" s="1"/>
  <c r="B43" i="39"/>
  <c r="F43" s="1"/>
  <c r="B39"/>
  <c r="D39" s="1"/>
  <c r="J21" i="26"/>
  <c r="G11" i="81"/>
  <c r="C11" i="15"/>
  <c r="B48" i="14"/>
  <c r="D48"/>
  <c r="J11" i="9"/>
  <c r="C48" i="39"/>
  <c r="E48"/>
  <c r="G43" i="81"/>
  <c r="C48" i="51"/>
  <c r="E44" i="7"/>
  <c r="D45" i="10"/>
  <c r="E45" i="16"/>
  <c r="B48" i="47"/>
  <c r="E46" i="7"/>
  <c r="G50"/>
  <c r="I50"/>
  <c r="F50"/>
  <c r="H50"/>
  <c r="D50"/>
  <c r="I50" i="44"/>
  <c r="F50" i="42" s="1"/>
  <c r="G50" i="44"/>
  <c r="E50" i="42" s="1"/>
  <c r="B48" i="33"/>
  <c r="D48" i="51"/>
  <c r="F48"/>
  <c r="B48" i="81"/>
  <c r="D48"/>
  <c r="F48"/>
  <c r="D48" i="47"/>
  <c r="F48"/>
  <c r="B48" i="46"/>
  <c r="C48"/>
  <c r="C48" i="52"/>
  <c r="D48" i="43"/>
  <c r="F48" i="14"/>
  <c r="H48"/>
  <c r="E12" i="7"/>
  <c r="G13" i="81"/>
  <c r="C13" i="15"/>
  <c r="F13" s="1"/>
  <c r="F14" i="46"/>
  <c r="E14" i="7"/>
  <c r="G15" i="81"/>
  <c r="C15" i="15"/>
  <c r="F15" s="1"/>
  <c r="F16" i="46"/>
  <c r="E16" i="7"/>
  <c r="H16" i="39"/>
  <c r="G18" i="81"/>
  <c r="C18" i="15"/>
  <c r="F18" s="1"/>
  <c r="F19" i="46"/>
  <c r="E19" i="7"/>
  <c r="G20" i="81"/>
  <c r="C20" i="15"/>
  <c r="F20" s="1"/>
  <c r="E21" i="7"/>
  <c r="G22" i="81"/>
  <c r="C22" i="15"/>
  <c r="F22" s="1"/>
  <c r="F17" i="46"/>
  <c r="F17" i="52" s="1"/>
  <c r="B17" i="43" s="1"/>
  <c r="F17" s="1"/>
  <c r="E17" i="7"/>
  <c r="G23" i="81"/>
  <c r="E23" i="7"/>
  <c r="H23" i="39"/>
  <c r="G24" i="81"/>
  <c r="C24" i="15"/>
  <c r="F24" s="1"/>
  <c r="F25" i="46"/>
  <c r="F25" i="52" s="1"/>
  <c r="B25" i="43" s="1"/>
  <c r="E25" i="7"/>
  <c r="G26" i="81"/>
  <c r="C26" i="15"/>
  <c r="F26" s="1"/>
  <c r="F27" i="46"/>
  <c r="F27" i="52" s="1"/>
  <c r="B27" i="43" s="1"/>
  <c r="F27" s="1"/>
  <c r="E27" i="7"/>
  <c r="G28" i="81"/>
  <c r="C28" i="15"/>
  <c r="F28" s="1"/>
  <c r="F40" i="46"/>
  <c r="F40" i="52" s="1"/>
  <c r="B40" i="43" s="1"/>
  <c r="F40" s="1"/>
  <c r="E40" i="7"/>
  <c r="G40" i="8"/>
  <c r="G29" i="81"/>
  <c r="C29" i="15"/>
  <c r="E30" i="7"/>
  <c r="G31" i="81"/>
  <c r="C31" i="15"/>
  <c r="F31" s="1"/>
  <c r="E32" i="7"/>
  <c r="G32" i="8"/>
  <c r="G33" i="81"/>
  <c r="C33" i="15"/>
  <c r="F33" s="1"/>
  <c r="F34" i="46"/>
  <c r="F34" i="52" s="1"/>
  <c r="B34" i="43" s="1"/>
  <c r="F34" s="1"/>
  <c r="H34" s="1"/>
  <c r="E34" i="7"/>
  <c r="G35" i="81"/>
  <c r="C35" i="15"/>
  <c r="F35" s="1"/>
  <c r="G36" i="81"/>
  <c r="C36" i="15"/>
  <c r="E37" i="7"/>
  <c r="G38" i="81"/>
  <c r="C38" i="15"/>
  <c r="F38" s="1"/>
  <c r="J38" i="9"/>
  <c r="G39" i="81"/>
  <c r="C39" i="15"/>
  <c r="F39" s="1"/>
  <c r="F39" i="39"/>
  <c r="G41" i="81"/>
  <c r="C41" i="15"/>
  <c r="F41" s="1"/>
  <c r="E42" i="7"/>
  <c r="C43" i="15"/>
  <c r="F43" s="1"/>
  <c r="D43" i="10" s="1"/>
  <c r="D43" i="39"/>
  <c r="F44" i="46"/>
  <c r="G45" i="81"/>
  <c r="F28" i="46"/>
  <c r="F29"/>
  <c r="J26" i="9"/>
  <c r="D22" i="7"/>
  <c r="D24"/>
  <c r="G45" i="8"/>
  <c r="B27" i="40"/>
  <c r="G31" i="8"/>
  <c r="F42" i="46"/>
  <c r="E43" i="78"/>
  <c r="F21" i="46"/>
  <c r="E28" i="78"/>
  <c r="E25"/>
  <c r="D31" i="7"/>
  <c r="E24" i="78"/>
  <c r="G46" i="8"/>
  <c r="J13" i="9"/>
  <c r="D35" i="7"/>
  <c r="G26" i="8"/>
  <c r="E30" i="78"/>
  <c r="T13" i="2"/>
  <c r="F13" i="46"/>
  <c r="F13" i="52" s="1"/>
  <c r="B13" i="43" s="1"/>
  <c r="F13" s="1"/>
  <c r="E22" i="78"/>
  <c r="E46"/>
  <c r="E17"/>
  <c r="E27"/>
  <c r="E40"/>
  <c r="E26"/>
  <c r="E31"/>
  <c r="E35"/>
  <c r="E29"/>
  <c r="E37"/>
  <c r="E15"/>
  <c r="F16" i="52" l="1"/>
  <c r="B16" i="43" s="1"/>
  <c r="F18" i="52"/>
  <c r="B18" i="43" s="1"/>
  <c r="F51" i="52"/>
  <c r="B51" i="43" s="1"/>
  <c r="F51" s="1"/>
  <c r="H51" s="1"/>
  <c r="D51" i="19"/>
  <c r="J21" i="10"/>
  <c r="D38" i="39"/>
  <c r="F19" i="52"/>
  <c r="B19" i="43" s="1"/>
  <c r="F19" s="1"/>
  <c r="H19" s="1"/>
  <c r="E50" i="45"/>
  <c r="H50" i="42" s="1"/>
  <c r="C50" i="45"/>
  <c r="G50" i="42" s="1"/>
  <c r="E45" i="41"/>
  <c r="F27" i="11"/>
  <c r="I26" i="7"/>
  <c r="I22"/>
  <c r="G20"/>
  <c r="I20"/>
  <c r="F46" i="46"/>
  <c r="H13" i="43"/>
  <c r="C48"/>
  <c r="A53" i="44" s="1"/>
  <c r="F39" i="52"/>
  <c r="B39" i="43" s="1"/>
  <c r="F39" s="1"/>
  <c r="H39" s="1"/>
  <c r="J48" i="2"/>
  <c r="J55" s="1"/>
  <c r="F38" i="52"/>
  <c r="B38" i="43" s="1"/>
  <c r="F37" i="46"/>
  <c r="F37" i="52" s="1"/>
  <c r="B37" i="43" s="1"/>
  <c r="F37" s="1"/>
  <c r="H37" s="1"/>
  <c r="H27"/>
  <c r="F22" i="52"/>
  <c r="B22" i="43" s="1"/>
  <c r="F22" s="1"/>
  <c r="C48" i="47"/>
  <c r="A54" s="1"/>
  <c r="F14" i="52"/>
  <c r="B14" i="43" s="1"/>
  <c r="F14" s="1"/>
  <c r="H14" s="1"/>
  <c r="F21" i="45"/>
  <c r="H40" i="43"/>
  <c r="F32" i="46"/>
  <c r="F32" i="52" s="1"/>
  <c r="B32" i="43" s="1"/>
  <c r="F32" s="1"/>
  <c r="H32" s="1"/>
  <c r="F25"/>
  <c r="H25" s="1"/>
  <c r="H48" i="26"/>
  <c r="D21" i="10"/>
  <c r="E21" i="18"/>
  <c r="D31" i="54"/>
  <c r="D28" i="10"/>
  <c r="D26" i="27"/>
  <c r="D26" i="76" s="1"/>
  <c r="B26"/>
  <c r="E26" s="1"/>
  <c r="G26" s="1"/>
  <c r="D24" i="10"/>
  <c r="E24" i="18"/>
  <c r="D13" i="54"/>
  <c r="G28"/>
  <c r="J37"/>
  <c r="J28"/>
  <c r="D17"/>
  <c r="G23"/>
  <c r="J12"/>
  <c r="D26" i="10"/>
  <c r="E50" i="76"/>
  <c r="D50" i="54"/>
  <c r="E36" i="18"/>
  <c r="G42" i="8"/>
  <c r="J23" i="54"/>
  <c r="J51"/>
  <c r="D22"/>
  <c r="D30"/>
  <c r="J45"/>
  <c r="J43"/>
  <c r="J35"/>
  <c r="J31"/>
  <c r="J24"/>
  <c r="J17"/>
  <c r="J21"/>
  <c r="D28"/>
  <c r="J14"/>
  <c r="G43"/>
  <c r="G38"/>
  <c r="G51" i="10"/>
  <c r="D42"/>
  <c r="D17"/>
  <c r="E15" i="18"/>
  <c r="D15" i="10"/>
  <c r="D51" i="54"/>
  <c r="D35"/>
  <c r="B44" i="76"/>
  <c r="G31" i="54"/>
  <c r="G20"/>
  <c r="D23" i="10"/>
  <c r="G34" i="54"/>
  <c r="D39"/>
  <c r="G22"/>
  <c r="G16" i="29"/>
  <c r="G37"/>
  <c r="J20" i="54"/>
  <c r="E11" i="18"/>
  <c r="G16" i="54"/>
  <c r="E32" i="18"/>
  <c r="D32" i="10"/>
  <c r="J40" i="54"/>
  <c r="G22" i="10"/>
  <c r="I19" i="11"/>
  <c r="E41" i="18"/>
  <c r="D41" i="10"/>
  <c r="J50" i="28"/>
  <c r="J31"/>
  <c r="J21"/>
  <c r="J35"/>
  <c r="J20"/>
  <c r="J30"/>
  <c r="J22"/>
  <c r="J19"/>
  <c r="J13"/>
  <c r="D23"/>
  <c r="D41" i="29"/>
  <c r="D31"/>
  <c r="D16"/>
  <c r="D50" i="86"/>
  <c r="D37"/>
  <c r="D23"/>
  <c r="D12"/>
  <c r="D30" i="29"/>
  <c r="D20"/>
  <c r="D40" i="86"/>
  <c r="D32"/>
  <c r="D24"/>
  <c r="D20"/>
  <c r="H41" i="18"/>
  <c r="J50" i="54"/>
  <c r="B50" i="41"/>
  <c r="B21"/>
  <c r="D38" i="54"/>
  <c r="E38" i="76"/>
  <c r="F23" i="41"/>
  <c r="G23" s="1"/>
  <c r="B27"/>
  <c r="B11"/>
  <c r="F30"/>
  <c r="G30" s="1"/>
  <c r="F26"/>
  <c r="G26" s="1"/>
  <c r="F50"/>
  <c r="F44"/>
  <c r="G44" s="1"/>
  <c r="B41"/>
  <c r="B37"/>
  <c r="B36"/>
  <c r="B34"/>
  <c r="B26"/>
  <c r="B25"/>
  <c r="B23"/>
  <c r="B17"/>
  <c r="B16"/>
  <c r="B15"/>
  <c r="B13"/>
  <c r="B12"/>
  <c r="D26" i="54"/>
  <c r="G41"/>
  <c r="G27"/>
  <c r="J25"/>
  <c r="G21"/>
  <c r="J19"/>
  <c r="G15"/>
  <c r="G13"/>
  <c r="F42" i="41"/>
  <c r="G42" s="1"/>
  <c r="E12" i="76"/>
  <c r="D12" i="54"/>
  <c r="G24"/>
  <c r="D25" i="28"/>
  <c r="D24"/>
  <c r="G15"/>
  <c r="D27"/>
  <c r="D43" i="54"/>
  <c r="D40"/>
  <c r="D17" i="86"/>
  <c r="I23" i="11"/>
  <c r="I41"/>
  <c r="I39"/>
  <c r="I37"/>
  <c r="I35"/>
  <c r="I33"/>
  <c r="I30"/>
  <c r="I28"/>
  <c r="I26"/>
  <c r="I24"/>
  <c r="I21"/>
  <c r="I18"/>
  <c r="I16"/>
  <c r="I14"/>
  <c r="I12"/>
  <c r="J25" i="28"/>
  <c r="J16" i="54"/>
  <c r="I42" i="11"/>
  <c r="I43"/>
  <c r="D16" i="28"/>
  <c r="L11" i="2"/>
  <c r="B20" i="76"/>
  <c r="D20" i="27"/>
  <c r="D20" i="76" s="1"/>
  <c r="D38" i="28"/>
  <c r="D33"/>
  <c r="D13"/>
  <c r="D51"/>
  <c r="D18"/>
  <c r="G26" i="54"/>
  <c r="B50" i="19"/>
  <c r="J50" i="26"/>
  <c r="D33" i="7"/>
  <c r="D41"/>
  <c r="D13" i="9"/>
  <c r="D28"/>
  <c r="D36"/>
  <c r="D46"/>
  <c r="G25" i="8"/>
  <c r="G33"/>
  <c r="B11" i="18"/>
  <c r="D11" i="8"/>
  <c r="D14"/>
  <c r="B14" i="18"/>
  <c r="B18"/>
  <c r="D18" i="8"/>
  <c r="B22" i="18"/>
  <c r="D22" i="8"/>
  <c r="D27"/>
  <c r="B27" i="18"/>
  <c r="D32" i="8"/>
  <c r="B32" i="18"/>
  <c r="B36"/>
  <c r="D36" i="8"/>
  <c r="B40" i="18"/>
  <c r="D40" i="8"/>
  <c r="D45"/>
  <c r="B45" i="18"/>
  <c r="B11" i="19"/>
  <c r="B48" i="25"/>
  <c r="D50" i="28"/>
  <c r="F46" i="45"/>
  <c r="H16" i="18"/>
  <c r="H51"/>
  <c r="D15" i="28"/>
  <c r="D31" i="26"/>
  <c r="G15" i="10"/>
  <c r="J51"/>
  <c r="C48" i="88"/>
  <c r="H14" i="18"/>
  <c r="D39" i="28"/>
  <c r="G40" i="54"/>
  <c r="D22" i="27"/>
  <c r="D22" i="76" s="1"/>
  <c r="B22"/>
  <c r="E22" s="1"/>
  <c r="D16" i="27"/>
  <c r="D16" i="76" s="1"/>
  <c r="B16"/>
  <c r="E16" s="1"/>
  <c r="B16" i="19"/>
  <c r="J16" i="10"/>
  <c r="B15" i="19"/>
  <c r="D15" i="8"/>
  <c r="B15" i="18"/>
  <c r="B14" i="40"/>
  <c r="F14" i="11"/>
  <c r="H13" i="18"/>
  <c r="B51" i="76"/>
  <c r="E51" s="1"/>
  <c r="D51" i="27"/>
  <c r="D51" i="76" s="1"/>
  <c r="G51" i="8"/>
  <c r="D37" i="28"/>
  <c r="F19" i="45"/>
  <c r="G32" i="54"/>
  <c r="J27"/>
  <c r="G33" i="28"/>
  <c r="D36"/>
  <c r="G26"/>
  <c r="D20"/>
  <c r="D32"/>
  <c r="D40"/>
  <c r="D29"/>
  <c r="G40" i="29"/>
  <c r="G31" i="28"/>
  <c r="L34" i="2"/>
  <c r="C34" i="5" s="1"/>
  <c r="L50" i="2"/>
  <c r="C50" i="5" s="1"/>
  <c r="L51" i="2"/>
  <c r="C51" i="5" s="1"/>
  <c r="D48" i="88"/>
  <c r="E40" i="18"/>
  <c r="L19" i="2"/>
  <c r="C19" i="5" s="1"/>
  <c r="B29" i="19"/>
  <c r="F42" i="52"/>
  <c r="B42" i="43" s="1"/>
  <c r="F42" s="1"/>
  <c r="H42" s="1"/>
  <c r="L12" i="2"/>
  <c r="C12" i="5" s="1"/>
  <c r="L30" i="2"/>
  <c r="C30" i="5" s="1"/>
  <c r="D18" i="86"/>
  <c r="G12" i="54"/>
  <c r="D42"/>
  <c r="D42" i="9"/>
  <c r="D18" i="54"/>
  <c r="E18" i="76"/>
  <c r="G20" i="8"/>
  <c r="J15" i="54"/>
  <c r="J34"/>
  <c r="D24"/>
  <c r="D37"/>
  <c r="G17"/>
  <c r="G41" i="10"/>
  <c r="D35"/>
  <c r="D14"/>
  <c r="D33" i="54"/>
  <c r="D12" i="9"/>
  <c r="D15" i="54"/>
  <c r="H38" i="18"/>
  <c r="B30" i="19"/>
  <c r="D21" i="54"/>
  <c r="D33" i="10"/>
  <c r="E33" i="18"/>
  <c r="D27" i="10"/>
  <c r="G30" i="54"/>
  <c r="G33"/>
  <c r="D12" i="10"/>
  <c r="D39"/>
  <c r="D19"/>
  <c r="E19" i="18"/>
  <c r="J42" i="54"/>
  <c r="G32" i="10"/>
  <c r="D16"/>
  <c r="J41" i="54"/>
  <c r="J38"/>
  <c r="D45"/>
  <c r="G31" i="10"/>
  <c r="D31"/>
  <c r="J50"/>
  <c r="G21"/>
  <c r="I38" i="11"/>
  <c r="E50" i="18"/>
  <c r="D50" i="10"/>
  <c r="E44" i="18"/>
  <c r="I45" i="11"/>
  <c r="J28" i="28"/>
  <c r="J41"/>
  <c r="J27"/>
  <c r="J33"/>
  <c r="J26"/>
  <c r="J15"/>
  <c r="D19" i="86"/>
  <c r="D37" i="29"/>
  <c r="D23"/>
  <c r="D12"/>
  <c r="D41" i="86"/>
  <c r="D33"/>
  <c r="D21"/>
  <c r="D32" i="29"/>
  <c r="D28"/>
  <c r="D30" i="86"/>
  <c r="D22"/>
  <c r="D15"/>
  <c r="G50" i="54"/>
  <c r="H29" i="18"/>
  <c r="B32" i="41"/>
  <c r="B20"/>
  <c r="F28"/>
  <c r="G28" s="1"/>
  <c r="F14"/>
  <c r="G14" s="1"/>
  <c r="F41"/>
  <c r="G41" s="1"/>
  <c r="F27"/>
  <c r="G27" s="1"/>
  <c r="F13"/>
  <c r="G13" s="1"/>
  <c r="F21"/>
  <c r="G21" s="1"/>
  <c r="G45" i="54"/>
  <c r="G39"/>
  <c r="G37"/>
  <c r="G35"/>
  <c r="J33"/>
  <c r="G25"/>
  <c r="G19"/>
  <c r="J13"/>
  <c r="F51" i="41"/>
  <c r="F35"/>
  <c r="G35" s="1"/>
  <c r="F34"/>
  <c r="G34" s="1"/>
  <c r="E51" i="20"/>
  <c r="D16" i="54"/>
  <c r="J39"/>
  <c r="J30"/>
  <c r="E48" i="2"/>
  <c r="G42" i="54"/>
  <c r="D41" i="28"/>
  <c r="G18"/>
  <c r="F48" i="2"/>
  <c r="F31" i="11"/>
  <c r="I40"/>
  <c r="I34"/>
  <c r="I32"/>
  <c r="I27"/>
  <c r="I25"/>
  <c r="I22"/>
  <c r="I15"/>
  <c r="I13"/>
  <c r="J43" i="28"/>
  <c r="D24" i="29"/>
  <c r="D13" i="86"/>
  <c r="I31" i="11"/>
  <c r="D33" i="29"/>
  <c r="D22" i="28"/>
  <c r="B16" i="20"/>
  <c r="G14" i="54"/>
  <c r="F33" i="41"/>
  <c r="G33" s="1"/>
  <c r="B51"/>
  <c r="C51" s="1"/>
  <c r="G22" i="29"/>
  <c r="B23" i="76"/>
  <c r="D23" i="27"/>
  <c r="D23" i="76" s="1"/>
  <c r="G24" i="28"/>
  <c r="D35"/>
  <c r="D34"/>
  <c r="G25"/>
  <c r="G12"/>
  <c r="G16"/>
  <c r="D28"/>
  <c r="G28" i="19"/>
  <c r="D50"/>
  <c r="D50" i="26"/>
  <c r="B50" i="20"/>
  <c r="J37" i="9"/>
  <c r="D18"/>
  <c r="D24"/>
  <c r="D32"/>
  <c r="D40"/>
  <c r="G27" i="8"/>
  <c r="G35"/>
  <c r="G43"/>
  <c r="D12"/>
  <c r="D16"/>
  <c r="B16" i="18"/>
  <c r="D19" i="8"/>
  <c r="B19" i="18"/>
  <c r="D25" i="8"/>
  <c r="B25" i="18"/>
  <c r="D29" i="8"/>
  <c r="B29" i="18"/>
  <c r="D34" i="8"/>
  <c r="B34" i="18"/>
  <c r="B38"/>
  <c r="D38" i="8"/>
  <c r="D43"/>
  <c r="B43" i="18"/>
  <c r="G14" i="9"/>
  <c r="B51" i="19"/>
  <c r="G51" i="28"/>
  <c r="B31" i="39"/>
  <c r="B31" i="19"/>
  <c r="D14" i="54"/>
  <c r="B51" i="39"/>
  <c r="I51" i="11"/>
  <c r="D48" i="25"/>
  <c r="D17" i="28"/>
  <c r="G13"/>
  <c r="G18" i="54"/>
  <c r="B16" i="40"/>
  <c r="D16" s="1"/>
  <c r="G16" i="26"/>
  <c r="F16" i="11"/>
  <c r="F51" i="19"/>
  <c r="G28" i="29"/>
  <c r="E18" i="18"/>
  <c r="D18" i="10"/>
  <c r="F15" i="45"/>
  <c r="F13"/>
  <c r="I20" i="11"/>
  <c r="G17" i="8"/>
  <c r="G34"/>
  <c r="G38"/>
  <c r="D42" i="28"/>
  <c r="B11" i="39"/>
  <c r="B22" i="20"/>
  <c r="B26"/>
  <c r="B30"/>
  <c r="B35"/>
  <c r="B39"/>
  <c r="B43"/>
  <c r="B15" i="39"/>
  <c r="B19"/>
  <c r="B28"/>
  <c r="B36"/>
  <c r="B44"/>
  <c r="B24" i="40"/>
  <c r="D24" s="1"/>
  <c r="B40"/>
  <c r="D40" s="1"/>
  <c r="G20" i="26"/>
  <c r="G30"/>
  <c r="G38"/>
  <c r="D13" i="7"/>
  <c r="J25" i="9"/>
  <c r="J35"/>
  <c r="D16"/>
  <c r="D34"/>
  <c r="G24" i="8"/>
  <c r="D24"/>
  <c r="B24" i="18"/>
  <c r="B33"/>
  <c r="D33" i="8"/>
  <c r="D41"/>
  <c r="B41" i="18"/>
  <c r="G50" i="26"/>
  <c r="H11" i="18"/>
  <c r="B18" i="19"/>
  <c r="H34" i="18"/>
  <c r="H39"/>
  <c r="H43"/>
  <c r="F45" i="11"/>
  <c r="F41"/>
  <c r="J39" i="10"/>
  <c r="F32" i="11"/>
  <c r="F22"/>
  <c r="F21"/>
  <c r="F15"/>
  <c r="D22" i="10"/>
  <c r="B31" i="40"/>
  <c r="D31" s="1"/>
  <c r="B31" i="20"/>
  <c r="F12" i="45"/>
  <c r="B35" i="76"/>
  <c r="E35" s="1"/>
  <c r="D35" i="27"/>
  <c r="D35" i="76" s="1"/>
  <c r="G42" i="26"/>
  <c r="G23" i="8"/>
  <c r="G39"/>
  <c r="G28" i="28"/>
  <c r="L38" i="2"/>
  <c r="C38" i="5" s="1"/>
  <c r="K48" i="2"/>
  <c r="L13"/>
  <c r="C13" i="5" s="1"/>
  <c r="L28" i="2"/>
  <c r="C28" i="5" s="1"/>
  <c r="L45" i="2"/>
  <c r="C45" i="5" s="1"/>
  <c r="F16" i="43"/>
  <c r="H16" s="1"/>
  <c r="L17" i="2"/>
  <c r="C17" i="5" s="1"/>
  <c r="F20" i="45"/>
  <c r="L37" i="2"/>
  <c r="C37" i="5" s="1"/>
  <c r="L18" i="2"/>
  <c r="C18" i="5" s="1"/>
  <c r="B28" i="19"/>
  <c r="L21" i="2"/>
  <c r="C21" i="5" s="1"/>
  <c r="D11" i="19"/>
  <c r="H17" i="43"/>
  <c r="J18" i="54"/>
  <c r="D26" i="28"/>
  <c r="H42" i="18"/>
  <c r="B34" i="19"/>
  <c r="H32" i="18"/>
  <c r="D25" i="10"/>
  <c r="H26" i="18"/>
  <c r="H19"/>
  <c r="D23" i="8"/>
  <c r="B23" i="18"/>
  <c r="D35" i="8"/>
  <c r="B35" i="18"/>
  <c r="D21" i="8"/>
  <c r="H36" i="18"/>
  <c r="B30" i="39"/>
  <c r="B20" i="20"/>
  <c r="J34" i="26"/>
  <c r="J40"/>
  <c r="D17"/>
  <c r="D21" i="9"/>
  <c r="D29"/>
  <c r="H27" i="18"/>
  <c r="H25"/>
  <c r="B34" i="20"/>
  <c r="B36"/>
  <c r="D15" i="19"/>
  <c r="G18" i="26"/>
  <c r="D38" i="9"/>
  <c r="G27" i="28"/>
  <c r="H30" i="18"/>
  <c r="B45" i="39"/>
  <c r="B41"/>
  <c r="B37"/>
  <c r="B35"/>
  <c r="B33"/>
  <c r="B32"/>
  <c r="B21"/>
  <c r="B12"/>
  <c r="B45" i="76"/>
  <c r="E45" s="1"/>
  <c r="D45" i="27"/>
  <c r="D45" i="76" s="1"/>
  <c r="B29"/>
  <c r="E29" s="1"/>
  <c r="J26" i="26"/>
  <c r="J20"/>
  <c r="D21"/>
  <c r="D12"/>
  <c r="D45" i="9"/>
  <c r="D30" i="8"/>
  <c r="B30" i="18"/>
  <c r="B44" i="20"/>
  <c r="B40"/>
  <c r="B29"/>
  <c r="B25"/>
  <c r="B21"/>
  <c r="B17"/>
  <c r="B14"/>
  <c r="B39" i="40"/>
  <c r="D39" s="1"/>
  <c r="B25" i="39"/>
  <c r="B24"/>
  <c r="B44" i="40"/>
  <c r="D44" s="1"/>
  <c r="B29"/>
  <c r="D29" s="1"/>
  <c r="B32" i="76"/>
  <c r="D32" i="27"/>
  <c r="D32" i="76" s="1"/>
  <c r="B46"/>
  <c r="B36"/>
  <c r="B24"/>
  <c r="E24" s="1"/>
  <c r="D24" i="27"/>
  <c r="D24" i="76" s="1"/>
  <c r="J18" i="26"/>
  <c r="J16"/>
  <c r="J41"/>
  <c r="J39"/>
  <c r="J35"/>
  <c r="G28"/>
  <c r="G21"/>
  <c r="J17"/>
  <c r="J14"/>
  <c r="G43"/>
  <c r="G35"/>
  <c r="G32"/>
  <c r="G19"/>
  <c r="D16" i="19"/>
  <c r="B46"/>
  <c r="B43"/>
  <c r="B37"/>
  <c r="B25"/>
  <c r="F34" i="11"/>
  <c r="F17"/>
  <c r="F33"/>
  <c r="F18"/>
  <c r="J20" i="10"/>
  <c r="G16"/>
  <c r="J13"/>
  <c r="J41"/>
  <c r="J34"/>
  <c r="J26"/>
  <c r="J24"/>
  <c r="G18"/>
  <c r="G33"/>
  <c r="G17"/>
  <c r="D35" i="9"/>
  <c r="D30"/>
  <c r="D15"/>
  <c r="J43" i="10"/>
  <c r="B22" i="19"/>
  <c r="E22" i="5" s="1"/>
  <c r="D11" i="9"/>
  <c r="E48" i="52"/>
  <c r="F30" i="45"/>
  <c r="F30" i="46"/>
  <c r="F30" i="52" s="1"/>
  <c r="B30" i="43" s="1"/>
  <c r="F30" s="1"/>
  <c r="H30" s="1"/>
  <c r="F26" i="46"/>
  <c r="F26" i="52" s="1"/>
  <c r="B26" i="43" s="1"/>
  <c r="F26" s="1"/>
  <c r="H26" s="1"/>
  <c r="F24" i="45"/>
  <c r="H51" i="20"/>
  <c r="H46"/>
  <c r="H44"/>
  <c r="H42"/>
  <c r="H40"/>
  <c r="H38"/>
  <c r="H36"/>
  <c r="H34"/>
  <c r="H32"/>
  <c r="H30"/>
  <c r="H28"/>
  <c r="H26"/>
  <c r="H24"/>
  <c r="H22"/>
  <c r="H20"/>
  <c r="H18"/>
  <c r="H16"/>
  <c r="H14"/>
  <c r="H12"/>
  <c r="H42" i="7"/>
  <c r="D42"/>
  <c r="I42"/>
  <c r="G42"/>
  <c r="F42"/>
  <c r="E39" i="41"/>
  <c r="E39" i="16"/>
  <c r="G38" i="28"/>
  <c r="E38" i="16"/>
  <c r="E38" i="41"/>
  <c r="F36" i="15"/>
  <c r="J36" i="28" s="1"/>
  <c r="G35"/>
  <c r="E35" i="16"/>
  <c r="E35" i="41"/>
  <c r="F34" i="7"/>
  <c r="I34"/>
  <c r="D34"/>
  <c r="G34"/>
  <c r="H34"/>
  <c r="G31" i="26"/>
  <c r="E31" i="16"/>
  <c r="E31" i="41"/>
  <c r="I30" i="7"/>
  <c r="D30"/>
  <c r="H30"/>
  <c r="F30"/>
  <c r="G30"/>
  <c r="F29" i="15"/>
  <c r="D29" i="54" s="1"/>
  <c r="G40" i="7"/>
  <c r="H40"/>
  <c r="I40"/>
  <c r="F40"/>
  <c r="D40"/>
  <c r="J28" i="10"/>
  <c r="E28" i="16"/>
  <c r="E28" i="41"/>
  <c r="I27" i="7"/>
  <c r="F27"/>
  <c r="D27"/>
  <c r="H27"/>
  <c r="G27"/>
  <c r="D25"/>
  <c r="I25"/>
  <c r="H25"/>
  <c r="G25"/>
  <c r="F25"/>
  <c r="J24" i="26"/>
  <c r="E24" i="41"/>
  <c r="E24" i="16"/>
  <c r="F23" i="7"/>
  <c r="G23"/>
  <c r="I23"/>
  <c r="H23"/>
  <c r="D23"/>
  <c r="D17"/>
  <c r="H17"/>
  <c r="F17"/>
  <c r="G17"/>
  <c r="I17"/>
  <c r="F21"/>
  <c r="G21"/>
  <c r="H21"/>
  <c r="I21"/>
  <c r="G19"/>
  <c r="H19"/>
  <c r="D19"/>
  <c r="I19"/>
  <c r="F19"/>
  <c r="D18" i="27"/>
  <c r="D18" i="76" s="1"/>
  <c r="E18" i="41"/>
  <c r="E18" i="16"/>
  <c r="D16" i="7"/>
  <c r="G16"/>
  <c r="H16"/>
  <c r="F16"/>
  <c r="I16"/>
  <c r="E15" i="41"/>
  <c r="E15" i="16"/>
  <c r="F25" i="11"/>
  <c r="B38" i="19"/>
  <c r="G44" i="7"/>
  <c r="F44"/>
  <c r="I44"/>
  <c r="H44"/>
  <c r="D44"/>
  <c r="D50" i="18"/>
  <c r="D38" i="20"/>
  <c r="L26" i="2"/>
  <c r="C26" i="5" s="1"/>
  <c r="L22" i="2"/>
  <c r="C22" i="5" s="1"/>
  <c r="L24" i="2"/>
  <c r="C24" i="5" s="1"/>
  <c r="L39" i="2"/>
  <c r="C39" i="5" s="1"/>
  <c r="L35" i="2"/>
  <c r="C35" i="5" s="1"/>
  <c r="L31" i="2"/>
  <c r="C31" i="5" s="1"/>
  <c r="L27" i="2"/>
  <c r="C27" i="5" s="1"/>
  <c r="G48" i="2"/>
  <c r="H48"/>
  <c r="F41" i="52"/>
  <c r="B41" i="43" s="1"/>
  <c r="F41" s="1"/>
  <c r="H41" s="1"/>
  <c r="F33" i="52"/>
  <c r="B33" i="43" s="1"/>
  <c r="F33" s="1"/>
  <c r="H33" s="1"/>
  <c r="H22"/>
  <c r="F20" i="52"/>
  <c r="B20" i="43" s="1"/>
  <c r="F20" s="1"/>
  <c r="H20" s="1"/>
  <c r="F43" i="52"/>
  <c r="B43" i="43" s="1"/>
  <c r="F43" s="1"/>
  <c r="H43" s="1"/>
  <c r="B48" i="51"/>
  <c r="H50" i="18"/>
  <c r="B41" i="19"/>
  <c r="B33"/>
  <c r="G43" i="10"/>
  <c r="F34" i="45"/>
  <c r="J38" i="10"/>
  <c r="G38"/>
  <c r="C46" i="15"/>
  <c r="F46" s="1"/>
  <c r="G44" i="81"/>
  <c r="F44" i="52" s="1"/>
  <c r="B44" i="43" s="1"/>
  <c r="F44" s="1"/>
  <c r="H44" s="1"/>
  <c r="F36" i="46"/>
  <c r="F36" i="52" s="1"/>
  <c r="B36" i="43" s="1"/>
  <c r="F36" s="1"/>
  <c r="H36" s="1"/>
  <c r="J42" i="10"/>
  <c r="G37" i="26"/>
  <c r="D26" i="7"/>
  <c r="D16" i="26"/>
  <c r="E48" i="14"/>
  <c r="C50" i="44"/>
  <c r="C50" i="42" s="1"/>
  <c r="G24" i="10"/>
  <c r="J15" i="26"/>
  <c r="B14" i="76"/>
  <c r="E14" s="1"/>
  <c r="D14" i="27"/>
  <c r="D14" i="76" s="1"/>
  <c r="J14" i="10"/>
  <c r="J13" i="26"/>
  <c r="G13" i="10"/>
  <c r="J22" i="54"/>
  <c r="G51" i="26"/>
  <c r="B51" i="20"/>
  <c r="B51" i="40"/>
  <c r="F51" i="11"/>
  <c r="B51" i="18"/>
  <c r="D51" i="8"/>
  <c r="G14" i="28"/>
  <c r="G45" i="29"/>
  <c r="F18" i="45"/>
  <c r="B48"/>
  <c r="G19" i="8"/>
  <c r="G36"/>
  <c r="D27" i="54"/>
  <c r="E27" i="76"/>
  <c r="D21" i="28"/>
  <c r="G20"/>
  <c r="D19"/>
  <c r="D48" i="35"/>
  <c r="B11" i="20"/>
  <c r="B15"/>
  <c r="B24"/>
  <c r="B33" i="40"/>
  <c r="D33" s="1"/>
  <c r="B33" i="20"/>
  <c r="B37" i="40"/>
  <c r="D37" s="1"/>
  <c r="B37" i="20"/>
  <c r="B41" i="40"/>
  <c r="D41" s="1"/>
  <c r="B41" i="20"/>
  <c r="B45" i="40"/>
  <c r="D45" s="1"/>
  <c r="B45" i="20"/>
  <c r="B13" i="39"/>
  <c r="B17" i="40"/>
  <c r="D17" s="1"/>
  <c r="B17" i="39"/>
  <c r="B26"/>
  <c r="B34" i="40"/>
  <c r="D34" s="1"/>
  <c r="B34" i="39"/>
  <c r="B42" i="40"/>
  <c r="D42" s="1"/>
  <c r="B42" i="39"/>
  <c r="B15" i="40"/>
  <c r="D15" s="1"/>
  <c r="B32"/>
  <c r="D32" s="1"/>
  <c r="B43" i="76"/>
  <c r="E43" s="1"/>
  <c r="D43" i="27"/>
  <c r="D43" i="76" s="1"/>
  <c r="G14" i="26"/>
  <c r="G24"/>
  <c r="G34"/>
  <c r="D26" i="9"/>
  <c r="D44"/>
  <c r="D17" i="8"/>
  <c r="B17" i="18"/>
  <c r="B28"/>
  <c r="D28" i="8"/>
  <c r="D37"/>
  <c r="B37" i="18"/>
  <c r="D46" i="8"/>
  <c r="B46" i="18"/>
  <c r="B50" i="40"/>
  <c r="B13" i="19"/>
  <c r="H15" i="18"/>
  <c r="H18"/>
  <c r="B40" i="19"/>
  <c r="J40" i="10"/>
  <c r="F40" i="11"/>
  <c r="J22" i="10"/>
  <c r="B23" i="19"/>
  <c r="G23" i="29"/>
  <c r="B39" i="76"/>
  <c r="E39" s="1"/>
  <c r="D39" i="27"/>
  <c r="D39" i="76" s="1"/>
  <c r="G40" i="28"/>
  <c r="J31" i="26"/>
  <c r="J31" i="10"/>
  <c r="D12" i="28"/>
  <c r="G13" i="29"/>
  <c r="D31" i="8"/>
  <c r="F28" i="45"/>
  <c r="D42" i="8"/>
  <c r="G37" i="28"/>
  <c r="G22"/>
  <c r="D43"/>
  <c r="G19"/>
  <c r="G43"/>
  <c r="G41"/>
  <c r="G23"/>
  <c r="J32" i="54"/>
  <c r="D22" i="9"/>
  <c r="H44" i="18"/>
  <c r="D34" i="10"/>
  <c r="B32" i="19"/>
  <c r="F13" i="11"/>
  <c r="G35" i="10"/>
  <c r="G25"/>
  <c r="G12"/>
  <c r="D23" i="9"/>
  <c r="D39" i="8"/>
  <c r="B39" i="18"/>
  <c r="D20" i="8"/>
  <c r="B22" i="39"/>
  <c r="B26" i="40"/>
  <c r="D26" s="1"/>
  <c r="J42" i="26"/>
  <c r="D22"/>
  <c r="D22" i="19"/>
  <c r="D39"/>
  <c r="D39" i="26"/>
  <c r="H23" i="18"/>
  <c r="H45"/>
  <c r="D31" i="9"/>
  <c r="B42" i="20"/>
  <c r="B14" i="39"/>
  <c r="B41" i="76"/>
  <c r="D41" i="27"/>
  <c r="D41" i="76" s="1"/>
  <c r="B33"/>
  <c r="E33" s="1"/>
  <c r="D33" i="27"/>
  <c r="D33" i="76" s="1"/>
  <c r="G26" i="26"/>
  <c r="H46" i="18"/>
  <c r="B27" i="19"/>
  <c r="B19" i="40"/>
  <c r="D19" s="1"/>
  <c r="D15" i="26"/>
  <c r="D14"/>
  <c r="D14" i="19"/>
  <c r="D13" i="26"/>
  <c r="B20" i="19"/>
  <c r="H20" i="18"/>
  <c r="H17"/>
  <c r="G27" i="10"/>
  <c r="D43" i="9"/>
  <c r="D37"/>
  <c r="D33"/>
  <c r="D27"/>
  <c r="D25"/>
  <c r="D19"/>
  <c r="B44" i="18"/>
  <c r="D26" i="8"/>
  <c r="B26" i="18"/>
  <c r="F44" i="45"/>
  <c r="G30" i="28"/>
  <c r="D41" i="9"/>
  <c r="B27" i="20"/>
  <c r="B19"/>
  <c r="B40" i="39"/>
  <c r="B29"/>
  <c r="B25" i="40"/>
  <c r="D25" s="1"/>
  <c r="B20" i="39"/>
  <c r="B43" i="40"/>
  <c r="D43" s="1"/>
  <c r="B35"/>
  <c r="D35" s="1"/>
  <c r="B30"/>
  <c r="D30" s="1"/>
  <c r="B22"/>
  <c r="D22" s="1"/>
  <c r="G42" i="28"/>
  <c r="B30" i="76"/>
  <c r="E30" s="1"/>
  <c r="D30" i="27"/>
  <c r="D30" i="76" s="1"/>
  <c r="J45" i="26"/>
  <c r="J43"/>
  <c r="B42" i="76"/>
  <c r="E42" s="1"/>
  <c r="D42" i="27"/>
  <c r="D42" i="76" s="1"/>
  <c r="D40" i="27"/>
  <c r="D40" i="76" s="1"/>
  <c r="B40"/>
  <c r="E40" s="1"/>
  <c r="B28"/>
  <c r="E28" s="1"/>
  <c r="D28" i="27"/>
  <c r="D28" i="76" s="1"/>
  <c r="J27" i="26"/>
  <c r="G45"/>
  <c r="J37"/>
  <c r="J33"/>
  <c r="J28"/>
  <c r="G27"/>
  <c r="J19"/>
  <c r="G17"/>
  <c r="G13"/>
  <c r="G41"/>
  <c r="G39"/>
  <c r="G33"/>
  <c r="G25"/>
  <c r="G15"/>
  <c r="B45" i="19"/>
  <c r="B44"/>
  <c r="B39"/>
  <c r="B26"/>
  <c r="B19"/>
  <c r="F39" i="11"/>
  <c r="F35"/>
  <c r="F19"/>
  <c r="F37"/>
  <c r="F30"/>
  <c r="F26"/>
  <c r="F24"/>
  <c r="J30" i="10"/>
  <c r="J15"/>
  <c r="G42"/>
  <c r="J35"/>
  <c r="J32"/>
  <c r="J27"/>
  <c r="J25"/>
  <c r="J23"/>
  <c r="J17"/>
  <c r="G34"/>
  <c r="G19"/>
  <c r="G14"/>
  <c r="D39" i="9"/>
  <c r="D17"/>
  <c r="D38" i="26"/>
  <c r="D38" i="19"/>
  <c r="B21"/>
  <c r="B11" i="40"/>
  <c r="B36" i="19"/>
  <c r="F42" i="45"/>
  <c r="F41"/>
  <c r="H50" i="20"/>
  <c r="H45"/>
  <c r="H43"/>
  <c r="H41"/>
  <c r="H39"/>
  <c r="H37"/>
  <c r="H35"/>
  <c r="H33"/>
  <c r="H31"/>
  <c r="H29"/>
  <c r="H27"/>
  <c r="H25"/>
  <c r="H23"/>
  <c r="H21"/>
  <c r="H19"/>
  <c r="H17"/>
  <c r="H15"/>
  <c r="H13"/>
  <c r="B48" i="38"/>
  <c r="H11" i="20"/>
  <c r="F43" i="11"/>
  <c r="E43" i="16"/>
  <c r="E43" i="41"/>
  <c r="E41"/>
  <c r="E41" i="16"/>
  <c r="G37" i="7"/>
  <c r="H37"/>
  <c r="I37"/>
  <c r="F37"/>
  <c r="D37"/>
  <c r="J33" i="10"/>
  <c r="E33" i="41"/>
  <c r="E33" i="16"/>
  <c r="H32" i="7"/>
  <c r="D32"/>
  <c r="F32"/>
  <c r="I32"/>
  <c r="G32"/>
  <c r="J26" i="54"/>
  <c r="E26" i="41"/>
  <c r="E26" i="16"/>
  <c r="J22" i="26"/>
  <c r="E22" i="16"/>
  <c r="E22" i="41"/>
  <c r="G20" i="10"/>
  <c r="E20" i="41"/>
  <c r="E20" i="16"/>
  <c r="D14" i="7"/>
  <c r="F14"/>
  <c r="I14"/>
  <c r="G14"/>
  <c r="H14"/>
  <c r="E13" i="41"/>
  <c r="E13" i="16"/>
  <c r="F12" i="7"/>
  <c r="D12"/>
  <c r="I12"/>
  <c r="H12"/>
  <c r="G12"/>
  <c r="B42" i="19"/>
  <c r="I46" i="7"/>
  <c r="H46"/>
  <c r="G46"/>
  <c r="F46"/>
  <c r="D46"/>
  <c r="F11" i="15"/>
  <c r="F11" i="52"/>
  <c r="F22" i="45"/>
  <c r="H51" i="7"/>
  <c r="I51"/>
  <c r="F51"/>
  <c r="D51"/>
  <c r="G51"/>
  <c r="G50" i="29"/>
  <c r="E50" i="16"/>
  <c r="E50" i="41"/>
  <c r="F45" i="7"/>
  <c r="D45"/>
  <c r="I45"/>
  <c r="G45"/>
  <c r="H45"/>
  <c r="D11"/>
  <c r="I11"/>
  <c r="E48"/>
  <c r="G11"/>
  <c r="F11"/>
  <c r="H11"/>
  <c r="F18" i="43"/>
  <c r="H18" s="1"/>
  <c r="G48"/>
  <c r="E48"/>
  <c r="F21" i="52"/>
  <c r="B21" i="43" s="1"/>
  <c r="F21" s="1"/>
  <c r="H21" s="1"/>
  <c r="I21" i="45" s="1"/>
  <c r="L36" i="2"/>
  <c r="C36" i="5" s="1"/>
  <c r="L16" i="2"/>
  <c r="C16" i="5" s="1"/>
  <c r="L44" i="2"/>
  <c r="C44" i="5" s="1"/>
  <c r="L40" i="2"/>
  <c r="C40" i="5" s="1"/>
  <c r="L14" i="2"/>
  <c r="C14" i="5" s="1"/>
  <c r="L42" i="2"/>
  <c r="C42" i="5" s="1"/>
  <c r="L41" i="2"/>
  <c r="C41" i="5" s="1"/>
  <c r="L29" i="2"/>
  <c r="C29" i="5" s="1"/>
  <c r="L25" i="2"/>
  <c r="C25" i="5" s="1"/>
  <c r="F37" i="45"/>
  <c r="F45" i="52"/>
  <c r="B45" i="43" s="1"/>
  <c r="F45" s="1"/>
  <c r="H45" s="1"/>
  <c r="G44" i="9"/>
  <c r="F38" i="43"/>
  <c r="H38" s="1"/>
  <c r="F35" i="52"/>
  <c r="B35" i="43" s="1"/>
  <c r="F35" s="1"/>
  <c r="H35" s="1"/>
  <c r="J29" i="9"/>
  <c r="F29" i="52"/>
  <c r="B29" i="43" s="1"/>
  <c r="F29" s="1"/>
  <c r="H29" s="1"/>
  <c r="F28" i="52"/>
  <c r="B28" i="43" s="1"/>
  <c r="F28" s="1"/>
  <c r="H28" s="1"/>
  <c r="J24" i="9"/>
  <c r="F24" i="52"/>
  <c r="B24" i="43" s="1"/>
  <c r="F24" s="1"/>
  <c r="H24" s="1"/>
  <c r="F23" i="52"/>
  <c r="B23" i="43" s="1"/>
  <c r="F23" s="1"/>
  <c r="H23" s="1"/>
  <c r="G16" i="8"/>
  <c r="F15" i="52"/>
  <c r="B15" i="43" s="1"/>
  <c r="F15" s="1"/>
  <c r="H15" s="1"/>
  <c r="F12" i="46"/>
  <c r="F12" i="52" s="1"/>
  <c r="B12" i="43" s="1"/>
  <c r="F12" s="1"/>
  <c r="H12" s="1"/>
  <c r="H35" i="18"/>
  <c r="G22" i="26"/>
  <c r="F35" i="45"/>
  <c r="F33"/>
  <c r="H37" i="18"/>
  <c r="B35" i="19"/>
  <c r="D38" i="27"/>
  <c r="D38" i="76" s="1"/>
  <c r="H24" i="18"/>
  <c r="H40"/>
  <c r="H33"/>
  <c r="F28" i="11"/>
  <c r="E37" i="18"/>
  <c r="J46" i="9"/>
  <c r="F46" i="52"/>
  <c r="B46" i="43" s="1"/>
  <c r="F46" s="1"/>
  <c r="H46" s="1"/>
  <c r="C44" i="15"/>
  <c r="F44" s="1"/>
  <c r="H43" i="39"/>
  <c r="H39"/>
  <c r="H38"/>
  <c r="J34" i="9"/>
  <c r="J32"/>
  <c r="J40"/>
  <c r="E50" i="44"/>
  <c r="D50" i="42" s="1"/>
  <c r="G34" i="28"/>
  <c r="J32" i="26"/>
  <c r="J30"/>
  <c r="D29" i="7"/>
  <c r="G40" i="26"/>
  <c r="J25"/>
  <c r="J23"/>
  <c r="J12"/>
  <c r="G26" i="10"/>
  <c r="B32" i="20"/>
  <c r="F40" i="45"/>
  <c r="I40" s="1"/>
  <c r="F29"/>
  <c r="B17" i="19"/>
  <c r="J18" i="10"/>
  <c r="F38" i="11"/>
  <c r="G50" i="45"/>
  <c r="G28" i="10"/>
  <c r="J38" i="26"/>
  <c r="B21" i="40"/>
  <c r="D21" s="1"/>
  <c r="E30" i="18"/>
  <c r="D38" i="10"/>
  <c r="I50" i="11"/>
  <c r="D50" i="8"/>
  <c r="E41" i="78"/>
  <c r="E32"/>
  <c r="E26" i="20"/>
  <c r="L43" i="2"/>
  <c r="C43" i="5" s="1"/>
  <c r="G41" i="19"/>
  <c r="G55" i="2"/>
  <c r="E35" i="18"/>
  <c r="G13" i="19"/>
  <c r="E44" i="78"/>
  <c r="E33"/>
  <c r="E39"/>
  <c r="E50" i="20"/>
  <c r="E34"/>
  <c r="E17"/>
  <c r="G17" s="1"/>
  <c r="E14" i="78"/>
  <c r="E13"/>
  <c r="B31" i="18"/>
  <c r="E20" i="78"/>
  <c r="E45" i="18"/>
  <c r="G20" i="19"/>
  <c r="E17" i="18"/>
  <c r="E11" i="78"/>
  <c r="E45"/>
  <c r="L20" i="2"/>
  <c r="C20" i="5" s="1"/>
  <c r="E38" i="78"/>
  <c r="H31" i="18"/>
  <c r="E50" i="78"/>
  <c r="E36"/>
  <c r="B21" i="18"/>
  <c r="E48" i="8"/>
  <c r="E34" i="78"/>
  <c r="J36" i="26" l="1"/>
  <c r="J36" i="54"/>
  <c r="J36" i="10"/>
  <c r="L46" i="2"/>
  <c r="C46" i="5" s="1"/>
  <c r="I13" i="45"/>
  <c r="C13" s="1"/>
  <c r="G13" i="42" s="1"/>
  <c r="I19" i="45"/>
  <c r="G27" i="19"/>
  <c r="I27" s="1"/>
  <c r="L15" i="2"/>
  <c r="C15" i="5" s="1"/>
  <c r="G48" i="81"/>
  <c r="D48" i="45"/>
  <c r="F48" i="46"/>
  <c r="F31" i="52"/>
  <c r="B31" i="43" s="1"/>
  <c r="F31" s="1"/>
  <c r="H31" s="1"/>
  <c r="I37" i="45"/>
  <c r="C37" i="44" s="1"/>
  <c r="C37" i="42" s="1"/>
  <c r="I18" i="45"/>
  <c r="G36" i="26"/>
  <c r="I20" i="45"/>
  <c r="B48" i="11"/>
  <c r="J50" i="42"/>
  <c r="E31" i="20"/>
  <c r="G19" i="19"/>
  <c r="G25"/>
  <c r="I25" s="1"/>
  <c r="G40"/>
  <c r="E38" i="20"/>
  <c r="G38" s="1"/>
  <c r="E46"/>
  <c r="G36" i="10"/>
  <c r="J29"/>
  <c r="G29" i="26"/>
  <c r="F48" i="44"/>
  <c r="B48" i="82"/>
  <c r="F48" i="25"/>
  <c r="E45" i="20"/>
  <c r="G45" s="1"/>
  <c r="F29" i="11"/>
  <c r="F36"/>
  <c r="F55" i="2"/>
  <c r="D21" i="18"/>
  <c r="G17"/>
  <c r="I20" i="19"/>
  <c r="G45" i="18"/>
  <c r="G31" i="20"/>
  <c r="I19" i="19"/>
  <c r="D31" i="18"/>
  <c r="G34" i="20"/>
  <c r="G50"/>
  <c r="I13" i="19"/>
  <c r="G35" i="18"/>
  <c r="I40" i="19"/>
  <c r="G46" i="20"/>
  <c r="I41" i="19"/>
  <c r="I40" i="43"/>
  <c r="B40" i="42" s="1"/>
  <c r="C40" i="45"/>
  <c r="G40" i="42" s="1"/>
  <c r="E40" i="45"/>
  <c r="H40" i="42" s="1"/>
  <c r="C40" i="44"/>
  <c r="C40" i="42" s="1"/>
  <c r="E40" i="44"/>
  <c r="D40" i="42" s="1"/>
  <c r="I40" i="44"/>
  <c r="F40" i="42" s="1"/>
  <c r="G40" i="44"/>
  <c r="E40" i="42" s="1"/>
  <c r="G40" i="76"/>
  <c r="G14"/>
  <c r="G24"/>
  <c r="G29"/>
  <c r="G45"/>
  <c r="G48" i="8"/>
  <c r="E31" i="5"/>
  <c r="G26" i="20"/>
  <c r="I37" i="44"/>
  <c r="F37" i="42" s="1"/>
  <c r="G28" i="76"/>
  <c r="G42"/>
  <c r="G30"/>
  <c r="G33"/>
  <c r="I28" i="45"/>
  <c r="I28" i="43" s="1"/>
  <c r="B28" i="42" s="1"/>
  <c r="G37" i="90"/>
  <c r="G40"/>
  <c r="I40"/>
  <c r="B48" i="9"/>
  <c r="D20"/>
  <c r="D48" i="34"/>
  <c r="B18" i="39"/>
  <c r="F48" i="34"/>
  <c r="D48" i="11"/>
  <c r="F20"/>
  <c r="E23" i="76"/>
  <c r="G23" s="1"/>
  <c r="D23" i="54"/>
  <c r="E44" i="76"/>
  <c r="D44" i="54"/>
  <c r="G35" i="29"/>
  <c r="G19"/>
  <c r="G21"/>
  <c r="F31" i="41"/>
  <c r="G31" s="1"/>
  <c r="B14"/>
  <c r="B22"/>
  <c r="B29"/>
  <c r="B33"/>
  <c r="B48" i="37"/>
  <c r="D40" i="29"/>
  <c r="D25" i="86"/>
  <c r="G16" i="19"/>
  <c r="J16" i="28"/>
  <c r="B48" i="29"/>
  <c r="D11"/>
  <c r="G14" i="90"/>
  <c r="G15" i="29"/>
  <c r="G25"/>
  <c r="D18" i="19"/>
  <c r="D18" i="26"/>
  <c r="D48" i="44"/>
  <c r="J12" i="10"/>
  <c r="F18" i="41"/>
  <c r="G18" s="1"/>
  <c r="D32" i="54"/>
  <c r="E32" i="76"/>
  <c r="G32" s="1"/>
  <c r="D36" i="54"/>
  <c r="E36" i="76"/>
  <c r="F38" i="41"/>
  <c r="G38" s="1"/>
  <c r="G51" i="29"/>
  <c r="G39"/>
  <c r="E44" i="20"/>
  <c r="E22"/>
  <c r="E32"/>
  <c r="E25"/>
  <c r="E37"/>
  <c r="B19" i="41"/>
  <c r="D15" i="29"/>
  <c r="D38"/>
  <c r="D16" i="86"/>
  <c r="D35" i="29"/>
  <c r="D43"/>
  <c r="J29" i="28"/>
  <c r="J23"/>
  <c r="B30" i="41"/>
  <c r="F15"/>
  <c r="G15" s="1"/>
  <c r="F43"/>
  <c r="G43" s="1"/>
  <c r="E20" i="20"/>
  <c r="E29"/>
  <c r="G29" s="1"/>
  <c r="E40"/>
  <c r="F16" i="41"/>
  <c r="G16" s="1"/>
  <c r="F36"/>
  <c r="G36" s="1"/>
  <c r="F39"/>
  <c r="G39" s="1"/>
  <c r="B42"/>
  <c r="F46"/>
  <c r="G46" s="1"/>
  <c r="F45"/>
  <c r="G45" s="1"/>
  <c r="D17" i="29"/>
  <c r="D42"/>
  <c r="D29"/>
  <c r="J34" i="28"/>
  <c r="J18"/>
  <c r="J17"/>
  <c r="J45"/>
  <c r="G24" i="29"/>
  <c r="D28" i="86"/>
  <c r="D42"/>
  <c r="D26" i="29"/>
  <c r="E14" i="18"/>
  <c r="D14" i="86"/>
  <c r="D39"/>
  <c r="D18" i="29"/>
  <c r="D45"/>
  <c r="J11" i="28"/>
  <c r="H48"/>
  <c r="J38"/>
  <c r="J14"/>
  <c r="G12" i="29"/>
  <c r="G33"/>
  <c r="B13" i="20"/>
  <c r="F12" i="41"/>
  <c r="G12" s="1"/>
  <c r="F20"/>
  <c r="G20" s="1"/>
  <c r="F32"/>
  <c r="G32" s="1"/>
  <c r="F12" i="11"/>
  <c r="H12" i="18"/>
  <c r="D20" i="26"/>
  <c r="D20" i="19"/>
  <c r="D25"/>
  <c r="D25" i="26"/>
  <c r="D27" i="19"/>
  <c r="D27" i="26"/>
  <c r="D29" i="19"/>
  <c r="D29" i="26"/>
  <c r="D32" i="19"/>
  <c r="D32" i="26"/>
  <c r="D34" i="19"/>
  <c r="D34" i="26"/>
  <c r="D36" i="19"/>
  <c r="D36" i="26"/>
  <c r="D40" i="19"/>
  <c r="D40" i="26"/>
  <c r="D42"/>
  <c r="D42" i="19"/>
  <c r="D46" i="26"/>
  <c r="D46" i="19"/>
  <c r="L33" i="2"/>
  <c r="C33" i="5" s="1"/>
  <c r="L32" i="2"/>
  <c r="C32" i="5" s="1"/>
  <c r="D13" i="8"/>
  <c r="B13" i="18"/>
  <c r="D50" i="29"/>
  <c r="D51"/>
  <c r="D44" i="19"/>
  <c r="D44" i="26"/>
  <c r="B46" i="39"/>
  <c r="G23" i="10"/>
  <c r="B44" i="41"/>
  <c r="D32" i="20"/>
  <c r="F44" i="11"/>
  <c r="E44" i="16"/>
  <c r="E44" i="41"/>
  <c r="J44" i="10"/>
  <c r="E40" i="5"/>
  <c r="E37"/>
  <c r="E35"/>
  <c r="I15" i="45"/>
  <c r="I15" i="43" s="1"/>
  <c r="B15" i="42" s="1"/>
  <c r="I21" i="43"/>
  <c r="B21" i="42" s="1"/>
  <c r="C21" i="44"/>
  <c r="C21" i="42" s="1"/>
  <c r="C21" i="45"/>
  <c r="G21" i="42" s="1"/>
  <c r="E21" i="45"/>
  <c r="H21" i="42" s="1"/>
  <c r="I21" i="44"/>
  <c r="F21" i="42" s="1"/>
  <c r="I18" i="43"/>
  <c r="B18" i="42" s="1"/>
  <c r="I18" i="44"/>
  <c r="F18" i="42" s="1"/>
  <c r="I48" i="7"/>
  <c r="H48"/>
  <c r="F48"/>
  <c r="G48"/>
  <c r="B11" i="43"/>
  <c r="F48" i="52"/>
  <c r="D11" i="10"/>
  <c r="E11" i="41"/>
  <c r="E11" i="16"/>
  <c r="F48" i="15"/>
  <c r="J48" i="26" s="1"/>
  <c r="D11" i="27"/>
  <c r="D11" i="76" s="1"/>
  <c r="F11" i="11"/>
  <c r="D11" i="26"/>
  <c r="H48" i="20"/>
  <c r="J11"/>
  <c r="D11" i="40"/>
  <c r="F38" i="19"/>
  <c r="F20" i="39"/>
  <c r="H20"/>
  <c r="D20"/>
  <c r="D29"/>
  <c r="H29"/>
  <c r="F29"/>
  <c r="F40"/>
  <c r="D40"/>
  <c r="H40"/>
  <c r="D19" i="20"/>
  <c r="D27"/>
  <c r="D36"/>
  <c r="D26" i="18"/>
  <c r="D44"/>
  <c r="E17" i="5"/>
  <c r="E20"/>
  <c r="B28" i="40"/>
  <c r="D28" s="1"/>
  <c r="B21" i="76"/>
  <c r="E21" s="1"/>
  <c r="D21" i="27"/>
  <c r="D21" i="76" s="1"/>
  <c r="G17" i="28"/>
  <c r="F39" i="19"/>
  <c r="F22"/>
  <c r="D39" i="18"/>
  <c r="G21" i="28"/>
  <c r="G39"/>
  <c r="G45"/>
  <c r="D30"/>
  <c r="G30" i="19"/>
  <c r="G32" i="28"/>
  <c r="D37" i="18"/>
  <c r="D28"/>
  <c r="D17"/>
  <c r="G43" i="76"/>
  <c r="D42" i="39"/>
  <c r="F42"/>
  <c r="H42"/>
  <c r="H26"/>
  <c r="D26"/>
  <c r="F26"/>
  <c r="D17"/>
  <c r="F17"/>
  <c r="H17"/>
  <c r="D41" i="20"/>
  <c r="D33"/>
  <c r="G27" i="76"/>
  <c r="D51" i="18"/>
  <c r="D51" i="20"/>
  <c r="E46" i="16"/>
  <c r="E46" i="41"/>
  <c r="I33" i="45"/>
  <c r="I33" i="43" s="1"/>
  <c r="B33" i="42" s="1"/>
  <c r="J12" i="20"/>
  <c r="J14"/>
  <c r="J16"/>
  <c r="J18"/>
  <c r="J20"/>
  <c r="J22"/>
  <c r="J24"/>
  <c r="J26"/>
  <c r="J28"/>
  <c r="J30"/>
  <c r="J32"/>
  <c r="J34"/>
  <c r="J36"/>
  <c r="J38"/>
  <c r="J40"/>
  <c r="J42"/>
  <c r="J44"/>
  <c r="J46"/>
  <c r="J51"/>
  <c r="E25" i="5"/>
  <c r="F16" i="19"/>
  <c r="H24" i="39"/>
  <c r="F24"/>
  <c r="D24"/>
  <c r="D25"/>
  <c r="F25"/>
  <c r="H25"/>
  <c r="D14" i="20"/>
  <c r="D17"/>
  <c r="D21"/>
  <c r="D25"/>
  <c r="D29"/>
  <c r="D40"/>
  <c r="D44"/>
  <c r="D30" i="18"/>
  <c r="B15" i="76"/>
  <c r="E15" s="1"/>
  <c r="D15" i="27"/>
  <c r="D15" i="76" s="1"/>
  <c r="B36" i="40"/>
  <c r="D36" s="1"/>
  <c r="H30" i="39"/>
  <c r="D30"/>
  <c r="F30"/>
  <c r="E36" i="5"/>
  <c r="D23" i="18"/>
  <c r="E42" i="5"/>
  <c r="F11" i="19"/>
  <c r="I13" i="43"/>
  <c r="B13" i="42" s="1"/>
  <c r="E13" i="44"/>
  <c r="D13" i="42" s="1"/>
  <c r="G13" i="44"/>
  <c r="E13" i="42" s="1"/>
  <c r="C19" i="44"/>
  <c r="C19" i="42" s="1"/>
  <c r="E19" i="45"/>
  <c r="H19" i="42" s="1"/>
  <c r="I19" i="44"/>
  <c r="F19" i="42" s="1"/>
  <c r="C19" i="45"/>
  <c r="G19" i="42" s="1"/>
  <c r="G19" i="44"/>
  <c r="E19" i="42" s="1"/>
  <c r="E34" i="76"/>
  <c r="D34" i="54"/>
  <c r="E43" i="5"/>
  <c r="E39"/>
  <c r="E34"/>
  <c r="F44" i="39"/>
  <c r="D44"/>
  <c r="H44"/>
  <c r="H36"/>
  <c r="D36"/>
  <c r="F36"/>
  <c r="H28"/>
  <c r="D28"/>
  <c r="F28"/>
  <c r="F19"/>
  <c r="H19"/>
  <c r="D19"/>
  <c r="H15"/>
  <c r="D15"/>
  <c r="F15"/>
  <c r="D43" i="20"/>
  <c r="D39"/>
  <c r="D35"/>
  <c r="D30"/>
  <c r="D26"/>
  <c r="D22"/>
  <c r="H11" i="39"/>
  <c r="D11"/>
  <c r="F11"/>
  <c r="H31"/>
  <c r="D31"/>
  <c r="F31"/>
  <c r="D43" i="18"/>
  <c r="D38"/>
  <c r="D34"/>
  <c r="D25"/>
  <c r="D16"/>
  <c r="G51" i="20"/>
  <c r="C20" i="41"/>
  <c r="D20"/>
  <c r="C32"/>
  <c r="D32"/>
  <c r="G44" i="18"/>
  <c r="G50"/>
  <c r="G19"/>
  <c r="F51" i="45"/>
  <c r="G33" i="18"/>
  <c r="E30" i="5"/>
  <c r="G40" i="18"/>
  <c r="D31" i="28"/>
  <c r="G31" i="19"/>
  <c r="G29"/>
  <c r="B12" i="20"/>
  <c r="B12" i="40"/>
  <c r="D12" s="1"/>
  <c r="G16" i="76"/>
  <c r="E51" i="5"/>
  <c r="D36" i="18"/>
  <c r="D32"/>
  <c r="D18"/>
  <c r="D14"/>
  <c r="E50" i="5"/>
  <c r="C11"/>
  <c r="G12" i="76"/>
  <c r="D11" i="41"/>
  <c r="C11"/>
  <c r="D27"/>
  <c r="C27"/>
  <c r="G38" i="76"/>
  <c r="G41" i="18"/>
  <c r="G11"/>
  <c r="G15"/>
  <c r="G36"/>
  <c r="G21"/>
  <c r="B48" i="26"/>
  <c r="I29" i="45"/>
  <c r="L23" i="2"/>
  <c r="C23" i="5" s="1"/>
  <c r="G11" i="26"/>
  <c r="J44"/>
  <c r="B46" i="40"/>
  <c r="D46" s="1"/>
  <c r="B23" i="20"/>
  <c r="H28" i="18"/>
  <c r="G11" i="28"/>
  <c r="C18" i="44"/>
  <c r="C18" i="42" s="1"/>
  <c r="I22" i="45"/>
  <c r="G22" s="1"/>
  <c r="H55" i="2"/>
  <c r="F45" i="45"/>
  <c r="F46" i="11"/>
  <c r="D46" i="27"/>
  <c r="D46" i="76" s="1"/>
  <c r="D21" i="19"/>
  <c r="G26"/>
  <c r="E13" i="45"/>
  <c r="H13" i="42" s="1"/>
  <c r="G18" i="44"/>
  <c r="E18" i="42" s="1"/>
  <c r="I34" i="45"/>
  <c r="H48" i="10"/>
  <c r="J46"/>
  <c r="D48" i="82"/>
  <c r="B18" i="20"/>
  <c r="G13" i="45"/>
  <c r="E48" i="10"/>
  <c r="G17" i="19"/>
  <c r="G36" i="28"/>
  <c r="I44" i="11"/>
  <c r="I46"/>
  <c r="G36" i="54"/>
  <c r="G48" i="11"/>
  <c r="E23" i="20"/>
  <c r="E18"/>
  <c r="E12"/>
  <c r="E36"/>
  <c r="D36" i="86"/>
  <c r="D44"/>
  <c r="J46" i="28"/>
  <c r="J44"/>
  <c r="E12" i="18"/>
  <c r="G21" i="45"/>
  <c r="G19"/>
  <c r="G39" i="19"/>
  <c r="G15"/>
  <c r="B48" i="8"/>
  <c r="G38" i="19"/>
  <c r="D44" i="28"/>
  <c r="E42" i="20"/>
  <c r="E14"/>
  <c r="E30"/>
  <c r="E24"/>
  <c r="J29" i="54"/>
  <c r="E43" i="20"/>
  <c r="D11" i="86"/>
  <c r="D46" i="29"/>
  <c r="G23" i="19"/>
  <c r="D46" i="10"/>
  <c r="J46" i="54"/>
  <c r="G46"/>
  <c r="G44" i="10"/>
  <c r="D11" i="54"/>
  <c r="E23" i="18"/>
  <c r="D44" i="27"/>
  <c r="D44" i="76" s="1"/>
  <c r="G17" i="29"/>
  <c r="H21" i="18"/>
  <c r="G11" i="29"/>
  <c r="G12" i="8"/>
  <c r="G39" i="10"/>
  <c r="D25" i="54"/>
  <c r="D41"/>
  <c r="E41" i="76"/>
  <c r="D46" i="54"/>
  <c r="E46" i="76"/>
  <c r="D20" i="10"/>
  <c r="E20" i="18"/>
  <c r="I17" i="11"/>
  <c r="G32" i="29"/>
  <c r="G20"/>
  <c r="E26" i="18"/>
  <c r="D26" i="86"/>
  <c r="D51"/>
  <c r="D31"/>
  <c r="D27"/>
  <c r="E29" i="18"/>
  <c r="D29" i="86"/>
  <c r="D45"/>
  <c r="B18" i="41"/>
  <c r="B24"/>
  <c r="B31"/>
  <c r="B43"/>
  <c r="F11"/>
  <c r="D48" i="37"/>
  <c r="G43" i="29"/>
  <c r="G30"/>
  <c r="G46"/>
  <c r="D21"/>
  <c r="G42"/>
  <c r="G31"/>
  <c r="E34" i="18"/>
  <c r="D34" i="86"/>
  <c r="D19" i="29"/>
  <c r="G14"/>
  <c r="E48" i="9"/>
  <c r="G51" i="19"/>
  <c r="J51" i="28"/>
  <c r="G12" i="26"/>
  <c r="F24" i="41"/>
  <c r="G24" s="1"/>
  <c r="G44" i="29"/>
  <c r="F17" i="45"/>
  <c r="I17" s="1"/>
  <c r="E16" i="20"/>
  <c r="E13"/>
  <c r="E21"/>
  <c r="E35"/>
  <c r="E46" i="18"/>
  <c r="D46" i="86"/>
  <c r="D34" i="29"/>
  <c r="D44"/>
  <c r="E43" i="18"/>
  <c r="D43" i="86"/>
  <c r="D39" i="29"/>
  <c r="J24" i="28"/>
  <c r="J42"/>
  <c r="G29" i="29"/>
  <c r="B38" i="41"/>
  <c r="F22"/>
  <c r="G22" s="1"/>
  <c r="E39" i="20"/>
  <c r="F29" i="41"/>
  <c r="G29" s="1"/>
  <c r="E15" i="20"/>
  <c r="E27"/>
  <c r="E33"/>
  <c r="E41"/>
  <c r="B35" i="41"/>
  <c r="B39"/>
  <c r="F40"/>
  <c r="G40" s="1"/>
  <c r="B45"/>
  <c r="B46"/>
  <c r="D22" i="29"/>
  <c r="D25"/>
  <c r="J12" i="28"/>
  <c r="J37"/>
  <c r="J39"/>
  <c r="G38" i="29"/>
  <c r="D38" i="86"/>
  <c r="D13" i="29"/>
  <c r="D36"/>
  <c r="D35" i="86"/>
  <c r="D14" i="29"/>
  <c r="D27"/>
  <c r="J32" i="28"/>
  <c r="J40"/>
  <c r="B40" i="41"/>
  <c r="E28" i="20"/>
  <c r="G36" i="29"/>
  <c r="G41"/>
  <c r="B48" i="7"/>
  <c r="F17" i="41"/>
  <c r="G17" s="1"/>
  <c r="F25"/>
  <c r="G25" s="1"/>
  <c r="F37"/>
  <c r="G37" s="1"/>
  <c r="B12" i="19"/>
  <c r="H48" i="25"/>
  <c r="D19" i="26"/>
  <c r="D24"/>
  <c r="D24" i="19"/>
  <c r="D26" i="26"/>
  <c r="D26" i="19"/>
  <c r="D28"/>
  <c r="D28" i="26"/>
  <c r="D30"/>
  <c r="D30" i="19"/>
  <c r="D33"/>
  <c r="D33" i="26"/>
  <c r="D35" i="19"/>
  <c r="D35" i="26"/>
  <c r="D37" i="19"/>
  <c r="D37" i="26"/>
  <c r="D41" i="19"/>
  <c r="D45"/>
  <c r="D45" i="26"/>
  <c r="D23" i="19"/>
  <c r="D23" i="26"/>
  <c r="D43" i="19"/>
  <c r="D43" i="26"/>
  <c r="B48" i="28"/>
  <c r="G26" i="29"/>
  <c r="G27"/>
  <c r="G46" i="28"/>
  <c r="B28" i="41"/>
  <c r="G30" i="18"/>
  <c r="I46" i="45"/>
  <c r="G46" s="1"/>
  <c r="G37" i="18"/>
  <c r="E33" i="5"/>
  <c r="I12" i="45"/>
  <c r="I12" i="43" s="1"/>
  <c r="B12" i="42" s="1"/>
  <c r="I24" i="45"/>
  <c r="I24" i="43" s="1"/>
  <c r="B24" i="42" s="1"/>
  <c r="I35" i="45"/>
  <c r="I35" i="43" s="1"/>
  <c r="B35" i="42" s="1"/>
  <c r="D11" i="28"/>
  <c r="G11" i="19"/>
  <c r="J13" i="20"/>
  <c r="J15"/>
  <c r="J17"/>
  <c r="J19"/>
  <c r="J21"/>
  <c r="J23"/>
  <c r="J25"/>
  <c r="J27"/>
  <c r="J29"/>
  <c r="J31"/>
  <c r="J33"/>
  <c r="J35"/>
  <c r="J37"/>
  <c r="J39"/>
  <c r="J41"/>
  <c r="J43"/>
  <c r="J45"/>
  <c r="J50"/>
  <c r="F14" i="19"/>
  <c r="F15"/>
  <c r="E46" i="5"/>
  <c r="B37" i="76"/>
  <c r="E37" s="1"/>
  <c r="D37" i="27"/>
  <c r="D37" i="76" s="1"/>
  <c r="D14" i="39"/>
  <c r="F14"/>
  <c r="H14"/>
  <c r="D42" i="20"/>
  <c r="E45" i="5"/>
  <c r="E23"/>
  <c r="F22" i="39"/>
  <c r="H22"/>
  <c r="D22"/>
  <c r="E32" i="5"/>
  <c r="E44"/>
  <c r="F25" i="45"/>
  <c r="G39" i="76"/>
  <c r="E18" i="5"/>
  <c r="E15"/>
  <c r="D46" i="18"/>
  <c r="F34" i="39"/>
  <c r="D34"/>
  <c r="H34"/>
  <c r="H13"/>
  <c r="D13"/>
  <c r="F13"/>
  <c r="D45" i="20"/>
  <c r="D37"/>
  <c r="D24"/>
  <c r="D20"/>
  <c r="D15"/>
  <c r="D11"/>
  <c r="I44" i="45"/>
  <c r="I44" i="43" s="1"/>
  <c r="B44" i="42" s="1"/>
  <c r="I20" i="43"/>
  <c r="B20" i="42" s="1"/>
  <c r="G20" i="44"/>
  <c r="E20" i="42" s="1"/>
  <c r="C20" i="44"/>
  <c r="C20" i="42" s="1"/>
  <c r="I41" i="45"/>
  <c r="I41" i="43" s="1"/>
  <c r="B41" i="42" s="1"/>
  <c r="E29" i="41"/>
  <c r="E29" i="16"/>
  <c r="G29" i="10"/>
  <c r="E36" i="16"/>
  <c r="E36" i="41"/>
  <c r="F43" i="45"/>
  <c r="F26"/>
  <c r="I26" s="1"/>
  <c r="F27"/>
  <c r="I30"/>
  <c r="I30" i="43" s="1"/>
  <c r="B30" i="42" s="1"/>
  <c r="F32" i="45"/>
  <c r="I32" s="1"/>
  <c r="C32" i="44" s="1"/>
  <c r="C32" i="42" s="1"/>
  <c r="F36" i="45"/>
  <c r="F38"/>
  <c r="B25" i="76"/>
  <c r="E25" s="1"/>
  <c r="D25" i="27"/>
  <c r="D25" i="76" s="1"/>
  <c r="B31"/>
  <c r="E31" s="1"/>
  <c r="D31" i="27"/>
  <c r="D31" i="76" s="1"/>
  <c r="H12" i="39"/>
  <c r="F12"/>
  <c r="D12"/>
  <c r="F21"/>
  <c r="D21"/>
  <c r="H21"/>
  <c r="F32"/>
  <c r="H32"/>
  <c r="D32"/>
  <c r="H33"/>
  <c r="F33"/>
  <c r="D33"/>
  <c r="F35"/>
  <c r="D35"/>
  <c r="H35"/>
  <c r="F37"/>
  <c r="D37"/>
  <c r="H37"/>
  <c r="D41"/>
  <c r="H41"/>
  <c r="F41"/>
  <c r="H45"/>
  <c r="F45"/>
  <c r="D45"/>
  <c r="D34" i="20"/>
  <c r="E27" i="5"/>
  <c r="B20" i="40"/>
  <c r="D20" s="1"/>
  <c r="D35" i="18"/>
  <c r="E19" i="5"/>
  <c r="E26"/>
  <c r="F23" i="45"/>
  <c r="G35" i="76"/>
  <c r="D31" i="20"/>
  <c r="E11" i="5"/>
  <c r="D41" i="18"/>
  <c r="D33"/>
  <c r="D24"/>
  <c r="F11" i="45"/>
  <c r="B48" i="44"/>
  <c r="F14" i="45"/>
  <c r="G18" i="18"/>
  <c r="D29"/>
  <c r="D19"/>
  <c r="D50" i="20"/>
  <c r="F50" i="19"/>
  <c r="I28"/>
  <c r="D16" i="20"/>
  <c r="F31" i="45"/>
  <c r="I31" s="1"/>
  <c r="E31" i="44" s="1"/>
  <c r="D31" i="42" s="1"/>
  <c r="E38" i="5"/>
  <c r="G18" i="76"/>
  <c r="I42" i="45"/>
  <c r="I42" i="43" s="1"/>
  <c r="B42" i="42" s="1"/>
  <c r="E29" i="5"/>
  <c r="G36" i="19"/>
  <c r="G51" i="76"/>
  <c r="E13" i="5"/>
  <c r="D15" i="18"/>
  <c r="G22" i="76"/>
  <c r="E16" i="5"/>
  <c r="D45" i="18"/>
  <c r="D40"/>
  <c r="D27"/>
  <c r="D22"/>
  <c r="D11"/>
  <c r="C12" i="41"/>
  <c r="D12"/>
  <c r="D13"/>
  <c r="C13"/>
  <c r="C15"/>
  <c r="D15"/>
  <c r="C16"/>
  <c r="D16"/>
  <c r="D17"/>
  <c r="C17"/>
  <c r="C23"/>
  <c r="D23"/>
  <c r="C25"/>
  <c r="D25"/>
  <c r="D26"/>
  <c r="C26"/>
  <c r="C34"/>
  <c r="D34"/>
  <c r="D36"/>
  <c r="C36"/>
  <c r="D37"/>
  <c r="C37"/>
  <c r="C41"/>
  <c r="D41"/>
  <c r="D21"/>
  <c r="C21"/>
  <c r="D50"/>
  <c r="C50"/>
  <c r="E41" i="5"/>
  <c r="G32" i="18"/>
  <c r="G50" i="76"/>
  <c r="G24" i="18"/>
  <c r="G40" i="45"/>
  <c r="G33"/>
  <c r="E21" i="44"/>
  <c r="D21" i="42" s="1"/>
  <c r="G21" i="44"/>
  <c r="E21" i="42" s="1"/>
  <c r="E18" i="45"/>
  <c r="H18" i="42" s="1"/>
  <c r="C48" i="15"/>
  <c r="D41" i="26"/>
  <c r="F39" i="45"/>
  <c r="I39" s="1"/>
  <c r="E48" i="26"/>
  <c r="D44" i="8"/>
  <c r="B18" i="40"/>
  <c r="D18" s="1"/>
  <c r="B20" i="18"/>
  <c r="G43" i="19"/>
  <c r="B42" i="18"/>
  <c r="G28" i="44"/>
  <c r="E28" i="42" s="1"/>
  <c r="G12" i="19"/>
  <c r="B24"/>
  <c r="G46" i="26"/>
  <c r="B28" i="20"/>
  <c r="G21" i="19"/>
  <c r="H48" i="44"/>
  <c r="F16" i="45"/>
  <c r="I16" s="1"/>
  <c r="G18"/>
  <c r="D21" i="7"/>
  <c r="J29" i="26"/>
  <c r="D36" i="27"/>
  <c r="D36" i="76" s="1"/>
  <c r="D12" i="19"/>
  <c r="J46" i="26"/>
  <c r="D29" i="27"/>
  <c r="D29" i="76" s="1"/>
  <c r="G44" i="26"/>
  <c r="B46" i="20"/>
  <c r="E25" i="18"/>
  <c r="G44" i="28"/>
  <c r="G20" i="45"/>
  <c r="C18"/>
  <c r="G18" i="42" s="1"/>
  <c r="I13" i="44"/>
  <c r="F13" i="42" s="1"/>
  <c r="B48" i="35"/>
  <c r="I19" i="43"/>
  <c r="B19" i="42" s="1"/>
  <c r="E22" i="18"/>
  <c r="J11" i="10"/>
  <c r="D46" i="28"/>
  <c r="G42" i="19"/>
  <c r="C13" i="44"/>
  <c r="C13" i="42" s="1"/>
  <c r="G11" i="10"/>
  <c r="B12" i="18"/>
  <c r="G35" i="19"/>
  <c r="I35" s="1"/>
  <c r="G22"/>
  <c r="I22" s="1"/>
  <c r="I11" i="11"/>
  <c r="I29"/>
  <c r="I36"/>
  <c r="G29" i="28"/>
  <c r="E55" i="2"/>
  <c r="D44" i="10"/>
  <c r="E38" i="18"/>
  <c r="E31"/>
  <c r="E16"/>
  <c r="E39"/>
  <c r="E27"/>
  <c r="J44" i="54"/>
  <c r="E48" i="46"/>
  <c r="E18" i="44"/>
  <c r="D18" i="42" s="1"/>
  <c r="D48" i="2"/>
  <c r="G32" i="19"/>
  <c r="E19" i="44"/>
  <c r="D19" i="42" s="1"/>
  <c r="G37" i="19"/>
  <c r="B14"/>
  <c r="E14" i="5" s="1"/>
  <c r="H48" i="9"/>
  <c r="B48" i="88"/>
  <c r="D31" i="19"/>
  <c r="G33"/>
  <c r="G44"/>
  <c r="C48" i="2"/>
  <c r="C55" s="1"/>
  <c r="G24" i="19"/>
  <c r="G29" i="54"/>
  <c r="D48" i="36"/>
  <c r="B48" i="86"/>
  <c r="G46" i="10"/>
  <c r="D29"/>
  <c r="G44" i="54"/>
  <c r="E42" i="18"/>
  <c r="E51"/>
  <c r="D36" i="10"/>
  <c r="E28" i="18"/>
  <c r="J11" i="26"/>
  <c r="E23" i="78"/>
  <c r="E19"/>
  <c r="E21"/>
  <c r="E16"/>
  <c r="E12"/>
  <c r="E18"/>
  <c r="K55" i="2"/>
  <c r="D18" i="5"/>
  <c r="E11" i="20"/>
  <c r="E15" i="45" l="1"/>
  <c r="H15" i="42" s="1"/>
  <c r="C33" i="45"/>
  <c r="G33" i="42" s="1"/>
  <c r="G15" i="45"/>
  <c r="H48" i="18"/>
  <c r="E37" i="44"/>
  <c r="D37" i="42" s="1"/>
  <c r="G22" i="44"/>
  <c r="E22" i="42" s="1"/>
  <c r="E37" i="45"/>
  <c r="H37" i="42" s="1"/>
  <c r="B48" i="39"/>
  <c r="C20" i="45"/>
  <c r="G20" i="42" s="1"/>
  <c r="E20" i="45"/>
  <c r="H20" i="42" s="1"/>
  <c r="E20" i="44"/>
  <c r="D20" i="42" s="1"/>
  <c r="I20" i="44"/>
  <c r="F20" i="42" s="1"/>
  <c r="G37" i="44"/>
  <c r="E37" i="42" s="1"/>
  <c r="G24" i="44"/>
  <c r="E24" i="42" s="1"/>
  <c r="G37" i="45"/>
  <c r="I37" i="43"/>
  <c r="B37" i="42" s="1"/>
  <c r="C37" i="45"/>
  <c r="G37" i="42" s="1"/>
  <c r="G32" i="44"/>
  <c r="E32" i="42" s="1"/>
  <c r="G24" i="45"/>
  <c r="L54" i="2"/>
  <c r="I12" i="90"/>
  <c r="I46" i="43"/>
  <c r="B46" i="42" s="1"/>
  <c r="I29" i="90"/>
  <c r="G29"/>
  <c r="I23"/>
  <c r="G23"/>
  <c r="I17"/>
  <c r="G17"/>
  <c r="G41"/>
  <c r="I41"/>
  <c r="G27"/>
  <c r="I27"/>
  <c r="I25"/>
  <c r="G25"/>
  <c r="G11" i="20"/>
  <c r="G19" i="90"/>
  <c r="I19"/>
  <c r="I44"/>
  <c r="G44"/>
  <c r="G26"/>
  <c r="I26"/>
  <c r="I32"/>
  <c r="G32"/>
  <c r="I39" i="43"/>
  <c r="B39" i="42" s="1"/>
  <c r="C39" i="45"/>
  <c r="G39" i="42" s="1"/>
  <c r="E39" i="45"/>
  <c r="H39" i="42" s="1"/>
  <c r="E39" i="44"/>
  <c r="D39" i="42" s="1"/>
  <c r="C39" i="44"/>
  <c r="C39" i="42" s="1"/>
  <c r="I39" i="44"/>
  <c r="F39" i="42" s="1"/>
  <c r="G39" i="44"/>
  <c r="E39" i="42" s="1"/>
  <c r="G17" i="45"/>
  <c r="G17" i="44"/>
  <c r="E17" i="42" s="1"/>
  <c r="C17" i="44"/>
  <c r="C17" i="42" s="1"/>
  <c r="I17" i="44"/>
  <c r="F17" i="42" s="1"/>
  <c r="E17" i="45"/>
  <c r="H17" i="42" s="1"/>
  <c r="I17" i="43"/>
  <c r="B17" i="42" s="1"/>
  <c r="E17" i="44"/>
  <c r="D17" i="42" s="1"/>
  <c r="C17" i="45"/>
  <c r="G17" i="42" s="1"/>
  <c r="G28" i="90"/>
  <c r="I28"/>
  <c r="G13"/>
  <c r="D30" i="5"/>
  <c r="E30" i="19" s="1"/>
  <c r="B32" i="85"/>
  <c r="E32" s="1"/>
  <c r="G16" i="45"/>
  <c r="G16" i="44"/>
  <c r="E16" i="42" s="1"/>
  <c r="E16" i="45"/>
  <c r="H16" i="42" s="1"/>
  <c r="I16" i="44"/>
  <c r="F16" i="42" s="1"/>
  <c r="C16" i="45"/>
  <c r="G16" i="42" s="1"/>
  <c r="C16" i="44"/>
  <c r="C16" i="42" s="1"/>
  <c r="I16" i="43"/>
  <c r="B16" i="42" s="1"/>
  <c r="E16" i="44"/>
  <c r="D16" i="42" s="1"/>
  <c r="G25" i="76"/>
  <c r="G26" i="45"/>
  <c r="E26"/>
  <c r="H26" i="42" s="1"/>
  <c r="E26" i="44"/>
  <c r="D26" i="42" s="1"/>
  <c r="G26" i="44"/>
  <c r="E26" i="42" s="1"/>
  <c r="C26" i="45"/>
  <c r="G26" i="42" s="1"/>
  <c r="I26" i="43"/>
  <c r="B26" i="42" s="1"/>
  <c r="I26" i="44"/>
  <c r="F26" i="42" s="1"/>
  <c r="C26" i="44"/>
  <c r="C26" i="42" s="1"/>
  <c r="B33" i="85"/>
  <c r="E33" s="1"/>
  <c r="D31" i="5"/>
  <c r="E31" i="19" s="1"/>
  <c r="B30" i="85"/>
  <c r="E30" s="1"/>
  <c r="D28" i="5"/>
  <c r="E28" i="19" s="1"/>
  <c r="D19" i="54"/>
  <c r="B48"/>
  <c r="B23" i="85"/>
  <c r="E23" s="1"/>
  <c r="D21" i="5"/>
  <c r="I21" i="18" s="1"/>
  <c r="F18" i="5"/>
  <c r="D18" i="6" s="1"/>
  <c r="C18" i="35"/>
  <c r="E18" i="38"/>
  <c r="C18" i="27"/>
  <c r="C18" i="76" s="1"/>
  <c r="I18" i="10"/>
  <c r="C18" i="36"/>
  <c r="E18" i="37"/>
  <c r="C18" i="9"/>
  <c r="F18" i="54"/>
  <c r="C18" i="10"/>
  <c r="E18" i="35"/>
  <c r="I18" i="25"/>
  <c r="F18" i="8"/>
  <c r="C18" i="11"/>
  <c r="I18" i="26"/>
  <c r="E18" i="11"/>
  <c r="F18" i="10"/>
  <c r="C18" i="38"/>
  <c r="C18" i="82"/>
  <c r="F18" i="9"/>
  <c r="H18" i="11"/>
  <c r="C18" i="28"/>
  <c r="C18" i="8"/>
  <c r="C18" i="25"/>
  <c r="C18" i="86"/>
  <c r="C18" i="54"/>
  <c r="F18" i="28"/>
  <c r="G18" i="25"/>
  <c r="G18" i="34"/>
  <c r="I18" i="54"/>
  <c r="F18" i="26"/>
  <c r="I18" i="9"/>
  <c r="E18" i="82"/>
  <c r="C18" i="34"/>
  <c r="E18" i="25"/>
  <c r="C18" i="7"/>
  <c r="H48" i="54"/>
  <c r="J11"/>
  <c r="B40" i="85"/>
  <c r="E40" s="1"/>
  <c r="D38" i="5"/>
  <c r="H38" i="19" s="1"/>
  <c r="B43" i="85"/>
  <c r="E43" s="1"/>
  <c r="D41" i="5"/>
  <c r="F41" i="20" s="1"/>
  <c r="E48" i="54"/>
  <c r="G11"/>
  <c r="E11" i="76"/>
  <c r="F48" i="36"/>
  <c r="F19" i="41"/>
  <c r="G19" s="1"/>
  <c r="G34" i="90"/>
  <c r="G18" i="29"/>
  <c r="F18"/>
  <c r="G34"/>
  <c r="G36" i="90"/>
  <c r="I36"/>
  <c r="G28" i="18"/>
  <c r="F28"/>
  <c r="G51"/>
  <c r="I24" i="19"/>
  <c r="I44"/>
  <c r="G39" i="18"/>
  <c r="G31"/>
  <c r="F31"/>
  <c r="D12"/>
  <c r="G22"/>
  <c r="G25"/>
  <c r="D46" i="20"/>
  <c r="I21" i="19"/>
  <c r="H21"/>
  <c r="D20" i="18"/>
  <c r="I15" i="90"/>
  <c r="G15"/>
  <c r="F48" i="45"/>
  <c r="G31" i="76"/>
  <c r="F31"/>
  <c r="G41" i="45"/>
  <c r="C41"/>
  <c r="G41" i="42" s="1"/>
  <c r="I41" i="44"/>
  <c r="F41" i="42" s="1"/>
  <c r="G41" i="44"/>
  <c r="E41" i="42" s="1"/>
  <c r="E41" i="44"/>
  <c r="D41" i="42" s="1"/>
  <c r="C41" i="44"/>
  <c r="C41" i="42" s="1"/>
  <c r="E41" i="45"/>
  <c r="H41" i="42" s="1"/>
  <c r="I25" i="45"/>
  <c r="G25" s="1"/>
  <c r="I11" i="19"/>
  <c r="E35" i="44"/>
  <c r="D35" i="42" s="1"/>
  <c r="C35" i="44"/>
  <c r="C35" i="42" s="1"/>
  <c r="E35" i="45"/>
  <c r="H35" i="42" s="1"/>
  <c r="G35" i="44"/>
  <c r="E35" i="42" s="1"/>
  <c r="C35" i="45"/>
  <c r="G35" i="42" s="1"/>
  <c r="I35" i="44"/>
  <c r="F35" i="42" s="1"/>
  <c r="I24" i="44"/>
  <c r="F24" i="42" s="1"/>
  <c r="C24" i="45"/>
  <c r="G24" i="42" s="1"/>
  <c r="E24" i="44"/>
  <c r="D24" i="42" s="1"/>
  <c r="E24" i="45"/>
  <c r="H24" i="42" s="1"/>
  <c r="C24" i="44"/>
  <c r="C24" i="42" s="1"/>
  <c r="G12" i="45"/>
  <c r="E12"/>
  <c r="H12" i="42" s="1"/>
  <c r="C12" i="45"/>
  <c r="G12" i="42" s="1"/>
  <c r="G12" i="44"/>
  <c r="E12" i="42" s="1"/>
  <c r="C12" i="44"/>
  <c r="C12" i="42" s="1"/>
  <c r="I12" i="44"/>
  <c r="F12" i="42" s="1"/>
  <c r="E12" i="44"/>
  <c r="D12" i="42" s="1"/>
  <c r="I46" i="44"/>
  <c r="F46" i="42" s="1"/>
  <c r="C46" i="44"/>
  <c r="C46" i="42" s="1"/>
  <c r="G46" i="44"/>
  <c r="E46" i="42" s="1"/>
  <c r="E46" i="45"/>
  <c r="H46" i="42" s="1"/>
  <c r="C46" i="45"/>
  <c r="G46" i="42" s="1"/>
  <c r="E46" i="44"/>
  <c r="D46" i="42" s="1"/>
  <c r="D28" i="41"/>
  <c r="C28"/>
  <c r="F23" i="19"/>
  <c r="F37"/>
  <c r="F33"/>
  <c r="F30"/>
  <c r="F28"/>
  <c r="F26"/>
  <c r="G28" i="20"/>
  <c r="C40" i="41"/>
  <c r="D40"/>
  <c r="C46"/>
  <c r="D46"/>
  <c r="C45"/>
  <c r="D45"/>
  <c r="C39"/>
  <c r="D39"/>
  <c r="C35"/>
  <c r="D35"/>
  <c r="G41" i="20"/>
  <c r="G33"/>
  <c r="G27"/>
  <c r="G15"/>
  <c r="G39"/>
  <c r="C38" i="41"/>
  <c r="D38"/>
  <c r="G46" i="18"/>
  <c r="G35" i="20"/>
  <c r="G21"/>
  <c r="F21"/>
  <c r="G13"/>
  <c r="G16"/>
  <c r="G34" i="18"/>
  <c r="G29"/>
  <c r="G46" i="76"/>
  <c r="E21" i="5"/>
  <c r="G23" i="18"/>
  <c r="I23" i="19"/>
  <c r="G30" i="20"/>
  <c r="G42"/>
  <c r="I38" i="19"/>
  <c r="I15"/>
  <c r="I39"/>
  <c r="G12" i="20"/>
  <c r="G23"/>
  <c r="G48" i="10"/>
  <c r="D13" i="20"/>
  <c r="E34" i="44"/>
  <c r="D34" i="42" s="1"/>
  <c r="C34" i="44"/>
  <c r="C34" i="42" s="1"/>
  <c r="G34" i="44"/>
  <c r="E34" i="42" s="1"/>
  <c r="E34" i="45"/>
  <c r="H34" i="42" s="1"/>
  <c r="I34" i="43"/>
  <c r="B34" i="42" s="1"/>
  <c r="C34" i="45"/>
  <c r="G34" i="42" s="1"/>
  <c r="I34" i="44"/>
  <c r="F34" i="42" s="1"/>
  <c r="F21" i="19"/>
  <c r="I29" i="43"/>
  <c r="B29" i="42" s="1"/>
  <c r="C29" i="44"/>
  <c r="C29" i="42" s="1"/>
  <c r="I29" i="44"/>
  <c r="F29" i="42" s="1"/>
  <c r="G29" i="44"/>
  <c r="E29" i="42" s="1"/>
  <c r="E29" i="44"/>
  <c r="D29" i="42" s="1"/>
  <c r="E29" i="45"/>
  <c r="H29" i="42" s="1"/>
  <c r="C29" i="45"/>
  <c r="G29" i="42" s="1"/>
  <c r="G31" i="90"/>
  <c r="I31"/>
  <c r="I43"/>
  <c r="G43"/>
  <c r="D12" i="20"/>
  <c r="I29" i="19"/>
  <c r="I31"/>
  <c r="H31"/>
  <c r="I51" i="45"/>
  <c r="F48" i="39"/>
  <c r="H48"/>
  <c r="D48"/>
  <c r="G34" i="76"/>
  <c r="F11" i="43"/>
  <c r="B48"/>
  <c r="G50" i="28"/>
  <c r="G50" i="19"/>
  <c r="F44"/>
  <c r="D13" i="18"/>
  <c r="F42" i="19"/>
  <c r="F40"/>
  <c r="F34"/>
  <c r="F29"/>
  <c r="F25"/>
  <c r="F20"/>
  <c r="B17" i="76"/>
  <c r="E17" s="1"/>
  <c r="D17" i="27"/>
  <c r="D17" i="76" s="1"/>
  <c r="D17" i="19"/>
  <c r="B23" i="40"/>
  <c r="D23" s="1"/>
  <c r="B13"/>
  <c r="D13" s="1"/>
  <c r="B48" i="34"/>
  <c r="D45" i="28"/>
  <c r="G45" i="19"/>
  <c r="D20" i="54"/>
  <c r="E20" i="76"/>
  <c r="F18" i="19"/>
  <c r="E18"/>
  <c r="D48" i="29"/>
  <c r="G44" i="76"/>
  <c r="D18" i="39"/>
  <c r="H18"/>
  <c r="F18"/>
  <c r="D48" i="9"/>
  <c r="C28" i="44"/>
  <c r="C28" i="42" s="1"/>
  <c r="E28" i="45"/>
  <c r="H28" i="42" s="1"/>
  <c r="I28" i="44"/>
  <c r="F28" i="42" s="1"/>
  <c r="E28" i="44"/>
  <c r="D28" i="42" s="1"/>
  <c r="C28" i="45"/>
  <c r="G28" i="42" s="1"/>
  <c r="G18" i="19"/>
  <c r="D55" i="2"/>
  <c r="J19" i="42"/>
  <c r="I30" i="44"/>
  <c r="F30" i="42" s="1"/>
  <c r="E48" i="28"/>
  <c r="E44" i="44"/>
  <c r="D44" i="42" s="1"/>
  <c r="B48" i="18"/>
  <c r="B48" i="19"/>
  <c r="F18" i="76"/>
  <c r="G31" i="45"/>
  <c r="F18" i="18"/>
  <c r="E24" i="5"/>
  <c r="E18" i="36"/>
  <c r="E48" i="29"/>
  <c r="G34" i="19"/>
  <c r="G34" i="45"/>
  <c r="I38"/>
  <c r="G38" s="1"/>
  <c r="G35"/>
  <c r="G29"/>
  <c r="L48" i="2"/>
  <c r="L55" s="1"/>
  <c r="C18" i="18"/>
  <c r="J13" i="42"/>
  <c r="E28" i="5"/>
  <c r="I18" i="20"/>
  <c r="I36" i="45"/>
  <c r="E48" i="16"/>
  <c r="J18" i="42"/>
  <c r="I18" i="28"/>
  <c r="G18" i="36"/>
  <c r="C18" i="26"/>
  <c r="J40" i="42"/>
  <c r="D13" i="10"/>
  <c r="E13" i="18"/>
  <c r="B48" i="10"/>
  <c r="B39" i="85"/>
  <c r="E39" s="1"/>
  <c r="D37" i="5"/>
  <c r="F37" i="20" s="1"/>
  <c r="G42" i="90"/>
  <c r="I42"/>
  <c r="B47" i="85"/>
  <c r="E47" s="1"/>
  <c r="D45" i="5"/>
  <c r="C45" i="28" s="1"/>
  <c r="B48" i="36"/>
  <c r="B38" i="85"/>
  <c r="E38" s="1"/>
  <c r="D36" i="5"/>
  <c r="H36" i="19" s="1"/>
  <c r="G42" i="18"/>
  <c r="D48" i="86"/>
  <c r="I33" i="19"/>
  <c r="F31"/>
  <c r="J48" i="9"/>
  <c r="I37" i="19"/>
  <c r="I32"/>
  <c r="G27" i="18"/>
  <c r="G16"/>
  <c r="G38"/>
  <c r="I42" i="19"/>
  <c r="F12"/>
  <c r="D28" i="20"/>
  <c r="I12" i="19"/>
  <c r="D42" i="18"/>
  <c r="I43" i="19"/>
  <c r="G48" i="26"/>
  <c r="G18" i="90"/>
  <c r="I18"/>
  <c r="G39"/>
  <c r="I39"/>
  <c r="I36" i="19"/>
  <c r="G42" i="45"/>
  <c r="G42" i="44"/>
  <c r="E42" i="42" s="1"/>
  <c r="E42" i="45"/>
  <c r="H42" i="42" s="1"/>
  <c r="C42" i="45"/>
  <c r="G42" i="42" s="1"/>
  <c r="E42" i="44"/>
  <c r="D42" i="42" s="1"/>
  <c r="I42" i="44"/>
  <c r="F42" i="42" s="1"/>
  <c r="C42" i="44"/>
  <c r="C42" i="42" s="1"/>
  <c r="I14" i="45"/>
  <c r="G14" s="1"/>
  <c r="G32"/>
  <c r="E32"/>
  <c r="H32" i="42" s="1"/>
  <c r="C32" i="45"/>
  <c r="G32" i="42" s="1"/>
  <c r="I32" i="43"/>
  <c r="B32" i="42" s="1"/>
  <c r="I32" i="44"/>
  <c r="F32" i="42" s="1"/>
  <c r="G30" i="45"/>
  <c r="C30"/>
  <c r="G30" i="42" s="1"/>
  <c r="C30" i="44"/>
  <c r="C30" i="42" s="1"/>
  <c r="G30" i="44"/>
  <c r="E30" i="42" s="1"/>
  <c r="E30" i="45"/>
  <c r="H30" i="42" s="1"/>
  <c r="E30" i="44"/>
  <c r="D30" i="42" s="1"/>
  <c r="I27" i="45"/>
  <c r="G27" s="1"/>
  <c r="G44"/>
  <c r="G44" i="44"/>
  <c r="E44" i="42" s="1"/>
  <c r="I44" i="44"/>
  <c r="F44" i="42" s="1"/>
  <c r="C44" i="44"/>
  <c r="C44" i="42" s="1"/>
  <c r="E44" i="45"/>
  <c r="H44" i="42" s="1"/>
  <c r="C44" i="45"/>
  <c r="G44" i="42" s="1"/>
  <c r="G37" i="76"/>
  <c r="F37"/>
  <c r="D48" i="28"/>
  <c r="G46" i="19"/>
  <c r="D14" i="28"/>
  <c r="G14" i="19"/>
  <c r="I14" i="90" s="1"/>
  <c r="B19" i="76"/>
  <c r="E19" s="1"/>
  <c r="D19" i="27"/>
  <c r="D19" i="76" s="1"/>
  <c r="F43" i="19"/>
  <c r="F45"/>
  <c r="F41"/>
  <c r="F35"/>
  <c r="F24"/>
  <c r="D48" i="7"/>
  <c r="B13" i="76"/>
  <c r="D13" i="27"/>
  <c r="D13" i="76" s="1"/>
  <c r="B48" i="27"/>
  <c r="D13" i="19"/>
  <c r="G43" i="18"/>
  <c r="I51" i="19"/>
  <c r="G48" i="9"/>
  <c r="G11" i="41"/>
  <c r="D43"/>
  <c r="C43"/>
  <c r="D31"/>
  <c r="C31"/>
  <c r="D24"/>
  <c r="C24"/>
  <c r="D18"/>
  <c r="C18"/>
  <c r="G26" i="18"/>
  <c r="G20"/>
  <c r="G41" i="76"/>
  <c r="F41"/>
  <c r="G43" i="20"/>
  <c r="G24"/>
  <c r="G14"/>
  <c r="D48" i="8"/>
  <c r="G12" i="18"/>
  <c r="G36" i="20"/>
  <c r="G18"/>
  <c r="F18"/>
  <c r="I48" i="11"/>
  <c r="I17" i="19"/>
  <c r="D18" i="20"/>
  <c r="C18"/>
  <c r="J48" i="10"/>
  <c r="I26" i="19"/>
  <c r="I45" i="45"/>
  <c r="G45" s="1"/>
  <c r="I22" i="43"/>
  <c r="B22" i="42" s="1"/>
  <c r="E22" i="44"/>
  <c r="D22" i="42" s="1"/>
  <c r="C22" i="45"/>
  <c r="G22" i="42" s="1"/>
  <c r="I22" i="44"/>
  <c r="F22" i="42" s="1"/>
  <c r="E22" i="45"/>
  <c r="H22" i="42" s="1"/>
  <c r="C22" i="44"/>
  <c r="C22" i="42" s="1"/>
  <c r="D23" i="20"/>
  <c r="I31" i="43"/>
  <c r="B31" i="42" s="1"/>
  <c r="C31" i="44"/>
  <c r="C31" i="42" s="1"/>
  <c r="G31" i="44"/>
  <c r="E31" i="42" s="1"/>
  <c r="I31" i="44"/>
  <c r="F31" i="42" s="1"/>
  <c r="C31" i="45"/>
  <c r="G31" i="42" s="1"/>
  <c r="E31" i="45"/>
  <c r="H31" i="42" s="1"/>
  <c r="D48" i="26"/>
  <c r="G15" i="76"/>
  <c r="E33" i="44"/>
  <c r="D33" i="42" s="1"/>
  <c r="C33" i="44"/>
  <c r="C33" i="42" s="1"/>
  <c r="G33" i="44"/>
  <c r="E33" i="42" s="1"/>
  <c r="I33" i="44"/>
  <c r="F33" i="42" s="1"/>
  <c r="E33" i="45"/>
  <c r="H33" i="42" s="1"/>
  <c r="I30" i="19"/>
  <c r="H30"/>
  <c r="G21" i="76"/>
  <c r="J48" i="20"/>
  <c r="H52"/>
  <c r="F48" i="11"/>
  <c r="E48" i="41"/>
  <c r="R14" i="2"/>
  <c r="I15" i="44"/>
  <c r="F15" i="42" s="1"/>
  <c r="G15" i="44"/>
  <c r="E15" i="42" s="1"/>
  <c r="C15" i="44"/>
  <c r="C15" i="42" s="1"/>
  <c r="C15" i="45"/>
  <c r="G15" i="42" s="1"/>
  <c r="E15" i="44"/>
  <c r="D15" i="42" s="1"/>
  <c r="C44" i="41"/>
  <c r="D44"/>
  <c r="H46" i="39"/>
  <c r="F46"/>
  <c r="D46"/>
  <c r="F46" i="19"/>
  <c r="F36"/>
  <c r="F32"/>
  <c r="F27"/>
  <c r="E12" i="5"/>
  <c r="J48" i="28"/>
  <c r="G14" i="18"/>
  <c r="C42" i="41"/>
  <c r="D42"/>
  <c r="G40" i="20"/>
  <c r="G20"/>
  <c r="D30" i="41"/>
  <c r="C30"/>
  <c r="C19"/>
  <c r="D19"/>
  <c r="G37" i="20"/>
  <c r="G25"/>
  <c r="G32"/>
  <c r="G22"/>
  <c r="G44"/>
  <c r="G36" i="76"/>
  <c r="I16" i="19"/>
  <c r="C33" i="41"/>
  <c r="D33"/>
  <c r="C29"/>
  <c r="D29"/>
  <c r="D22"/>
  <c r="C22"/>
  <c r="D14"/>
  <c r="C14"/>
  <c r="G39" i="45"/>
  <c r="J28" i="42"/>
  <c r="B48" i="20"/>
  <c r="I18" i="18"/>
  <c r="J24" i="42"/>
  <c r="D19" i="19"/>
  <c r="E32" i="44"/>
  <c r="D32" i="42" s="1"/>
  <c r="C18" i="19"/>
  <c r="I23" i="45"/>
  <c r="C18" i="37"/>
  <c r="B48" i="41"/>
  <c r="C48" i="5"/>
  <c r="I43" i="45"/>
  <c r="J21" i="42"/>
  <c r="C18" i="29"/>
  <c r="E18" i="34"/>
  <c r="I37" i="90"/>
  <c r="I48" i="2"/>
  <c r="I55" s="1"/>
  <c r="E19" i="20"/>
  <c r="G28" i="45"/>
  <c r="E42" i="78"/>
  <c r="D14" i="5"/>
  <c r="H37" i="19" l="1"/>
  <c r="E48" i="5"/>
  <c r="F21" i="76"/>
  <c r="F28" i="20"/>
  <c r="G12" i="90"/>
  <c r="J46" i="42"/>
  <c r="J37"/>
  <c r="J20"/>
  <c r="F36" i="76"/>
  <c r="E36" i="19"/>
  <c r="F36" i="20"/>
  <c r="E41" i="19"/>
  <c r="E18" i="90"/>
  <c r="F38" i="18"/>
  <c r="B48" i="40"/>
  <c r="D48" s="1"/>
  <c r="J12" i="42"/>
  <c r="J35"/>
  <c r="J41"/>
  <c r="F48" i="41"/>
  <c r="G48" s="1"/>
  <c r="E45" i="19"/>
  <c r="C28" i="20"/>
  <c r="I28" i="18"/>
  <c r="E21" i="19"/>
  <c r="F30" i="20"/>
  <c r="J15" i="42"/>
  <c r="J44"/>
  <c r="J33"/>
  <c r="J30"/>
  <c r="J42"/>
  <c r="G19" i="76"/>
  <c r="F14" i="5"/>
  <c r="E14" i="38"/>
  <c r="C14" i="9"/>
  <c r="E14" i="37"/>
  <c r="C14" i="8"/>
  <c r="C14" i="36"/>
  <c r="C14" i="10"/>
  <c r="G14" i="36"/>
  <c r="F14" i="8"/>
  <c r="E14" i="35"/>
  <c r="I14" i="26"/>
  <c r="C14" i="38"/>
  <c r="C14" i="7"/>
  <c r="C14" i="27"/>
  <c r="C14" i="76" s="1"/>
  <c r="I14" i="10"/>
  <c r="F14"/>
  <c r="C14" i="35"/>
  <c r="I14" i="54"/>
  <c r="H14" i="11"/>
  <c r="E14" i="82"/>
  <c r="C14" i="34"/>
  <c r="I14" i="25"/>
  <c r="E14" i="11"/>
  <c r="F14" i="54"/>
  <c r="F14" i="9"/>
  <c r="C14" i="54"/>
  <c r="C14" i="37"/>
  <c r="C14" i="82"/>
  <c r="G14" i="34"/>
  <c r="C14" i="11"/>
  <c r="F14" i="28"/>
  <c r="F14" i="26"/>
  <c r="E14" i="34"/>
  <c r="C14" i="26"/>
  <c r="E14" i="25"/>
  <c r="C14"/>
  <c r="I14" i="9"/>
  <c r="C14" i="86"/>
  <c r="C14" i="29"/>
  <c r="F14" i="76"/>
  <c r="E14" i="36"/>
  <c r="I14" i="28"/>
  <c r="I14" i="20"/>
  <c r="C14"/>
  <c r="C14" i="18"/>
  <c r="G14" i="25"/>
  <c r="F14" i="29"/>
  <c r="E14" i="19"/>
  <c r="I14" i="18"/>
  <c r="B26" i="85"/>
  <c r="E26" s="1"/>
  <c r="D24" i="5"/>
  <c r="G20" i="90"/>
  <c r="I20"/>
  <c r="D19" i="5"/>
  <c r="E19" i="19" s="1"/>
  <c r="B21" i="85"/>
  <c r="E21" s="1"/>
  <c r="D43" i="5"/>
  <c r="B45" i="85"/>
  <c r="E45" s="1"/>
  <c r="B18"/>
  <c r="E18" s="1"/>
  <c r="D16" i="5"/>
  <c r="F19" i="20"/>
  <c r="G19"/>
  <c r="G43" i="44"/>
  <c r="E43" i="42" s="1"/>
  <c r="C43" i="45"/>
  <c r="G43" i="42" s="1"/>
  <c r="E43" i="45"/>
  <c r="H43" i="42" s="1"/>
  <c r="E43" i="44"/>
  <c r="D43" i="42" s="1"/>
  <c r="I43" i="44"/>
  <c r="F43" i="42" s="1"/>
  <c r="I43" i="43"/>
  <c r="B43" i="42" s="1"/>
  <c r="C43" i="44"/>
  <c r="C43" i="42" s="1"/>
  <c r="D48" i="41"/>
  <c r="C48"/>
  <c r="I23" i="43"/>
  <c r="B23" i="42" s="1"/>
  <c r="I23" i="44"/>
  <c r="F23" i="42" s="1"/>
  <c r="G23" i="44"/>
  <c r="E23" i="42" s="1"/>
  <c r="E23" i="44"/>
  <c r="D23" i="42" s="1"/>
  <c r="E23" i="45"/>
  <c r="H23" i="42" s="1"/>
  <c r="C23" i="45"/>
  <c r="G23" i="42" s="1"/>
  <c r="C23" i="44"/>
  <c r="C23" i="42" s="1"/>
  <c r="F19" i="19"/>
  <c r="B52" i="20"/>
  <c r="B53"/>
  <c r="D48"/>
  <c r="I24" i="90"/>
  <c r="G24"/>
  <c r="F13" i="19"/>
  <c r="E13" i="76"/>
  <c r="E48" s="1"/>
  <c r="B48"/>
  <c r="J38" i="85"/>
  <c r="G38"/>
  <c r="G47"/>
  <c r="J47"/>
  <c r="F37" i="5"/>
  <c r="I37" i="10"/>
  <c r="C37" i="35"/>
  <c r="F37" i="10"/>
  <c r="G37" i="34"/>
  <c r="E37" i="38"/>
  <c r="C37" i="10"/>
  <c r="E37" i="82"/>
  <c r="I37" i="54"/>
  <c r="F37" i="29"/>
  <c r="C37" i="86"/>
  <c r="C37" i="36"/>
  <c r="C37" i="29"/>
  <c r="F37" i="54"/>
  <c r="C37" i="7"/>
  <c r="I37" i="25"/>
  <c r="F37" i="26"/>
  <c r="C37" i="11"/>
  <c r="C37" i="8"/>
  <c r="C37" i="9"/>
  <c r="I37" i="26"/>
  <c r="E37" i="11"/>
  <c r="F37" i="8"/>
  <c r="C37" i="82"/>
  <c r="C37" i="34"/>
  <c r="G37" i="25"/>
  <c r="E37" i="36"/>
  <c r="H37" i="11"/>
  <c r="C37" i="28"/>
  <c r="C37" i="54"/>
  <c r="I37" i="9"/>
  <c r="E37" i="34"/>
  <c r="E37" i="25"/>
  <c r="E37" i="35"/>
  <c r="F37" i="28"/>
  <c r="C37" i="38"/>
  <c r="F37" i="9"/>
  <c r="C37" i="25"/>
  <c r="I37" i="28"/>
  <c r="G37" i="36"/>
  <c r="F37" i="18"/>
  <c r="I37" i="20"/>
  <c r="C37" i="27"/>
  <c r="C37" i="76" s="1"/>
  <c r="C37" i="20"/>
  <c r="C37" i="37"/>
  <c r="E37"/>
  <c r="I37" i="18"/>
  <c r="C37"/>
  <c r="C37" i="19"/>
  <c r="C37" i="26"/>
  <c r="D48" i="10"/>
  <c r="I13" i="90"/>
  <c r="G13" i="18"/>
  <c r="E36" i="45"/>
  <c r="H36" i="42" s="1"/>
  <c r="E36" i="44"/>
  <c r="D36" i="42" s="1"/>
  <c r="C36" i="44"/>
  <c r="C36" i="42" s="1"/>
  <c r="G36" i="44"/>
  <c r="E36" i="42" s="1"/>
  <c r="C36" i="45"/>
  <c r="G36" i="42" s="1"/>
  <c r="I36" i="43"/>
  <c r="B36" i="42" s="1"/>
  <c r="I36" i="44"/>
  <c r="F36" i="42" s="1"/>
  <c r="G16" i="90"/>
  <c r="I16"/>
  <c r="G48" i="29"/>
  <c r="D48" i="18"/>
  <c r="I38" i="90"/>
  <c r="G38"/>
  <c r="G48" i="28"/>
  <c r="I33" i="90"/>
  <c r="G33"/>
  <c r="D51" i="5"/>
  <c r="D23"/>
  <c r="B25" i="85"/>
  <c r="E25" s="1"/>
  <c r="D35" i="5"/>
  <c r="B37" i="85"/>
  <c r="E37" s="1"/>
  <c r="I35" i="90"/>
  <c r="G35"/>
  <c r="G20" i="76"/>
  <c r="F17" i="19"/>
  <c r="I50"/>
  <c r="H11" i="43"/>
  <c r="F48"/>
  <c r="I51"/>
  <c r="B51" i="42" s="1"/>
  <c r="I51" i="44"/>
  <c r="F51" i="42" s="1"/>
  <c r="C51" i="45"/>
  <c r="G51" i="42" s="1"/>
  <c r="E51" i="45"/>
  <c r="H51" i="42" s="1"/>
  <c r="C51" i="44"/>
  <c r="C51" i="42" s="1"/>
  <c r="G51" i="44"/>
  <c r="E51" i="42" s="1"/>
  <c r="E51" i="44"/>
  <c r="D51" i="42" s="1"/>
  <c r="G11" i="76"/>
  <c r="F41" i="5"/>
  <c r="I41" i="25"/>
  <c r="G41" i="34"/>
  <c r="E41" i="38"/>
  <c r="C41" i="29"/>
  <c r="F41" i="54"/>
  <c r="C41" i="7"/>
  <c r="F41" i="8"/>
  <c r="I41" i="28"/>
  <c r="C41" i="86"/>
  <c r="G41" i="36"/>
  <c r="C41" i="37"/>
  <c r="F41" i="9"/>
  <c r="I41" i="26"/>
  <c r="I41" i="10"/>
  <c r="G41" i="25"/>
  <c r="C41" i="82"/>
  <c r="E41" i="35"/>
  <c r="C41" i="27"/>
  <c r="C41" i="76" s="1"/>
  <c r="C41" i="9"/>
  <c r="F41" i="26"/>
  <c r="E41" i="25"/>
  <c r="C41" i="10"/>
  <c r="E41" i="82"/>
  <c r="E41" i="36"/>
  <c r="H41" i="11"/>
  <c r="I41" i="9"/>
  <c r="F41" i="10"/>
  <c r="I41" i="54"/>
  <c r="C41" i="28"/>
  <c r="C41" i="8"/>
  <c r="E41" i="11"/>
  <c r="C41" i="36"/>
  <c r="E41" i="34"/>
  <c r="C41" i="35"/>
  <c r="C41" i="34"/>
  <c r="F41" i="28"/>
  <c r="C41" i="38"/>
  <c r="C41" i="25"/>
  <c r="C41" i="11"/>
  <c r="H41" i="19"/>
  <c r="C41" i="20"/>
  <c r="F41" i="18"/>
  <c r="E41" i="37"/>
  <c r="F41" i="29"/>
  <c r="I41" i="20"/>
  <c r="C41" i="18"/>
  <c r="I41"/>
  <c r="C41" i="19"/>
  <c r="C41" i="54"/>
  <c r="C41" i="26"/>
  <c r="F38" i="5"/>
  <c r="D38" i="6" s="1"/>
  <c r="E38" i="35"/>
  <c r="I38" i="9"/>
  <c r="C38" i="35"/>
  <c r="C38" i="10"/>
  <c r="C38" i="11"/>
  <c r="G38" i="34"/>
  <c r="E38" i="38"/>
  <c r="F38" i="10"/>
  <c r="I38"/>
  <c r="E38" i="34"/>
  <c r="C38" i="25"/>
  <c r="C38" i="7"/>
  <c r="I38" i="26"/>
  <c r="E38" i="11"/>
  <c r="G38" i="25"/>
  <c r="F38" i="9"/>
  <c r="C38" i="34"/>
  <c r="C38" i="27"/>
  <c r="C38" i="76" s="1"/>
  <c r="E38" i="82"/>
  <c r="E38" i="25"/>
  <c r="C38" i="54"/>
  <c r="C38" i="28"/>
  <c r="C38" i="36"/>
  <c r="E38" i="37"/>
  <c r="F38" i="26"/>
  <c r="C38" i="38"/>
  <c r="C38" i="20"/>
  <c r="C38" i="26"/>
  <c r="F38" i="54"/>
  <c r="C38" i="82"/>
  <c r="I38" i="54"/>
  <c r="H38" i="11"/>
  <c r="C38" i="8"/>
  <c r="F38"/>
  <c r="C38" i="9"/>
  <c r="I38" i="25"/>
  <c r="F38" i="28"/>
  <c r="F38" i="20"/>
  <c r="E38" i="19"/>
  <c r="F38" i="76"/>
  <c r="E38" i="36"/>
  <c r="F38" i="29"/>
  <c r="C38" i="86"/>
  <c r="C38" i="37"/>
  <c r="G38" i="36"/>
  <c r="C38" i="29"/>
  <c r="I38" i="28"/>
  <c r="I38" i="20"/>
  <c r="C38" i="18"/>
  <c r="I38"/>
  <c r="C38" i="19"/>
  <c r="D50" i="5"/>
  <c r="B52" i="85"/>
  <c r="E52" s="1"/>
  <c r="J48" i="54"/>
  <c r="F18" i="6"/>
  <c r="E18"/>
  <c r="C18" i="78" s="1"/>
  <c r="J23" i="85"/>
  <c r="G23"/>
  <c r="G30"/>
  <c r="J30"/>
  <c r="J33"/>
  <c r="G33"/>
  <c r="F30" i="5"/>
  <c r="D30" i="6" s="1"/>
  <c r="E30" i="38"/>
  <c r="C30" i="25"/>
  <c r="C30" i="10"/>
  <c r="F30"/>
  <c r="F30" i="8"/>
  <c r="G30" i="34"/>
  <c r="C30" i="54"/>
  <c r="C30" i="29"/>
  <c r="E30" i="37"/>
  <c r="C30" i="36"/>
  <c r="I30" i="25"/>
  <c r="C30" i="86"/>
  <c r="I30" i="54"/>
  <c r="E30" i="35"/>
  <c r="F30" i="26"/>
  <c r="E30" i="34"/>
  <c r="C30" i="8"/>
  <c r="C30" i="9"/>
  <c r="C30" i="38"/>
  <c r="C30" i="11"/>
  <c r="I30" i="9"/>
  <c r="F30" i="28"/>
  <c r="C30" i="34"/>
  <c r="E30" i="11"/>
  <c r="I30" i="10"/>
  <c r="G30" i="25"/>
  <c r="I30" i="26"/>
  <c r="F30" i="9"/>
  <c r="I30" i="28"/>
  <c r="G30" i="36"/>
  <c r="H30" i="11"/>
  <c r="F30" i="54"/>
  <c r="E30" i="82"/>
  <c r="C30" i="35"/>
  <c r="C30" i="27"/>
  <c r="C30" i="76" s="1"/>
  <c r="C30" i="82"/>
  <c r="C30" i="7"/>
  <c r="E30" i="25"/>
  <c r="F30" i="76"/>
  <c r="C30" i="20"/>
  <c r="F30" i="29"/>
  <c r="C30" i="26"/>
  <c r="F30" i="18"/>
  <c r="E30" i="36"/>
  <c r="C30" i="28"/>
  <c r="I30" i="20"/>
  <c r="C30" i="18"/>
  <c r="C30" i="19"/>
  <c r="C30" i="37"/>
  <c r="I30" i="18"/>
  <c r="G23" i="45"/>
  <c r="F14" i="20"/>
  <c r="C14" i="28"/>
  <c r="J32" i="42"/>
  <c r="C14" i="19"/>
  <c r="J29" i="42"/>
  <c r="E37" i="19"/>
  <c r="J26" i="42"/>
  <c r="E48" i="18"/>
  <c r="E48" i="20"/>
  <c r="B29" i="85"/>
  <c r="E29" s="1"/>
  <c r="D27" i="5"/>
  <c r="B15" i="85"/>
  <c r="E15" s="1"/>
  <c r="D13" i="5"/>
  <c r="E13" i="19" s="1"/>
  <c r="B22" i="85"/>
  <c r="E22" s="1"/>
  <c r="D20" i="5"/>
  <c r="F20" i="76" s="1"/>
  <c r="B44" i="85"/>
  <c r="E44" s="1"/>
  <c r="D42" i="5"/>
  <c r="D12"/>
  <c r="B14" i="85"/>
  <c r="E14" s="1"/>
  <c r="D26" i="5"/>
  <c r="B28" i="85"/>
  <c r="E28" s="1"/>
  <c r="D22" i="5"/>
  <c r="B24" i="85"/>
  <c r="E24" s="1"/>
  <c r="D15" i="5"/>
  <c r="B17" i="85"/>
  <c r="E17" s="1"/>
  <c r="B48"/>
  <c r="E48" s="1"/>
  <c r="D46" i="5"/>
  <c r="H46" i="19" s="1"/>
  <c r="G30" i="90"/>
  <c r="I30"/>
  <c r="G22"/>
  <c r="I22"/>
  <c r="I45" i="44"/>
  <c r="F45" i="42" s="1"/>
  <c r="G45" i="44"/>
  <c r="E45" i="42" s="1"/>
  <c r="E45" i="45"/>
  <c r="H45" i="42" s="1"/>
  <c r="C45" i="45"/>
  <c r="G45" i="42" s="1"/>
  <c r="C45" i="44"/>
  <c r="C45" i="42" s="1"/>
  <c r="E45" i="44"/>
  <c r="D45" i="42" s="1"/>
  <c r="I45" i="43"/>
  <c r="B45" i="42" s="1"/>
  <c r="D48" i="27"/>
  <c r="D48" i="76" s="1"/>
  <c r="I14" i="19"/>
  <c r="H14"/>
  <c r="I46"/>
  <c r="I27" i="43"/>
  <c r="B27" i="42" s="1"/>
  <c r="E27" i="45"/>
  <c r="H27" i="42" s="1"/>
  <c r="G27" i="44"/>
  <c r="E27" i="42" s="1"/>
  <c r="C27" i="45"/>
  <c r="G27" i="42" s="1"/>
  <c r="E27" i="44"/>
  <c r="D27" i="42" s="1"/>
  <c r="I27" i="44"/>
  <c r="F27" i="42" s="1"/>
  <c r="C27" i="44"/>
  <c r="C27" i="42" s="1"/>
  <c r="I14" i="44"/>
  <c r="F14" i="42" s="1"/>
  <c r="C14" i="45"/>
  <c r="G14" i="42" s="1"/>
  <c r="E14" i="45"/>
  <c r="H14" i="42" s="1"/>
  <c r="G14" i="44"/>
  <c r="E14" i="42" s="1"/>
  <c r="E14" i="44"/>
  <c r="D14" i="42" s="1"/>
  <c r="I14" i="43"/>
  <c r="B14" i="42" s="1"/>
  <c r="C14" i="44"/>
  <c r="C14" i="42" s="1"/>
  <c r="G11" i="90"/>
  <c r="I11"/>
  <c r="F36" i="5"/>
  <c r="G36" i="25"/>
  <c r="E36" i="38"/>
  <c r="G36" i="34"/>
  <c r="C36" i="11"/>
  <c r="I36" i="28"/>
  <c r="C36" i="86"/>
  <c r="E36" i="37"/>
  <c r="F36" i="54"/>
  <c r="F36" i="28"/>
  <c r="E36" i="34"/>
  <c r="C36" i="36"/>
  <c r="E36" i="82"/>
  <c r="E36" i="11"/>
  <c r="F36" i="10"/>
  <c r="C36" i="38"/>
  <c r="F36" i="9"/>
  <c r="E36" i="35"/>
  <c r="F36" i="26"/>
  <c r="C36" i="25"/>
  <c r="C36" i="35"/>
  <c r="C36" i="10"/>
  <c r="E36" i="36"/>
  <c r="C36" i="9"/>
  <c r="C36" i="8"/>
  <c r="C36" i="7"/>
  <c r="H36" i="11"/>
  <c r="E36" i="25"/>
  <c r="C36" i="82"/>
  <c r="C36" i="27"/>
  <c r="C36" i="76" s="1"/>
  <c r="F36" i="8"/>
  <c r="I36" i="10"/>
  <c r="I36" i="54"/>
  <c r="I36" i="26"/>
  <c r="I36" i="25"/>
  <c r="I36" i="9"/>
  <c r="C36" i="26"/>
  <c r="C36" i="34"/>
  <c r="C36" i="29"/>
  <c r="F36"/>
  <c r="C36" i="54"/>
  <c r="G36" i="36"/>
  <c r="C36" i="20"/>
  <c r="I36"/>
  <c r="I36" i="18"/>
  <c r="C36"/>
  <c r="F36"/>
  <c r="C36" i="37"/>
  <c r="C36" i="28"/>
  <c r="C36" i="19"/>
  <c r="F45" i="5"/>
  <c r="D45" i="6" s="1"/>
  <c r="I45" i="10"/>
  <c r="C45"/>
  <c r="F45"/>
  <c r="G45" i="34"/>
  <c r="C45" i="11"/>
  <c r="E45" i="38"/>
  <c r="I45" i="54"/>
  <c r="C45"/>
  <c r="H45" i="11"/>
  <c r="E45" i="37"/>
  <c r="F45" i="54"/>
  <c r="E45" i="11"/>
  <c r="C45" i="27"/>
  <c r="C45" i="76" s="1"/>
  <c r="G45" i="25"/>
  <c r="C45" i="34"/>
  <c r="F45" i="9"/>
  <c r="F45" i="26"/>
  <c r="I45" i="25"/>
  <c r="C45" i="8"/>
  <c r="C45" i="36"/>
  <c r="I45" i="9"/>
  <c r="C45" i="25"/>
  <c r="E45" i="34"/>
  <c r="C45" i="9"/>
  <c r="C45" i="82"/>
  <c r="C45" i="35"/>
  <c r="C45" i="7"/>
  <c r="F45" i="29"/>
  <c r="E45" i="35"/>
  <c r="E45" i="82"/>
  <c r="I45" i="26"/>
  <c r="C45" i="38"/>
  <c r="E45" i="25"/>
  <c r="F45" i="8"/>
  <c r="F45" i="18"/>
  <c r="F45" i="20"/>
  <c r="C45" i="29"/>
  <c r="F45" i="28"/>
  <c r="E45" i="36"/>
  <c r="C45" i="26"/>
  <c r="I45" i="20"/>
  <c r="C45"/>
  <c r="F45" i="76"/>
  <c r="G45" i="36"/>
  <c r="I45" i="28"/>
  <c r="C45" i="19"/>
  <c r="C45" i="86"/>
  <c r="I45" i="18"/>
  <c r="C45"/>
  <c r="C45" i="37"/>
  <c r="J39" i="85"/>
  <c r="G39"/>
  <c r="I38" i="43"/>
  <c r="B38" i="42" s="1"/>
  <c r="G38" i="44"/>
  <c r="E38" i="42" s="1"/>
  <c r="C38" i="44"/>
  <c r="C38" i="42" s="1"/>
  <c r="E38" i="45"/>
  <c r="H38" i="42" s="1"/>
  <c r="I38" i="44"/>
  <c r="F38" i="42" s="1"/>
  <c r="C38" i="45"/>
  <c r="G38" i="42" s="1"/>
  <c r="E38" i="44"/>
  <c r="D38" i="42" s="1"/>
  <c r="I34" i="19"/>
  <c r="G21" i="90"/>
  <c r="I21"/>
  <c r="H18" i="19"/>
  <c r="I18"/>
  <c r="I46" i="90"/>
  <c r="G46"/>
  <c r="D17" i="5"/>
  <c r="B19" i="85"/>
  <c r="E19" s="1"/>
  <c r="I45" i="19"/>
  <c r="H45"/>
  <c r="G17" i="76"/>
  <c r="G25" i="44"/>
  <c r="E25" i="42" s="1"/>
  <c r="E25" i="45"/>
  <c r="H25" i="42" s="1"/>
  <c r="I25" i="44"/>
  <c r="F25" i="42" s="1"/>
  <c r="I25" i="43"/>
  <c r="B25" i="42" s="1"/>
  <c r="C25" i="45"/>
  <c r="G25" i="42" s="1"/>
  <c r="E25" i="44"/>
  <c r="D25" i="42" s="1"/>
  <c r="C25" i="44"/>
  <c r="C25" i="42" s="1"/>
  <c r="G48" i="54"/>
  <c r="G43" i="85"/>
  <c r="J43"/>
  <c r="G40"/>
  <c r="J40"/>
  <c r="F21" i="5"/>
  <c r="D21" i="6" s="1"/>
  <c r="G21" i="25"/>
  <c r="G21" i="34"/>
  <c r="C21"/>
  <c r="C21" i="82"/>
  <c r="E21" i="38"/>
  <c r="I21" i="26"/>
  <c r="C21" i="10"/>
  <c r="I21" i="54"/>
  <c r="F21"/>
  <c r="C21" i="86"/>
  <c r="G21" i="36"/>
  <c r="C21" i="8"/>
  <c r="C21" i="26"/>
  <c r="E21" i="35"/>
  <c r="F21" i="26"/>
  <c r="F21" i="9"/>
  <c r="I21" i="25"/>
  <c r="C21" i="11"/>
  <c r="C21" i="35"/>
  <c r="I21" i="28"/>
  <c r="E21" i="36"/>
  <c r="H21" i="11"/>
  <c r="C21" i="36"/>
  <c r="C21" i="54"/>
  <c r="F21" i="10"/>
  <c r="E21" i="11"/>
  <c r="C21" i="9"/>
  <c r="E21" i="34"/>
  <c r="E21" i="25"/>
  <c r="C21"/>
  <c r="I21" i="9"/>
  <c r="C21" i="28"/>
  <c r="C21" i="38"/>
  <c r="F21" i="8"/>
  <c r="I21" i="10"/>
  <c r="C21" i="18"/>
  <c r="C21" i="27"/>
  <c r="C21" i="76" s="1"/>
  <c r="F21" i="28"/>
  <c r="E21" i="82"/>
  <c r="C21" i="29"/>
  <c r="E21" i="37"/>
  <c r="I21" i="20"/>
  <c r="F21" i="29"/>
  <c r="C21" i="20"/>
  <c r="F21" i="18"/>
  <c r="C21" i="37"/>
  <c r="C21" i="19"/>
  <c r="C21" i="7"/>
  <c r="D48" i="54"/>
  <c r="F28" i="5"/>
  <c r="E28" i="38"/>
  <c r="I28" i="25"/>
  <c r="G28" i="34"/>
  <c r="F28" i="10"/>
  <c r="E28" i="11"/>
  <c r="F28" i="54"/>
  <c r="I28"/>
  <c r="C28" i="36"/>
  <c r="I28" i="28"/>
  <c r="C28" i="29"/>
  <c r="G28" i="36"/>
  <c r="E28" i="34"/>
  <c r="F28" i="28"/>
  <c r="C28" i="25"/>
  <c r="F28" i="26"/>
  <c r="C28" i="38"/>
  <c r="C28" i="35"/>
  <c r="E28" i="25"/>
  <c r="C28" i="7"/>
  <c r="E28" i="82"/>
  <c r="C28" i="27"/>
  <c r="C28" i="76" s="1"/>
  <c r="I28" i="26"/>
  <c r="G28" i="25"/>
  <c r="C28" i="10"/>
  <c r="C28" i="54"/>
  <c r="H28" i="11"/>
  <c r="C28" i="9"/>
  <c r="C28" i="28"/>
  <c r="F28" i="29"/>
  <c r="F28" i="8"/>
  <c r="I28" i="10"/>
  <c r="E28" i="35"/>
  <c r="C28" i="8"/>
  <c r="I28" i="9"/>
  <c r="F28"/>
  <c r="F28" i="76"/>
  <c r="C28" i="19"/>
  <c r="C28" i="37"/>
  <c r="E28"/>
  <c r="E28" i="36"/>
  <c r="C28" i="86"/>
  <c r="C28" i="34"/>
  <c r="C28" i="18"/>
  <c r="I28" i="20"/>
  <c r="C28" i="82"/>
  <c r="C28" i="26"/>
  <c r="H28" i="19"/>
  <c r="C28" i="11"/>
  <c r="F31" i="5"/>
  <c r="C31" i="35"/>
  <c r="E31" i="38"/>
  <c r="C31" i="54"/>
  <c r="I31"/>
  <c r="C31" i="29"/>
  <c r="E31" i="37"/>
  <c r="E31" i="82"/>
  <c r="F31" i="28"/>
  <c r="C31" i="11"/>
  <c r="F31" i="10"/>
  <c r="H31" i="11"/>
  <c r="E31" i="34"/>
  <c r="G31" i="25"/>
  <c r="C31" i="36"/>
  <c r="G31" i="34"/>
  <c r="C31" i="25"/>
  <c r="I31"/>
  <c r="I31" i="26"/>
  <c r="I31" i="10"/>
  <c r="C31" i="8"/>
  <c r="C31" i="7"/>
  <c r="F31" i="8"/>
  <c r="F31" i="54"/>
  <c r="I31" i="28"/>
  <c r="C31" i="26"/>
  <c r="C31" i="10"/>
  <c r="E31" i="11"/>
  <c r="C31" i="34"/>
  <c r="E31" i="35"/>
  <c r="I31" i="9"/>
  <c r="F31" i="26"/>
  <c r="C31" i="9"/>
  <c r="C31" i="38"/>
  <c r="E31" i="25"/>
  <c r="F31" i="20"/>
  <c r="C31" i="18"/>
  <c r="I31"/>
  <c r="C31" i="28"/>
  <c r="C31" i="19"/>
  <c r="C31" i="86"/>
  <c r="F31" i="29"/>
  <c r="I31" i="20"/>
  <c r="G31" i="36"/>
  <c r="E31"/>
  <c r="F31" i="9"/>
  <c r="C31" i="27"/>
  <c r="C31" i="76" s="1"/>
  <c r="C31" i="20"/>
  <c r="C31" i="82"/>
  <c r="C31" i="37"/>
  <c r="G32" i="85"/>
  <c r="J32"/>
  <c r="G43" i="45"/>
  <c r="F14" i="18"/>
  <c r="T14" i="2"/>
  <c r="J31" i="42"/>
  <c r="J22"/>
  <c r="G36" i="45"/>
  <c r="G51"/>
  <c r="J34" i="42"/>
  <c r="G48" i="19"/>
  <c r="I34" i="90"/>
  <c r="J16" i="42"/>
  <c r="D48" i="19"/>
  <c r="J17" i="42"/>
  <c r="J39"/>
  <c r="E48" i="78"/>
  <c r="E30" i="90" l="1"/>
  <c r="J43" i="42"/>
  <c r="J45"/>
  <c r="B31" i="85"/>
  <c r="E31" s="1"/>
  <c r="D29" i="5"/>
  <c r="I48" i="19"/>
  <c r="I45" i="90"/>
  <c r="G45"/>
  <c r="E45"/>
  <c r="D28" i="6"/>
  <c r="E28" i="90"/>
  <c r="F17" i="20"/>
  <c r="F17" i="5"/>
  <c r="G17" i="34"/>
  <c r="I17" i="25"/>
  <c r="E17" i="38"/>
  <c r="I17" i="54"/>
  <c r="C17" i="10"/>
  <c r="E17" i="37"/>
  <c r="C17" i="28"/>
  <c r="C17" i="36"/>
  <c r="E17" i="35"/>
  <c r="I17" i="26"/>
  <c r="E17" i="11"/>
  <c r="F17" i="10"/>
  <c r="E17" i="34"/>
  <c r="C17" i="8"/>
  <c r="E17" i="82"/>
  <c r="F17" i="26"/>
  <c r="I17" i="10"/>
  <c r="C17" i="9"/>
  <c r="G17" i="25"/>
  <c r="I17" i="9"/>
  <c r="C17" i="11"/>
  <c r="C17" i="54"/>
  <c r="E17" i="36"/>
  <c r="C17" i="86"/>
  <c r="F17" i="54"/>
  <c r="F17" i="8"/>
  <c r="C17" i="25"/>
  <c r="C17" i="26"/>
  <c r="C17" i="82"/>
  <c r="C17" i="34"/>
  <c r="C17" i="38"/>
  <c r="C17" i="7"/>
  <c r="C17" i="35"/>
  <c r="E17" i="25"/>
  <c r="F17" i="9"/>
  <c r="F17" i="18"/>
  <c r="F17" i="29"/>
  <c r="G17" i="36"/>
  <c r="I17" i="20"/>
  <c r="C17" i="19"/>
  <c r="C17" i="29"/>
  <c r="I17" i="28"/>
  <c r="I17" i="18"/>
  <c r="F17" i="28"/>
  <c r="C17" i="18"/>
  <c r="C17" i="20"/>
  <c r="H17" i="11"/>
  <c r="C17" i="37"/>
  <c r="C17" i="27"/>
  <c r="C17" i="76" s="1"/>
  <c r="H17" i="19"/>
  <c r="D11" i="5"/>
  <c r="B13" i="85"/>
  <c r="B48" i="5"/>
  <c r="B34" i="85"/>
  <c r="E34" s="1"/>
  <c r="D32" i="5"/>
  <c r="G48" i="85"/>
  <c r="J48"/>
  <c r="F15" i="5"/>
  <c r="G15" i="34"/>
  <c r="F15" i="8"/>
  <c r="E15" i="38"/>
  <c r="E15" i="25"/>
  <c r="F15" i="54"/>
  <c r="C15" i="28"/>
  <c r="C15" i="25"/>
  <c r="C15" i="54"/>
  <c r="I15" i="28"/>
  <c r="C15" i="86"/>
  <c r="E15" i="34"/>
  <c r="C15" i="9"/>
  <c r="I15" i="25"/>
  <c r="C15" i="34"/>
  <c r="C15" i="26"/>
  <c r="F15"/>
  <c r="I15" i="10"/>
  <c r="C15" i="11"/>
  <c r="C15" i="10"/>
  <c r="E15" i="36"/>
  <c r="F15" i="28"/>
  <c r="F15" i="10"/>
  <c r="C15" i="8"/>
  <c r="C15" i="36"/>
  <c r="I15" i="54"/>
  <c r="H15" i="11"/>
  <c r="E15"/>
  <c r="G15" i="25"/>
  <c r="F15" i="9"/>
  <c r="I15" i="26"/>
  <c r="E15" i="35"/>
  <c r="E15" i="82"/>
  <c r="C15" i="38"/>
  <c r="I15" i="9"/>
  <c r="C15" i="7"/>
  <c r="C15" i="82"/>
  <c r="C15" i="35"/>
  <c r="F15" i="29"/>
  <c r="C15" i="27"/>
  <c r="C15" i="76" s="1"/>
  <c r="E15" i="37"/>
  <c r="I15" i="20"/>
  <c r="I15" i="18"/>
  <c r="C15" i="20"/>
  <c r="C15" i="29"/>
  <c r="G15" i="36"/>
  <c r="F15" i="18"/>
  <c r="C15" i="37"/>
  <c r="C15" i="19"/>
  <c r="E15"/>
  <c r="C15" i="18"/>
  <c r="F15" i="20"/>
  <c r="H15" i="19"/>
  <c r="F15" i="76"/>
  <c r="H22" i="19"/>
  <c r="F22" i="5"/>
  <c r="F22" i="9"/>
  <c r="E22" i="38"/>
  <c r="C22" i="82"/>
  <c r="E22"/>
  <c r="C22" i="25"/>
  <c r="F22" i="26"/>
  <c r="G22" i="34"/>
  <c r="F22" i="54"/>
  <c r="F22" i="10"/>
  <c r="C22" i="8"/>
  <c r="C22" i="37"/>
  <c r="C22" i="86"/>
  <c r="E22" i="35"/>
  <c r="F22" i="8"/>
  <c r="I22" i="25"/>
  <c r="C22" i="38"/>
  <c r="I22" i="54"/>
  <c r="C22" i="26"/>
  <c r="C22" i="34"/>
  <c r="I22" i="18"/>
  <c r="C22" i="35"/>
  <c r="G22" i="25"/>
  <c r="C22" i="54"/>
  <c r="I22" i="28"/>
  <c r="C22" i="27"/>
  <c r="C22" i="76" s="1"/>
  <c r="H22" i="11"/>
  <c r="C22" i="28"/>
  <c r="F22" i="29"/>
  <c r="E22" i="11"/>
  <c r="C22" i="10"/>
  <c r="I22"/>
  <c r="F22" i="28"/>
  <c r="C22" i="9"/>
  <c r="E22" i="34"/>
  <c r="I22" i="26"/>
  <c r="E22" i="25"/>
  <c r="C22" i="7"/>
  <c r="I22" i="9"/>
  <c r="E22" i="19"/>
  <c r="C22" i="20"/>
  <c r="G22" i="36"/>
  <c r="C22" i="29"/>
  <c r="C22" i="36"/>
  <c r="C22" i="11"/>
  <c r="E22" i="36"/>
  <c r="E22" i="37"/>
  <c r="I22" i="20"/>
  <c r="C22" i="19"/>
  <c r="F22" i="76"/>
  <c r="C22" i="18"/>
  <c r="F22"/>
  <c r="F22" i="20"/>
  <c r="F26" i="76"/>
  <c r="F26" i="5"/>
  <c r="E26" i="38"/>
  <c r="F26" i="10"/>
  <c r="G26" i="25"/>
  <c r="C26" i="27"/>
  <c r="C26" i="76" s="1"/>
  <c r="C26" i="54"/>
  <c r="I26" i="28"/>
  <c r="E26" i="37"/>
  <c r="E26" i="35"/>
  <c r="G26" i="34"/>
  <c r="C26" i="28"/>
  <c r="I26" i="10"/>
  <c r="C26" i="38"/>
  <c r="C26" i="25"/>
  <c r="C26" i="11"/>
  <c r="E26" i="34"/>
  <c r="C26" i="8"/>
  <c r="I26" i="25"/>
  <c r="E26" i="11"/>
  <c r="F26" i="8"/>
  <c r="I26" i="54"/>
  <c r="I26" i="9"/>
  <c r="F26"/>
  <c r="C26" i="10"/>
  <c r="G26" i="36"/>
  <c r="E26"/>
  <c r="H26" i="11"/>
  <c r="F26" i="54"/>
  <c r="F26" i="28"/>
  <c r="C26" i="36"/>
  <c r="E26" i="82"/>
  <c r="I26" i="26"/>
  <c r="C26" i="82"/>
  <c r="C26" i="7"/>
  <c r="C26" i="9"/>
  <c r="C26" i="34"/>
  <c r="F26" i="26"/>
  <c r="C26" i="35"/>
  <c r="E26" i="25"/>
  <c r="F26" i="20"/>
  <c r="C26"/>
  <c r="C26" i="19"/>
  <c r="C26" i="86"/>
  <c r="C26" i="26"/>
  <c r="F26" i="29"/>
  <c r="C26" i="37"/>
  <c r="C26" i="29"/>
  <c r="C26" i="18"/>
  <c r="I26" i="20"/>
  <c r="I26" i="18"/>
  <c r="E26" i="19"/>
  <c r="F26" i="18"/>
  <c r="H26" i="19"/>
  <c r="F12" i="5"/>
  <c r="C12" i="27"/>
  <c r="C12" i="76" s="1"/>
  <c r="E12" i="38"/>
  <c r="G12" i="34"/>
  <c r="C12" i="86"/>
  <c r="F12" i="9"/>
  <c r="C12" i="10"/>
  <c r="C12" i="29"/>
  <c r="E12" i="37"/>
  <c r="F12" i="28"/>
  <c r="E12" i="25"/>
  <c r="C12" i="38"/>
  <c r="C12" i="35"/>
  <c r="C12" i="25"/>
  <c r="E12" i="35"/>
  <c r="I12" i="54"/>
  <c r="E12" i="36"/>
  <c r="C12" i="54"/>
  <c r="H12" i="11"/>
  <c r="C12" i="36"/>
  <c r="F12" i="54"/>
  <c r="C12" i="9"/>
  <c r="C12" i="8"/>
  <c r="E12" i="34"/>
  <c r="C12" i="26"/>
  <c r="C12" i="28"/>
  <c r="F12" i="10"/>
  <c r="C12" i="11"/>
  <c r="I12" i="26"/>
  <c r="I12" i="9"/>
  <c r="C12" i="37"/>
  <c r="F12" i="8"/>
  <c r="F12" i="26"/>
  <c r="I12" i="28"/>
  <c r="I12" i="25"/>
  <c r="G12"/>
  <c r="I12" i="10"/>
  <c r="F12" i="29"/>
  <c r="G12" i="36"/>
  <c r="E12" i="11"/>
  <c r="E12" i="82"/>
  <c r="I12" i="20"/>
  <c r="C12" i="34"/>
  <c r="F12" i="76"/>
  <c r="C12" i="7"/>
  <c r="C12" i="82"/>
  <c r="C12" i="18"/>
  <c r="E12" i="19"/>
  <c r="H12"/>
  <c r="I12" i="18"/>
  <c r="F12" i="20"/>
  <c r="C12"/>
  <c r="C12" i="19"/>
  <c r="F12" i="18"/>
  <c r="G44" i="85"/>
  <c r="J44"/>
  <c r="G22"/>
  <c r="J22"/>
  <c r="G15"/>
  <c r="J15"/>
  <c r="G29"/>
  <c r="J29"/>
  <c r="G48" i="18"/>
  <c r="E30" i="6"/>
  <c r="C30" i="78" s="1"/>
  <c r="F30" i="6"/>
  <c r="F50" i="5"/>
  <c r="D50" i="6" s="1"/>
  <c r="C50" i="7"/>
  <c r="F50" i="10"/>
  <c r="E50" i="11"/>
  <c r="E50" i="35"/>
  <c r="E50" i="82"/>
  <c r="G50" i="25"/>
  <c r="C50" i="8"/>
  <c r="C50" i="9"/>
  <c r="H50" i="11"/>
  <c r="E50" i="34"/>
  <c r="F50" i="8"/>
  <c r="I50" i="25"/>
  <c r="F50" i="9"/>
  <c r="C50" i="11"/>
  <c r="I50" i="9"/>
  <c r="E50" i="38"/>
  <c r="C50" i="27"/>
  <c r="C50" i="76" s="1"/>
  <c r="C50" i="25"/>
  <c r="C50" i="54"/>
  <c r="C50" i="86"/>
  <c r="E50" i="25"/>
  <c r="G50" i="34"/>
  <c r="F50" i="54"/>
  <c r="E50" i="37"/>
  <c r="C50" i="26"/>
  <c r="F50" i="29"/>
  <c r="C50" i="36"/>
  <c r="C50" i="18"/>
  <c r="C50" i="82"/>
  <c r="I50" i="28"/>
  <c r="I50" i="54"/>
  <c r="E50" i="36"/>
  <c r="G50"/>
  <c r="I50" i="26"/>
  <c r="C50" i="28"/>
  <c r="I50" i="10"/>
  <c r="C50"/>
  <c r="C50" i="35"/>
  <c r="F50" i="26"/>
  <c r="C50" i="34"/>
  <c r="C50" i="38"/>
  <c r="C50" i="29"/>
  <c r="I50" i="20"/>
  <c r="F50" i="76"/>
  <c r="C50" i="37"/>
  <c r="F50" i="20"/>
  <c r="F50" i="18"/>
  <c r="C50" i="19"/>
  <c r="I50" i="18"/>
  <c r="C50" i="20"/>
  <c r="E50" i="19"/>
  <c r="F50" i="28"/>
  <c r="E38" i="6"/>
  <c r="C38" i="78" s="1"/>
  <c r="F38" i="6"/>
  <c r="G48" i="76"/>
  <c r="H35" i="19"/>
  <c r="F35" i="5"/>
  <c r="C35" i="35"/>
  <c r="E35" i="38"/>
  <c r="I35" i="25"/>
  <c r="E35" i="82"/>
  <c r="G35" i="34"/>
  <c r="E35" i="25"/>
  <c r="I35" i="54"/>
  <c r="C35" i="36"/>
  <c r="C35" i="10"/>
  <c r="F35" i="54"/>
  <c r="G35" i="36"/>
  <c r="F35" i="8"/>
  <c r="E35" i="35"/>
  <c r="C35" i="27"/>
  <c r="C35" i="76" s="1"/>
  <c r="I35" i="26"/>
  <c r="F35"/>
  <c r="C35" i="9"/>
  <c r="G35" i="25"/>
  <c r="C35" i="34"/>
  <c r="E35" i="11"/>
  <c r="I35" i="10"/>
  <c r="C35" i="7"/>
  <c r="C35" i="25"/>
  <c r="C35" i="11"/>
  <c r="C35" i="54"/>
  <c r="I35" i="28"/>
  <c r="H35" i="11"/>
  <c r="C35" i="28"/>
  <c r="I35" i="9"/>
  <c r="F35"/>
  <c r="C35" i="8"/>
  <c r="E35" i="34"/>
  <c r="C35" i="82"/>
  <c r="F35" i="10"/>
  <c r="C35" i="38"/>
  <c r="F35" i="28"/>
  <c r="F35" i="18"/>
  <c r="C35" i="20"/>
  <c r="E35" i="37"/>
  <c r="E35" i="36"/>
  <c r="C35" i="86"/>
  <c r="C35" i="26"/>
  <c r="I35" i="20"/>
  <c r="C35" i="19"/>
  <c r="F35" i="29"/>
  <c r="C35"/>
  <c r="I35" i="18"/>
  <c r="C35"/>
  <c r="F35" i="76"/>
  <c r="C35" i="37"/>
  <c r="E35" i="19"/>
  <c r="F35" i="20"/>
  <c r="F23" i="76"/>
  <c r="F23" i="5"/>
  <c r="E23" i="34"/>
  <c r="E23" i="25"/>
  <c r="E23" i="11"/>
  <c r="C23" i="35"/>
  <c r="F23" i="26"/>
  <c r="C23" i="25"/>
  <c r="E23" i="38"/>
  <c r="F23" i="9"/>
  <c r="C23" i="10"/>
  <c r="C23" i="28"/>
  <c r="C23" i="86"/>
  <c r="G23" i="36"/>
  <c r="C23" i="29"/>
  <c r="E23" i="37"/>
  <c r="C23" i="27"/>
  <c r="C23" i="76" s="1"/>
  <c r="C23" i="8"/>
  <c r="I23" i="26"/>
  <c r="C23" i="11"/>
  <c r="E23" i="35"/>
  <c r="I23" i="10"/>
  <c r="F23" i="54"/>
  <c r="I23"/>
  <c r="E23" i="36"/>
  <c r="H23" i="11"/>
  <c r="C23" i="36"/>
  <c r="C23" i="7"/>
  <c r="F23" i="8"/>
  <c r="C23" i="82"/>
  <c r="G23" i="25"/>
  <c r="I23" i="9"/>
  <c r="I23" i="25"/>
  <c r="F23" i="29"/>
  <c r="F23" i="28"/>
  <c r="C23" i="9"/>
  <c r="E23" i="82"/>
  <c r="C23" i="38"/>
  <c r="G23" i="34"/>
  <c r="C23" i="54"/>
  <c r="C23" i="37"/>
  <c r="I23" i="20"/>
  <c r="I23" i="28"/>
  <c r="F23" i="10"/>
  <c r="C23" i="18"/>
  <c r="C23" i="26"/>
  <c r="I23" i="18"/>
  <c r="C23" i="19"/>
  <c r="H23"/>
  <c r="E23"/>
  <c r="F23" i="18"/>
  <c r="F23" i="20"/>
  <c r="C23" i="34"/>
  <c r="C23" i="20"/>
  <c r="F51" i="5"/>
  <c r="D51" i="6" s="1"/>
  <c r="F51" i="54"/>
  <c r="C51" i="9"/>
  <c r="I51" i="26"/>
  <c r="C51" i="10"/>
  <c r="E51" i="38"/>
  <c r="C51" i="26"/>
  <c r="C51" i="25"/>
  <c r="I51" i="9"/>
  <c r="E51" i="82"/>
  <c r="I51" i="25"/>
  <c r="C51" i="28"/>
  <c r="C51" i="82"/>
  <c r="C51" i="27"/>
  <c r="C51" i="76" s="1"/>
  <c r="C51" i="36"/>
  <c r="E51" i="25"/>
  <c r="C51" i="11"/>
  <c r="G51" i="36"/>
  <c r="E51" i="37"/>
  <c r="F51" i="28"/>
  <c r="C51" i="7"/>
  <c r="C51" i="37"/>
  <c r="C51" i="38"/>
  <c r="F51" i="26"/>
  <c r="E51" i="35"/>
  <c r="C51" i="34"/>
  <c r="E51" i="11"/>
  <c r="I51" i="54"/>
  <c r="F51" i="10"/>
  <c r="C51" i="54"/>
  <c r="I51" i="10"/>
  <c r="F51" i="8"/>
  <c r="C51" i="35"/>
  <c r="F51" i="9"/>
  <c r="E51" i="36"/>
  <c r="G51" i="25"/>
  <c r="E51" i="34"/>
  <c r="H51" i="11"/>
  <c r="E51" i="19"/>
  <c r="C51" i="8"/>
  <c r="G51" i="34"/>
  <c r="C51" i="29"/>
  <c r="C51" i="18"/>
  <c r="C51" i="20"/>
  <c r="C51" i="86"/>
  <c r="I51" i="28"/>
  <c r="C51" i="19"/>
  <c r="F51" i="29"/>
  <c r="I51" i="20"/>
  <c r="F51"/>
  <c r="I51" i="18"/>
  <c r="F51" i="76"/>
  <c r="F51" i="18"/>
  <c r="H51" i="19"/>
  <c r="G18" i="85"/>
  <c r="J18"/>
  <c r="F43" i="5"/>
  <c r="C43" i="82"/>
  <c r="C43" i="10"/>
  <c r="F43"/>
  <c r="G43" i="25"/>
  <c r="C43"/>
  <c r="E43" i="38"/>
  <c r="E43" i="34"/>
  <c r="I43" i="54"/>
  <c r="E43" i="37"/>
  <c r="C43" i="54"/>
  <c r="F43" i="9"/>
  <c r="I43" i="28"/>
  <c r="F43" i="8"/>
  <c r="C43"/>
  <c r="E43" i="35"/>
  <c r="E43" i="82"/>
  <c r="F43" i="26"/>
  <c r="I43" i="25"/>
  <c r="I43" i="10"/>
  <c r="C43" i="11"/>
  <c r="E43"/>
  <c r="C43" i="7"/>
  <c r="C43" i="9"/>
  <c r="C43" i="34"/>
  <c r="I43" i="9"/>
  <c r="G43" i="34"/>
  <c r="F43" i="54"/>
  <c r="H43" i="11"/>
  <c r="C43" i="36"/>
  <c r="C43" i="37"/>
  <c r="C43" i="27"/>
  <c r="C43" i="76" s="1"/>
  <c r="C43" i="28"/>
  <c r="F43"/>
  <c r="I43" i="26"/>
  <c r="C43" i="38"/>
  <c r="E43" i="25"/>
  <c r="C43" i="35"/>
  <c r="C43" i="20"/>
  <c r="C43" i="19"/>
  <c r="F43" i="29"/>
  <c r="C43" i="86"/>
  <c r="C43" i="26"/>
  <c r="I43" i="20"/>
  <c r="C43" i="29"/>
  <c r="G43" i="36"/>
  <c r="F43" i="76"/>
  <c r="I43" i="18"/>
  <c r="C43"/>
  <c r="E43" i="36"/>
  <c r="H43" i="19"/>
  <c r="E43"/>
  <c r="F43" i="18"/>
  <c r="F43" i="20"/>
  <c r="F19" i="5"/>
  <c r="C19" i="25"/>
  <c r="E19" i="38"/>
  <c r="I19" i="10"/>
  <c r="H19" i="11"/>
  <c r="E19" i="37"/>
  <c r="I19" i="54"/>
  <c r="C19" i="36"/>
  <c r="C19" i="10"/>
  <c r="C19" i="86"/>
  <c r="F19" i="54"/>
  <c r="E19" i="34"/>
  <c r="C19" i="82"/>
  <c r="F19" i="26"/>
  <c r="G19" i="25"/>
  <c r="C19" i="7"/>
  <c r="C19" i="28"/>
  <c r="C19" i="9"/>
  <c r="E19" i="35"/>
  <c r="I19" i="26"/>
  <c r="I19" i="25"/>
  <c r="E19" i="11"/>
  <c r="F19" i="10"/>
  <c r="F19" i="9"/>
  <c r="I19" i="28"/>
  <c r="I19" i="9"/>
  <c r="C19" i="8"/>
  <c r="E19" i="82"/>
  <c r="E19" i="25"/>
  <c r="C19" i="35"/>
  <c r="F19" i="8"/>
  <c r="F19" i="28"/>
  <c r="C19" i="34"/>
  <c r="C19" i="38"/>
  <c r="C19" i="11"/>
  <c r="G19" i="34"/>
  <c r="H19" i="19"/>
  <c r="C19" i="26"/>
  <c r="I19" i="20"/>
  <c r="F19" i="29"/>
  <c r="E19" i="36"/>
  <c r="C19" i="20"/>
  <c r="F19" i="18"/>
  <c r="C19" i="19"/>
  <c r="C19" i="29"/>
  <c r="I19" i="18"/>
  <c r="C19"/>
  <c r="C19" i="37"/>
  <c r="G19" i="36"/>
  <c r="C19" i="27"/>
  <c r="C19" i="76" s="1"/>
  <c r="C19" i="54"/>
  <c r="F24" i="5"/>
  <c r="F24" i="10"/>
  <c r="E24" i="38"/>
  <c r="G24" i="34"/>
  <c r="E24" i="82"/>
  <c r="I24" i="54"/>
  <c r="C24" i="86"/>
  <c r="E24" i="37"/>
  <c r="C24" i="54"/>
  <c r="C24" i="29"/>
  <c r="F24" i="28"/>
  <c r="C24" i="9"/>
  <c r="C24" i="34"/>
  <c r="E24"/>
  <c r="C24" i="27"/>
  <c r="C24" i="76" s="1"/>
  <c r="I24" i="10"/>
  <c r="C24" i="38"/>
  <c r="C24" i="35"/>
  <c r="I24" i="9"/>
  <c r="F24"/>
  <c r="E24" i="11"/>
  <c r="C24" i="82"/>
  <c r="C24" i="11"/>
  <c r="C24" i="7"/>
  <c r="C24" i="10"/>
  <c r="F24" i="54"/>
  <c r="C24" i="28"/>
  <c r="H24" i="11"/>
  <c r="F24" i="8"/>
  <c r="C24"/>
  <c r="C24" i="36"/>
  <c r="E24" i="25"/>
  <c r="C24"/>
  <c r="I24" i="26"/>
  <c r="E24" i="35"/>
  <c r="F24" i="26"/>
  <c r="I24" i="25"/>
  <c r="G24" i="36"/>
  <c r="I24" i="28"/>
  <c r="I24" i="18"/>
  <c r="C24" i="20"/>
  <c r="C24" i="18"/>
  <c r="F24"/>
  <c r="G24" i="25"/>
  <c r="F24" i="76"/>
  <c r="F24" i="29"/>
  <c r="I24" i="20"/>
  <c r="C24" i="37"/>
  <c r="E24" i="36"/>
  <c r="C24" i="26"/>
  <c r="H24" i="19"/>
  <c r="C24"/>
  <c r="E24"/>
  <c r="F24" i="20"/>
  <c r="D14" i="6"/>
  <c r="E14" i="90"/>
  <c r="J38" i="42"/>
  <c r="H50" i="19"/>
  <c r="E17"/>
  <c r="J36" i="42"/>
  <c r="F19" i="76"/>
  <c r="F48" i="19"/>
  <c r="D31" i="6"/>
  <c r="E31" i="90"/>
  <c r="E21" i="6"/>
  <c r="C21" i="78" s="1"/>
  <c r="F21" i="6"/>
  <c r="J19" i="85"/>
  <c r="G19"/>
  <c r="E45" i="6"/>
  <c r="C45" i="78" s="1"/>
  <c r="F45" i="6"/>
  <c r="D36"/>
  <c r="E36" i="90"/>
  <c r="B42" i="85"/>
  <c r="E42" s="1"/>
  <c r="D40" i="5"/>
  <c r="D39"/>
  <c r="B41" i="85"/>
  <c r="E41" s="1"/>
  <c r="F46" i="5"/>
  <c r="G46" i="25"/>
  <c r="C46" i="82"/>
  <c r="E46" i="38"/>
  <c r="G46" i="34"/>
  <c r="F46" i="54"/>
  <c r="I46"/>
  <c r="C46" i="10"/>
  <c r="C46" i="29"/>
  <c r="E46" i="37"/>
  <c r="I46" i="28"/>
  <c r="H46" i="11"/>
  <c r="C46" i="28"/>
  <c r="I46" i="10"/>
  <c r="C46" i="27"/>
  <c r="C46" i="76" s="1"/>
  <c r="I46" i="25"/>
  <c r="E46" i="11"/>
  <c r="C46" i="38"/>
  <c r="C46" i="25"/>
  <c r="C46" i="7"/>
  <c r="C46" i="34"/>
  <c r="C46" i="11"/>
  <c r="I46" i="9"/>
  <c r="E46" i="25"/>
  <c r="F46" i="10"/>
  <c r="C46" i="9"/>
  <c r="C46" i="36"/>
  <c r="E46" i="35"/>
  <c r="I46" i="26"/>
  <c r="C46" i="35"/>
  <c r="F46" i="26"/>
  <c r="C46" i="8"/>
  <c r="E46" i="82"/>
  <c r="F46" i="8"/>
  <c r="F46" i="9"/>
  <c r="F46" i="20"/>
  <c r="C46" i="54"/>
  <c r="F46" i="29"/>
  <c r="E46" i="36"/>
  <c r="C46" i="18"/>
  <c r="C46" i="37"/>
  <c r="G46" i="36"/>
  <c r="C46" i="26"/>
  <c r="E46" i="34"/>
  <c r="I46" i="20"/>
  <c r="C46" i="19"/>
  <c r="C46" i="86"/>
  <c r="I46" i="18"/>
  <c r="C46" i="20"/>
  <c r="E46" i="19"/>
  <c r="F46" i="18"/>
  <c r="F46" i="76"/>
  <c r="F46" i="28"/>
  <c r="J17" i="85"/>
  <c r="G17"/>
  <c r="J24"/>
  <c r="G24"/>
  <c r="J28"/>
  <c r="G28"/>
  <c r="G14"/>
  <c r="J14"/>
  <c r="F42" i="5"/>
  <c r="E42" i="38"/>
  <c r="E42" i="11"/>
  <c r="F42" i="8"/>
  <c r="G42" i="36"/>
  <c r="E42" i="37"/>
  <c r="C42" i="54"/>
  <c r="C42" i="9"/>
  <c r="I42" i="54"/>
  <c r="F42"/>
  <c r="F42" i="26"/>
  <c r="G42" i="34"/>
  <c r="E42" i="82"/>
  <c r="C42" i="38"/>
  <c r="C42" i="35"/>
  <c r="I42" i="10"/>
  <c r="I42" i="9"/>
  <c r="E42" i="34"/>
  <c r="F42" i="28"/>
  <c r="C42" i="27"/>
  <c r="C42" i="76" s="1"/>
  <c r="F42" i="10"/>
  <c r="I42" i="25"/>
  <c r="C42"/>
  <c r="G42"/>
  <c r="C42" i="10"/>
  <c r="H42" i="11"/>
  <c r="C42" i="36"/>
  <c r="C42" i="28"/>
  <c r="C42" i="7"/>
  <c r="C42" i="82"/>
  <c r="C42" i="11"/>
  <c r="C42" i="8"/>
  <c r="I42" i="26"/>
  <c r="E42" i="35"/>
  <c r="C42" i="34"/>
  <c r="E42" i="25"/>
  <c r="F42" i="76"/>
  <c r="C42" i="26"/>
  <c r="C42" i="37"/>
  <c r="F42" i="29"/>
  <c r="I42" i="28"/>
  <c r="F42" i="9"/>
  <c r="E42" i="36"/>
  <c r="C42" i="29"/>
  <c r="C42" i="86"/>
  <c r="I42" i="20"/>
  <c r="I42" i="18"/>
  <c r="C42" i="19"/>
  <c r="C42" i="20"/>
  <c r="F42" i="18"/>
  <c r="H42" i="19"/>
  <c r="C42" i="18"/>
  <c r="F42" i="20"/>
  <c r="E42" i="19"/>
  <c r="F20" i="5"/>
  <c r="C20" i="35"/>
  <c r="E20" i="38"/>
  <c r="G20" i="34"/>
  <c r="C20" i="25"/>
  <c r="I20" i="54"/>
  <c r="C20" i="29"/>
  <c r="C20" i="86"/>
  <c r="C20" i="27"/>
  <c r="C20" i="76" s="1"/>
  <c r="C20" i="28"/>
  <c r="F20" i="8"/>
  <c r="E20" i="36"/>
  <c r="H20" i="11"/>
  <c r="F20" i="26"/>
  <c r="C20" i="36"/>
  <c r="I20" i="10"/>
  <c r="C20" i="38"/>
  <c r="I20" i="25"/>
  <c r="E20" i="82"/>
  <c r="E20" i="34"/>
  <c r="C20" i="82"/>
  <c r="C20" i="11"/>
  <c r="E20" i="25"/>
  <c r="C20" i="7"/>
  <c r="I20" i="9"/>
  <c r="F20" i="54"/>
  <c r="I20" i="28"/>
  <c r="I20" i="26"/>
  <c r="G20" i="25"/>
  <c r="F20" i="10"/>
  <c r="F20" i="9"/>
  <c r="F20" i="28"/>
  <c r="E20" i="35"/>
  <c r="C20" i="8"/>
  <c r="H20" i="19"/>
  <c r="C20" i="26"/>
  <c r="C20" i="19"/>
  <c r="C20" i="20"/>
  <c r="C20" i="37"/>
  <c r="C20" i="9"/>
  <c r="E20" i="11"/>
  <c r="E20" i="37"/>
  <c r="G20" i="36"/>
  <c r="I20" i="18"/>
  <c r="I20" i="20"/>
  <c r="C20" i="10"/>
  <c r="F20" i="29"/>
  <c r="C20" i="34"/>
  <c r="C20" i="18"/>
  <c r="C20" i="54"/>
  <c r="F20" i="20"/>
  <c r="E20" i="19"/>
  <c r="F20" i="18"/>
  <c r="F13"/>
  <c r="F13" i="5"/>
  <c r="I13" i="25"/>
  <c r="E13" i="38"/>
  <c r="F13" i="8"/>
  <c r="C13" i="54"/>
  <c r="F13"/>
  <c r="C13" i="28"/>
  <c r="G13" i="36"/>
  <c r="I13" i="54"/>
  <c r="C13" i="86"/>
  <c r="F13" i="28"/>
  <c r="E13" i="35"/>
  <c r="I13" i="10"/>
  <c r="I13" i="26"/>
  <c r="F13" i="10"/>
  <c r="C13" i="26"/>
  <c r="F13"/>
  <c r="G13" i="25"/>
  <c r="F13" i="9"/>
  <c r="I13" i="28"/>
  <c r="E13" i="36"/>
  <c r="C13" i="9"/>
  <c r="C13" i="82"/>
  <c r="H13" i="11"/>
  <c r="C13" i="7"/>
  <c r="C13" i="36"/>
  <c r="G13" i="34"/>
  <c r="E13"/>
  <c r="C13" i="25"/>
  <c r="F13" i="29"/>
  <c r="E13" i="11"/>
  <c r="C13" i="38"/>
  <c r="I13" i="9"/>
  <c r="E13" i="82"/>
  <c r="E13" i="25"/>
  <c r="C13" i="11"/>
  <c r="H13" i="19"/>
  <c r="C13" i="8"/>
  <c r="E13" i="37"/>
  <c r="C13" i="29"/>
  <c r="I13" i="20"/>
  <c r="C13" i="19"/>
  <c r="C13" i="35"/>
  <c r="I13" i="18"/>
  <c r="C13" i="37"/>
  <c r="C13" i="10"/>
  <c r="F13" i="20"/>
  <c r="C13"/>
  <c r="C13" i="18"/>
  <c r="C13" i="34"/>
  <c r="C13" i="27"/>
  <c r="C13" i="76" s="1"/>
  <c r="F27" i="5"/>
  <c r="C27" i="34"/>
  <c r="C27" i="27"/>
  <c r="C27" i="76" s="1"/>
  <c r="C27" i="35"/>
  <c r="E27" i="25"/>
  <c r="E27" i="34"/>
  <c r="E27" i="38"/>
  <c r="E27" i="11"/>
  <c r="C27" i="25"/>
  <c r="G27" i="34"/>
  <c r="E27" i="36"/>
  <c r="F27" i="54"/>
  <c r="C27" i="28"/>
  <c r="I27"/>
  <c r="G27" i="36"/>
  <c r="F27" i="8"/>
  <c r="I27" i="9"/>
  <c r="C27" i="54"/>
  <c r="F27" i="10"/>
  <c r="C27" i="9"/>
  <c r="E27" i="35"/>
  <c r="I27" i="26"/>
  <c r="F27"/>
  <c r="I27" i="10"/>
  <c r="C27" i="82"/>
  <c r="C27" i="8"/>
  <c r="I27" i="54"/>
  <c r="C27" i="10"/>
  <c r="H27" i="11"/>
  <c r="C27" i="36"/>
  <c r="C27" i="7"/>
  <c r="E27" i="82"/>
  <c r="F27" i="28"/>
  <c r="F27" i="9"/>
  <c r="C27" i="11"/>
  <c r="I27" i="25"/>
  <c r="C27" i="38"/>
  <c r="G27" i="25"/>
  <c r="H27" i="19"/>
  <c r="F27" i="76"/>
  <c r="C27" i="37"/>
  <c r="C27" i="86"/>
  <c r="E27" i="37"/>
  <c r="C27" i="29"/>
  <c r="F27"/>
  <c r="I27" i="20"/>
  <c r="C27" i="19"/>
  <c r="C27" i="26"/>
  <c r="C27" i="20"/>
  <c r="I27" i="18"/>
  <c r="C27"/>
  <c r="F27"/>
  <c r="E27" i="19"/>
  <c r="F27" i="20"/>
  <c r="G48"/>
  <c r="G52" i="85"/>
  <c r="J52"/>
  <c r="D41" i="6"/>
  <c r="E41" i="90"/>
  <c r="H48" i="43"/>
  <c r="I11" i="45"/>
  <c r="G37" i="85"/>
  <c r="J37"/>
  <c r="G25"/>
  <c r="J25"/>
  <c r="D37" i="6"/>
  <c r="E37" i="90"/>
  <c r="G13" i="76"/>
  <c r="F13"/>
  <c r="D33" i="5"/>
  <c r="B35" i="85"/>
  <c r="E35" s="1"/>
  <c r="B36"/>
  <c r="E36" s="1"/>
  <c r="D34" i="5"/>
  <c r="F16"/>
  <c r="E16" i="38"/>
  <c r="G16" i="25"/>
  <c r="E16" i="34"/>
  <c r="G16"/>
  <c r="F16" i="29"/>
  <c r="C16"/>
  <c r="C16" i="27"/>
  <c r="C16" i="76" s="1"/>
  <c r="I16" i="25"/>
  <c r="I16" i="10"/>
  <c r="C16" i="35"/>
  <c r="C16" i="54"/>
  <c r="F16" i="28"/>
  <c r="C16" i="8"/>
  <c r="C16" i="34"/>
  <c r="F16" i="26"/>
  <c r="E16" i="11"/>
  <c r="C16" i="9"/>
  <c r="C16" i="25"/>
  <c r="I16" i="26"/>
  <c r="C16"/>
  <c r="F16" i="10"/>
  <c r="C16" i="38"/>
  <c r="E16" i="25"/>
  <c r="F16" i="8"/>
  <c r="C16" i="11"/>
  <c r="C16" i="7"/>
  <c r="F16" i="54"/>
  <c r="E16" i="36"/>
  <c r="H16" i="11"/>
  <c r="I16" i="54"/>
  <c r="C16" i="28"/>
  <c r="E16" i="82"/>
  <c r="F16" i="9"/>
  <c r="C16" i="10"/>
  <c r="E16" i="35"/>
  <c r="C16" i="36"/>
  <c r="C16" i="82"/>
  <c r="I16" i="9"/>
  <c r="I16" i="28"/>
  <c r="C16" i="19"/>
  <c r="E16" i="37"/>
  <c r="C16"/>
  <c r="C16" i="86"/>
  <c r="G16" i="36"/>
  <c r="I16" i="20"/>
  <c r="E16" i="19"/>
  <c r="C16" i="18"/>
  <c r="F16" i="76"/>
  <c r="C16" i="20"/>
  <c r="I16" i="18"/>
  <c r="F16"/>
  <c r="H16" i="19"/>
  <c r="F16" i="20"/>
  <c r="B27" i="85"/>
  <c r="E27" s="1"/>
  <c r="D25" i="5"/>
  <c r="J45" i="85"/>
  <c r="G45"/>
  <c r="B46"/>
  <c r="E46" s="1"/>
  <c r="D44" i="5"/>
  <c r="J21" i="85"/>
  <c r="G21"/>
  <c r="G26"/>
  <c r="J26"/>
  <c r="J25" i="42"/>
  <c r="F17" i="76"/>
  <c r="E21" i="90"/>
  <c r="D48"/>
  <c r="J14" i="42"/>
  <c r="J27"/>
  <c r="J51"/>
  <c r="E38" i="90"/>
  <c r="J23" i="42"/>
  <c r="J46" i="85" l="1"/>
  <c r="G46"/>
  <c r="D16" i="6"/>
  <c r="E16" i="90"/>
  <c r="J36" i="85"/>
  <c r="G36"/>
  <c r="F33" i="5"/>
  <c r="I33" i="25"/>
  <c r="E33" i="38"/>
  <c r="E33" i="82"/>
  <c r="C33" i="35"/>
  <c r="I33" i="10"/>
  <c r="C33" i="7"/>
  <c r="F33" i="8"/>
  <c r="C33" i="25"/>
  <c r="I33" i="9"/>
  <c r="C33" i="10"/>
  <c r="I33" i="28"/>
  <c r="C33" i="86"/>
  <c r="I33" i="54"/>
  <c r="C33" i="29"/>
  <c r="C33" i="8"/>
  <c r="C33" i="36"/>
  <c r="E33" i="11"/>
  <c r="F33" i="10"/>
  <c r="C33" i="34"/>
  <c r="E33" i="35"/>
  <c r="C33" i="9"/>
  <c r="I33" i="26"/>
  <c r="F33"/>
  <c r="H33" i="11"/>
  <c r="C33" i="28"/>
  <c r="F33"/>
  <c r="C33" i="54"/>
  <c r="F33"/>
  <c r="G33" i="36"/>
  <c r="G33" i="34"/>
  <c r="E33"/>
  <c r="G33" i="25"/>
  <c r="E33"/>
  <c r="C33" i="11"/>
  <c r="C33" i="27"/>
  <c r="C33" i="76" s="1"/>
  <c r="C33" i="38"/>
  <c r="F33" i="9"/>
  <c r="C33" i="82"/>
  <c r="F33" i="76"/>
  <c r="C33" i="20"/>
  <c r="C33" i="19"/>
  <c r="E33" i="37"/>
  <c r="I33" i="18"/>
  <c r="I33" i="20"/>
  <c r="C33" i="18"/>
  <c r="E33" i="36"/>
  <c r="F33" i="29"/>
  <c r="F33" i="18"/>
  <c r="C33" i="26"/>
  <c r="C33" i="37"/>
  <c r="H33" i="19"/>
  <c r="E33"/>
  <c r="F33" i="20"/>
  <c r="F37" i="6"/>
  <c r="E37"/>
  <c r="C37" i="78" s="1"/>
  <c r="I48" i="45"/>
  <c r="I48" i="43" s="1"/>
  <c r="B48" i="42" s="1"/>
  <c r="G11" i="44"/>
  <c r="E11" i="42" s="1"/>
  <c r="C11" i="45"/>
  <c r="G11" i="42" s="1"/>
  <c r="I11" i="44"/>
  <c r="F11" i="42" s="1"/>
  <c r="E11" i="45"/>
  <c r="H11" i="42" s="1"/>
  <c r="E11" i="44"/>
  <c r="D11" i="42" s="1"/>
  <c r="C11" i="44"/>
  <c r="C11" i="42" s="1"/>
  <c r="G11" i="45"/>
  <c r="D13" i="6"/>
  <c r="E13" i="90"/>
  <c r="D20" i="6"/>
  <c r="E20" i="90"/>
  <c r="D42" i="6"/>
  <c r="E42" i="90"/>
  <c r="G41" i="85"/>
  <c r="J41"/>
  <c r="F40" i="5"/>
  <c r="C40" i="35"/>
  <c r="E40" i="38"/>
  <c r="F40" i="10"/>
  <c r="C40"/>
  <c r="F40" i="8"/>
  <c r="E40" i="82"/>
  <c r="I40" i="54"/>
  <c r="C40" i="86"/>
  <c r="C40" i="8"/>
  <c r="F40" i="54"/>
  <c r="C40" i="28"/>
  <c r="F40" i="29"/>
  <c r="C40" i="9"/>
  <c r="C40" i="34"/>
  <c r="G40" i="25"/>
  <c r="G40" i="34"/>
  <c r="I40" i="26"/>
  <c r="E40" i="35"/>
  <c r="C40" i="38"/>
  <c r="C40" i="25"/>
  <c r="E40"/>
  <c r="F40" i="28"/>
  <c r="E40" i="34"/>
  <c r="I40" i="9"/>
  <c r="C40" i="54"/>
  <c r="C40" i="37"/>
  <c r="H40" i="11"/>
  <c r="C40" i="36"/>
  <c r="C40" i="11"/>
  <c r="F40" i="26"/>
  <c r="F40" i="9"/>
  <c r="I40" i="25"/>
  <c r="I40" i="10"/>
  <c r="E40" i="11"/>
  <c r="C40" i="27"/>
  <c r="C40" i="76" s="1"/>
  <c r="C40" i="82"/>
  <c r="C40" i="7"/>
  <c r="H40" i="19"/>
  <c r="G40" i="36"/>
  <c r="I40" i="28"/>
  <c r="E40" i="36"/>
  <c r="C40" i="19"/>
  <c r="F40" i="76"/>
  <c r="C40" i="29"/>
  <c r="E40" i="37"/>
  <c r="C40" i="26"/>
  <c r="I40" i="18"/>
  <c r="I40" i="20"/>
  <c r="C40"/>
  <c r="F40" i="18"/>
  <c r="C40"/>
  <c r="E40" i="19"/>
  <c r="F40" i="20"/>
  <c r="F14" i="6"/>
  <c r="E14"/>
  <c r="C14" i="78" s="1"/>
  <c r="D24" i="6"/>
  <c r="E24" i="90"/>
  <c r="D23" i="6"/>
  <c r="E23" i="90"/>
  <c r="D35" i="6"/>
  <c r="E35" i="90"/>
  <c r="E50" i="6"/>
  <c r="C50" i="78" s="1"/>
  <c r="F50" i="6"/>
  <c r="D12"/>
  <c r="E12" i="90"/>
  <c r="D15" i="6"/>
  <c r="E15" i="90"/>
  <c r="G34" i="85"/>
  <c r="J34"/>
  <c r="B50"/>
  <c r="E13"/>
  <c r="D17" i="6"/>
  <c r="E17" i="90"/>
  <c r="G31" i="85"/>
  <c r="J31"/>
  <c r="J27"/>
  <c r="G27"/>
  <c r="G48" i="90"/>
  <c r="I48"/>
  <c r="F44" i="5"/>
  <c r="E44" i="38"/>
  <c r="C44" i="35"/>
  <c r="E44" i="25"/>
  <c r="I44" i="10"/>
  <c r="C44" i="25"/>
  <c r="G44" i="34"/>
  <c r="F44" i="10"/>
  <c r="C44"/>
  <c r="I44" i="28"/>
  <c r="C44" i="86"/>
  <c r="H44" i="11"/>
  <c r="E44" i="34"/>
  <c r="E44" i="35"/>
  <c r="C44" i="34"/>
  <c r="C44" i="38"/>
  <c r="G44" i="25"/>
  <c r="I44" i="26"/>
  <c r="I44" i="25"/>
  <c r="C44" i="82"/>
  <c r="E44" i="11"/>
  <c r="C44" i="7"/>
  <c r="C44" i="27"/>
  <c r="C44" i="76" s="1"/>
  <c r="F44" i="54"/>
  <c r="G44" i="36"/>
  <c r="C44" i="28"/>
  <c r="I44" i="54"/>
  <c r="F44" i="28"/>
  <c r="F44" i="26"/>
  <c r="I44" i="9"/>
  <c r="C44"/>
  <c r="E44" i="82"/>
  <c r="C44" i="8"/>
  <c r="F44"/>
  <c r="C44" i="11"/>
  <c r="F44" i="9"/>
  <c r="C44" i="36"/>
  <c r="C44" i="19"/>
  <c r="F44" i="29"/>
  <c r="I44" i="18"/>
  <c r="C44" i="54"/>
  <c r="E44" i="37"/>
  <c r="C44" i="26"/>
  <c r="E44" i="36"/>
  <c r="C44" i="18"/>
  <c r="I44" i="20"/>
  <c r="C44"/>
  <c r="F44" i="18"/>
  <c r="C44" i="37"/>
  <c r="C44" i="29"/>
  <c r="H44" i="19"/>
  <c r="F44" i="76"/>
  <c r="F44" i="20"/>
  <c r="E44" i="19"/>
  <c r="F25" i="5"/>
  <c r="C25" i="35"/>
  <c r="G25" i="34"/>
  <c r="E25" i="38"/>
  <c r="I25" i="54"/>
  <c r="C25" i="28"/>
  <c r="F25" i="8"/>
  <c r="C25" i="36"/>
  <c r="F25" i="54"/>
  <c r="F25" i="28"/>
  <c r="C25" i="8"/>
  <c r="G25" i="25"/>
  <c r="E25" i="35"/>
  <c r="E25" i="34"/>
  <c r="I25" i="25"/>
  <c r="E25"/>
  <c r="C25" i="9"/>
  <c r="C25" i="34"/>
  <c r="F25" i="26"/>
  <c r="I25" i="10"/>
  <c r="I25" i="26"/>
  <c r="C25" i="11"/>
  <c r="E25" i="36"/>
  <c r="I25" i="28"/>
  <c r="H25" i="11"/>
  <c r="I25" i="9"/>
  <c r="C25" i="7"/>
  <c r="C25" i="10"/>
  <c r="E25" i="82"/>
  <c r="E25" i="11"/>
  <c r="F25" i="10"/>
  <c r="C25" i="38"/>
  <c r="C25" i="25"/>
  <c r="C25" i="82"/>
  <c r="F25" i="9"/>
  <c r="H25" i="19"/>
  <c r="F25" i="29"/>
  <c r="C25" i="54"/>
  <c r="C25" i="29"/>
  <c r="G25" i="36"/>
  <c r="I25" i="20"/>
  <c r="C25" i="27"/>
  <c r="C25" i="76" s="1"/>
  <c r="C25" i="37"/>
  <c r="I25" i="18"/>
  <c r="C25" i="86"/>
  <c r="E25" i="37"/>
  <c r="C25" i="26"/>
  <c r="C25" i="19"/>
  <c r="C25" i="20"/>
  <c r="C25" i="18"/>
  <c r="F25" i="76"/>
  <c r="F25" i="18"/>
  <c r="F25" i="20"/>
  <c r="E25" i="19"/>
  <c r="F34" i="5"/>
  <c r="C34" i="25"/>
  <c r="E34" i="38"/>
  <c r="C34" i="27"/>
  <c r="C34" i="76" s="1"/>
  <c r="E34" i="25"/>
  <c r="C34" i="11"/>
  <c r="F34" i="54"/>
  <c r="G34" i="36"/>
  <c r="E34" i="37"/>
  <c r="C34" i="28"/>
  <c r="C34" i="8"/>
  <c r="C34" i="9"/>
  <c r="E34" i="82"/>
  <c r="C34" i="36"/>
  <c r="I34" i="25"/>
  <c r="I34" i="26"/>
  <c r="E34" i="11"/>
  <c r="I34" i="10"/>
  <c r="C34" i="38"/>
  <c r="F34" i="9"/>
  <c r="C34" i="34"/>
  <c r="C34" i="82"/>
  <c r="F34" i="10"/>
  <c r="F34" i="28"/>
  <c r="C34" i="7"/>
  <c r="I34" i="9"/>
  <c r="E34" i="36"/>
  <c r="I34" i="54"/>
  <c r="H34" i="11"/>
  <c r="F34" i="8"/>
  <c r="E34" i="35"/>
  <c r="C34"/>
  <c r="E34" i="34"/>
  <c r="F34" i="26"/>
  <c r="C34" i="10"/>
  <c r="G34" i="34"/>
  <c r="G34" i="25"/>
  <c r="F34" i="20"/>
  <c r="I34" i="28"/>
  <c r="C34" i="26"/>
  <c r="I34" i="20"/>
  <c r="C34" i="54"/>
  <c r="I34" i="18"/>
  <c r="C34"/>
  <c r="C34" i="19"/>
  <c r="C34" i="86"/>
  <c r="C34" i="29"/>
  <c r="C34" i="20"/>
  <c r="C34" i="37"/>
  <c r="F34" i="76"/>
  <c r="F34" i="29"/>
  <c r="F34" i="18"/>
  <c r="E34" i="19"/>
  <c r="H34"/>
  <c r="J35" i="85"/>
  <c r="G35"/>
  <c r="E41" i="6"/>
  <c r="C41" i="78" s="1"/>
  <c r="F41" i="6"/>
  <c r="D27"/>
  <c r="E27" i="90"/>
  <c r="D46" i="6"/>
  <c r="E46" i="90"/>
  <c r="F39" i="5"/>
  <c r="C39" i="11"/>
  <c r="E39" i="38"/>
  <c r="E39" i="34"/>
  <c r="C39" i="54"/>
  <c r="C39" i="28"/>
  <c r="C39" i="25"/>
  <c r="F39" i="54"/>
  <c r="I39"/>
  <c r="E39" i="35"/>
  <c r="E39" i="82"/>
  <c r="C39" i="36"/>
  <c r="C39" i="34"/>
  <c r="I39" i="26"/>
  <c r="C39" i="82"/>
  <c r="C39" i="35"/>
  <c r="C39" i="27"/>
  <c r="C39" i="76" s="1"/>
  <c r="C39" i="8"/>
  <c r="F39" i="26"/>
  <c r="I39" i="25"/>
  <c r="E39" i="11"/>
  <c r="C39" i="9"/>
  <c r="G39" i="25"/>
  <c r="H39" i="11"/>
  <c r="F39" i="9"/>
  <c r="C39" i="10"/>
  <c r="I39"/>
  <c r="F39" i="8"/>
  <c r="E39" i="25"/>
  <c r="C39" i="7"/>
  <c r="I39" i="9"/>
  <c r="C39" i="26"/>
  <c r="C39" i="38"/>
  <c r="G39" i="34"/>
  <c r="C39" i="86"/>
  <c r="E39" i="19"/>
  <c r="C39" i="18"/>
  <c r="F39" i="28"/>
  <c r="C39" i="20"/>
  <c r="C39" i="37"/>
  <c r="C39" i="29"/>
  <c r="E39" i="37"/>
  <c r="E39" i="36"/>
  <c r="I39" i="28"/>
  <c r="I39" i="20"/>
  <c r="F39" i="76"/>
  <c r="F39" i="29"/>
  <c r="G39" i="36"/>
  <c r="I39" i="18"/>
  <c r="C39" i="19"/>
  <c r="F39" i="10"/>
  <c r="F39" i="18"/>
  <c r="F39" i="20"/>
  <c r="H39" i="19"/>
  <c r="J42" i="85"/>
  <c r="G42"/>
  <c r="F36" i="6"/>
  <c r="E36"/>
  <c r="C36" i="78" s="1"/>
  <c r="F31" i="6"/>
  <c r="E31"/>
  <c r="C31" i="78" s="1"/>
  <c r="D19" i="6"/>
  <c r="E19" i="90"/>
  <c r="D43" i="6"/>
  <c r="E43" i="90"/>
  <c r="E51" i="6"/>
  <c r="F51"/>
  <c r="D26"/>
  <c r="E26" i="90"/>
  <c r="D22" i="6"/>
  <c r="E22" i="90"/>
  <c r="F32" i="76"/>
  <c r="F32" i="5"/>
  <c r="E32" i="38"/>
  <c r="E32" i="35"/>
  <c r="F32" i="8"/>
  <c r="C32" i="10"/>
  <c r="C32" i="86"/>
  <c r="C32" i="8"/>
  <c r="F32" i="10"/>
  <c r="C32" i="29"/>
  <c r="E32" i="36"/>
  <c r="C32" i="9"/>
  <c r="C32" i="25"/>
  <c r="E32" i="82"/>
  <c r="F32" i="26"/>
  <c r="C32" i="38"/>
  <c r="C32" i="82"/>
  <c r="C32" i="7"/>
  <c r="C32" i="34"/>
  <c r="I32" i="10"/>
  <c r="G32" i="34"/>
  <c r="I32" i="26"/>
  <c r="E32" i="25"/>
  <c r="F32" i="54"/>
  <c r="C32" i="28"/>
  <c r="H32" i="11"/>
  <c r="E32"/>
  <c r="C32" i="36"/>
  <c r="E32" i="34"/>
  <c r="C32" i="27"/>
  <c r="C32" i="76" s="1"/>
  <c r="I32" i="9"/>
  <c r="I32" i="54"/>
  <c r="I32" i="25"/>
  <c r="G32"/>
  <c r="C32" i="35"/>
  <c r="C32" i="11"/>
  <c r="F32" i="9"/>
  <c r="C32" i="54"/>
  <c r="C32" i="26"/>
  <c r="C32" i="37"/>
  <c r="I32" i="18"/>
  <c r="I32" i="28"/>
  <c r="C32" i="19"/>
  <c r="F32" i="18"/>
  <c r="E32" i="37"/>
  <c r="G32" i="36"/>
  <c r="C32" i="20"/>
  <c r="F32" i="28"/>
  <c r="I32" i="20"/>
  <c r="C32" i="18"/>
  <c r="F32" i="29"/>
  <c r="H32" i="19"/>
  <c r="E32"/>
  <c r="F32" i="20"/>
  <c r="R11" i="2"/>
  <c r="T11" s="1"/>
  <c r="F11" i="5"/>
  <c r="D48"/>
  <c r="C11" i="7"/>
  <c r="C11" i="35"/>
  <c r="E11" i="11"/>
  <c r="E11" i="25"/>
  <c r="I11"/>
  <c r="E11" i="38"/>
  <c r="C11" i="26"/>
  <c r="C11" i="27"/>
  <c r="C11" i="76" s="1"/>
  <c r="F11" i="9"/>
  <c r="G11" i="34"/>
  <c r="C11" i="54"/>
  <c r="C11" i="25"/>
  <c r="H11" i="11"/>
  <c r="F11" i="8"/>
  <c r="C11" i="82"/>
  <c r="E11" i="34"/>
  <c r="E11" i="82"/>
  <c r="I11" i="10"/>
  <c r="C11" i="9"/>
  <c r="G11" i="25"/>
  <c r="C11" i="11"/>
  <c r="F11" i="28"/>
  <c r="C11" i="38"/>
  <c r="I11" i="26"/>
  <c r="C11" i="10"/>
  <c r="C11" i="86"/>
  <c r="E11" i="36"/>
  <c r="C11" i="8"/>
  <c r="I11" i="9"/>
  <c r="F11" i="10"/>
  <c r="E11" i="35"/>
  <c r="F11" i="26"/>
  <c r="C11" i="34"/>
  <c r="I11" i="20"/>
  <c r="E11" i="19"/>
  <c r="F11" i="18"/>
  <c r="E11" i="37"/>
  <c r="C11" i="28"/>
  <c r="I11" i="18"/>
  <c r="C11" i="19"/>
  <c r="C11" i="18"/>
  <c r="C11" i="37"/>
  <c r="C11" i="29"/>
  <c r="I11" i="28"/>
  <c r="F11" i="29"/>
  <c r="G11" i="36"/>
  <c r="C11" i="20"/>
  <c r="F11"/>
  <c r="F11" i="54"/>
  <c r="C11" i="36"/>
  <c r="I11" i="54"/>
  <c r="H11" i="19"/>
  <c r="F11" i="76"/>
  <c r="E28" i="6"/>
  <c r="C28" i="78" s="1"/>
  <c r="F28" i="6"/>
  <c r="F29" i="20"/>
  <c r="F29" i="5"/>
  <c r="I29" i="25"/>
  <c r="E29"/>
  <c r="G29" i="34"/>
  <c r="C29" i="35"/>
  <c r="E29" i="38"/>
  <c r="F29" i="10"/>
  <c r="C29" i="54"/>
  <c r="I29"/>
  <c r="C29" i="82"/>
  <c r="E29" i="35"/>
  <c r="C29" i="34"/>
  <c r="F29" i="26"/>
  <c r="E29" i="11"/>
  <c r="I29" i="10"/>
  <c r="E29" i="34"/>
  <c r="I29" i="9"/>
  <c r="C29" i="10"/>
  <c r="F29" i="54"/>
  <c r="C29" i="36"/>
  <c r="F29" i="28"/>
  <c r="H29" i="11"/>
  <c r="C29" i="8"/>
  <c r="C29" i="25"/>
  <c r="C29" i="9"/>
  <c r="C29" i="27"/>
  <c r="C29" i="76" s="1"/>
  <c r="I29" i="26"/>
  <c r="F29" i="8"/>
  <c r="F29" i="9"/>
  <c r="C29" i="38"/>
  <c r="G29" i="25"/>
  <c r="C29" i="7"/>
  <c r="E29" i="82"/>
  <c r="C29" i="11"/>
  <c r="C29" i="28"/>
  <c r="F29" i="29"/>
  <c r="G29" i="36"/>
  <c r="I29" i="20"/>
  <c r="F29" i="76"/>
  <c r="E29" i="36"/>
  <c r="I29" i="28"/>
  <c r="E29" i="37"/>
  <c r="C29" i="29"/>
  <c r="C29" i="26"/>
  <c r="C29" i="20"/>
  <c r="C29" i="37"/>
  <c r="I29" i="18"/>
  <c r="C29" i="86"/>
  <c r="C29" i="18"/>
  <c r="C29" i="19"/>
  <c r="F29" i="18"/>
  <c r="H29" i="19"/>
  <c r="E29"/>
  <c r="I11" i="43"/>
  <c r="B11" i="42" s="1"/>
  <c r="J11" l="1"/>
  <c r="N27" i="21"/>
  <c r="E48" i="38"/>
  <c r="F48" i="8"/>
  <c r="C48" i="82"/>
  <c r="C48" i="38"/>
  <c r="G48" i="25"/>
  <c r="C48" i="11"/>
  <c r="I48" i="26"/>
  <c r="E48" i="35"/>
  <c r="E48" i="25"/>
  <c r="C48"/>
  <c r="C48" i="29"/>
  <c r="I48" i="18"/>
  <c r="I48" i="25"/>
  <c r="E48" i="11"/>
  <c r="C48" i="86"/>
  <c r="I48" i="9"/>
  <c r="F48" i="26"/>
  <c r="C48" i="28"/>
  <c r="C48" i="7"/>
  <c r="I48" i="28"/>
  <c r="E48" i="37"/>
  <c r="C48"/>
  <c r="E48" i="34"/>
  <c r="F48" i="10"/>
  <c r="C48" i="9"/>
  <c r="E48" i="36"/>
  <c r="E48" i="82"/>
  <c r="G48" i="34"/>
  <c r="F48" i="9"/>
  <c r="C48" i="8"/>
  <c r="H48" i="11"/>
  <c r="I48" i="10"/>
  <c r="C48" i="26"/>
  <c r="I48" i="20"/>
  <c r="C48" i="35"/>
  <c r="C48" i="20"/>
  <c r="F48" i="28"/>
  <c r="I48" i="54"/>
  <c r="C48" i="36"/>
  <c r="C48" i="54"/>
  <c r="C48" i="34"/>
  <c r="G48" i="36"/>
  <c r="C48" i="10"/>
  <c r="F48" i="29"/>
  <c r="C48" i="18"/>
  <c r="C48" i="27"/>
  <c r="C48" i="76" s="1"/>
  <c r="F48" i="54"/>
  <c r="C48" i="19"/>
  <c r="H48"/>
  <c r="F48" i="18"/>
  <c r="F48" i="76"/>
  <c r="E48" i="19"/>
  <c r="F48" i="20"/>
  <c r="D32" i="6"/>
  <c r="E32" i="90"/>
  <c r="L11" i="42"/>
  <c r="F17" i="6"/>
  <c r="E17"/>
  <c r="C17" i="78" s="1"/>
  <c r="F15" i="6"/>
  <c r="E15"/>
  <c r="C15" i="78" s="1"/>
  <c r="E12" i="6"/>
  <c r="C12" i="78" s="1"/>
  <c r="F12" i="6"/>
  <c r="E35"/>
  <c r="C35" i="78" s="1"/>
  <c r="F35" i="6"/>
  <c r="F23"/>
  <c r="E23"/>
  <c r="C23" i="78" s="1"/>
  <c r="F24" i="6"/>
  <c r="E24"/>
  <c r="C24" i="78" s="1"/>
  <c r="D40" i="6"/>
  <c r="E40" i="90"/>
  <c r="E42" i="6"/>
  <c r="C42" i="78" s="1"/>
  <c r="F42" i="6"/>
  <c r="E20"/>
  <c r="C20" i="78" s="1"/>
  <c r="F20" i="6"/>
  <c r="E13"/>
  <c r="C13" i="78" s="1"/>
  <c r="F13" i="6"/>
  <c r="R12" i="2"/>
  <c r="T12" s="1"/>
  <c r="G48" i="44"/>
  <c r="E48" i="42" s="1"/>
  <c r="L14" s="1"/>
  <c r="E48" i="45"/>
  <c r="H48" i="42" s="1"/>
  <c r="L17" s="1"/>
  <c r="C48" i="45"/>
  <c r="G48" i="42" s="1"/>
  <c r="L16" s="1"/>
  <c r="E48" i="44"/>
  <c r="D48" i="42" s="1"/>
  <c r="L13" s="1"/>
  <c r="I48" i="44"/>
  <c r="F48" i="42" s="1"/>
  <c r="L15" s="1"/>
  <c r="C48" i="44"/>
  <c r="C48" i="42" s="1"/>
  <c r="L12" s="1"/>
  <c r="G48" i="45"/>
  <c r="D33" i="6"/>
  <c r="E33" i="90"/>
  <c r="E16" i="6"/>
  <c r="C16" i="78" s="1"/>
  <c r="F16" i="6"/>
  <c r="D29"/>
  <c r="E29" i="90"/>
  <c r="D11" i="6"/>
  <c r="F48" i="5"/>
  <c r="E48" i="90" s="1"/>
  <c r="E11"/>
  <c r="F22" i="6"/>
  <c r="E22"/>
  <c r="C22" i="78" s="1"/>
  <c r="E26" i="6"/>
  <c r="C26" i="78" s="1"/>
  <c r="F26" i="6"/>
  <c r="F43"/>
  <c r="E43"/>
  <c r="C43" i="78" s="1"/>
  <c r="E19" i="6"/>
  <c r="C19" i="78" s="1"/>
  <c r="F19" i="6"/>
  <c r="D39"/>
  <c r="E39" i="90"/>
  <c r="E46" i="6"/>
  <c r="C46" i="78" s="1"/>
  <c r="F46" i="6"/>
  <c r="E27"/>
  <c r="C27" i="78" s="1"/>
  <c r="F27" i="6"/>
  <c r="D34"/>
  <c r="E34" i="90"/>
  <c r="D25" i="6"/>
  <c r="E25" i="90"/>
  <c r="D44" i="6"/>
  <c r="E44" i="90"/>
  <c r="G13" i="85"/>
  <c r="J13"/>
  <c r="E50"/>
  <c r="F44" i="6" l="1"/>
  <c r="E44"/>
  <c r="C44" i="78" s="1"/>
  <c r="F34" i="6"/>
  <c r="E34"/>
  <c r="C34" i="78" s="1"/>
  <c r="E39" i="6"/>
  <c r="C39" i="78" s="1"/>
  <c r="F39" i="6"/>
  <c r="E40"/>
  <c r="C40" i="78" s="1"/>
  <c r="F40" i="6"/>
  <c r="E32"/>
  <c r="C32" i="78" s="1"/>
  <c r="F32" i="6"/>
  <c r="N23" i="21"/>
  <c r="N18"/>
  <c r="N13"/>
  <c r="N22"/>
  <c r="N17"/>
  <c r="N21"/>
  <c r="N16"/>
  <c r="N24"/>
  <c r="N19"/>
  <c r="N15"/>
  <c r="J48" i="42"/>
  <c r="G50" i="85"/>
  <c r="J50"/>
  <c r="E25" i="6"/>
  <c r="C25" i="78" s="1"/>
  <c r="F25" i="6"/>
  <c r="A62" i="43"/>
  <c r="A54" i="42"/>
  <c r="F11" i="6"/>
  <c r="E11"/>
  <c r="C11" i="78" s="1"/>
  <c r="D48" i="6"/>
  <c r="E29"/>
  <c r="C29" i="78" s="1"/>
  <c r="F29" i="6"/>
  <c r="E33"/>
  <c r="C33" i="78" s="1"/>
  <c r="F33" i="6"/>
  <c r="L19" i="42"/>
  <c r="E48" i="6" l="1"/>
  <c r="C48" i="78" s="1"/>
  <c r="F48" i="6"/>
</calcChain>
</file>

<file path=xl/comments1.xml><?xml version="1.0" encoding="utf-8"?>
<comments xmlns="http://schemas.openxmlformats.org/spreadsheetml/2006/main">
  <authors>
    <author>GPizzaro</author>
  </authors>
  <commentList>
    <comment ref="J8" authorId="0">
      <text>
        <r>
          <rPr>
            <b/>
            <sz val="8"/>
            <color indexed="81"/>
            <rFont val="Tahoma"/>
            <family val="2"/>
          </rPr>
          <t>GPizzaro:</t>
        </r>
        <r>
          <rPr>
            <sz val="8"/>
            <color indexed="81"/>
            <rFont val="Tahoma"/>
            <family val="2"/>
          </rPr>
          <t xml:space="preserve">
Portioned assessment come from W:\Edusfb\Total School Assessment\YYYY F assessment.</t>
        </r>
      </text>
    </comment>
    <comment ref="H16" authorId="0">
      <text>
        <r>
          <rPr>
            <b/>
            <sz val="8"/>
            <color indexed="81"/>
            <rFont val="Tahoma"/>
            <family val="2"/>
          </rPr>
          <t>GPizzaro:</t>
        </r>
        <r>
          <rPr>
            <sz val="8"/>
            <color indexed="81"/>
            <rFont val="Tahoma"/>
            <family val="2"/>
          </rPr>
          <t xml:space="preserve">
Take it from the folder</t>
        </r>
      </text>
    </comment>
  </commentList>
</comments>
</file>

<file path=xl/comments2.xml><?xml version="1.0" encoding="utf-8"?>
<comments xmlns="http://schemas.openxmlformats.org/spreadsheetml/2006/main">
  <authors>
    <author>GPizzaro</author>
  </authors>
  <commentList>
    <comment ref="O6" authorId="0">
      <text>
        <r>
          <rPr>
            <sz val="8"/>
            <color indexed="81"/>
            <rFont val="Tahoma"/>
            <family val="2"/>
          </rPr>
          <t xml:space="preserve">
ASSESSMENT POR RESIDENT PUPIL
W:\Edusfb\Support\2009-10\Support Files Frozen\DSFYY
PAGE Scdatabase COLUMN AC</t>
        </r>
      </text>
    </comment>
  </commentList>
</comments>
</file>

<file path=xl/sharedStrings.xml><?xml version="1.0" encoding="utf-8"?>
<sst xmlns="http://schemas.openxmlformats.org/spreadsheetml/2006/main" count="3230" uniqueCount="704">
  <si>
    <t>PUPIL / EDUCATOR</t>
  </si>
  <si>
    <t>RATIO</t>
  </si>
  <si>
    <t>PAGE 1 OF 3</t>
  </si>
  <si>
    <t xml:space="preserve"> </t>
  </si>
  <si>
    <t>PAGE 2 OF 3</t>
  </si>
  <si>
    <t>PAGE 3 OF 3</t>
  </si>
  <si>
    <t xml:space="preserve"> FRAME STUDENT STATISTICS</t>
  </si>
  <si>
    <t>PAGE 1 OF 2</t>
  </si>
  <si>
    <t xml:space="preserve">PAGE 2 OF 2 </t>
  </si>
  <si>
    <t xml:space="preserve"> FUNCTION 100: REGULAR INSTRUCTION</t>
  </si>
  <si>
    <t>ADMINISTRATION /</t>
  </si>
  <si>
    <t>CLINICAL AND</t>
  </si>
  <si>
    <t>BUSINESS AND</t>
  </si>
  <si>
    <t xml:space="preserve"> FUNCTION 400: COMMUNITY EDUCATION AND SERVICES</t>
  </si>
  <si>
    <t>INSTRUCTIONAL MGMT.</t>
  </si>
  <si>
    <t>MANAGEMENT</t>
  </si>
  <si>
    <t>PROFESSIONAL AND</t>
  </si>
  <si>
    <t>CURRICULUM CONSULTING</t>
  </si>
  <si>
    <t>COUNSELLING AND</t>
  </si>
  <si>
    <t xml:space="preserve"> FUNCTION 700: TRANSPORTATION OF PUPILS</t>
  </si>
  <si>
    <t xml:space="preserve"> FUNCTION 800: OPERATIONS AND MAINTENANCE</t>
  </si>
  <si>
    <t xml:space="preserve"> FUNCTION 900: FISCAL</t>
  </si>
  <si>
    <t>TECHNOLOGY</t>
  </si>
  <si>
    <t>TRANSPORTATION</t>
  </si>
  <si>
    <t>OPERATIONS AND</t>
  </si>
  <si>
    <t>REGULAR TRANSPORTATION</t>
  </si>
  <si>
    <t>ADMINISTRATION, REGULAR AND OTHER</t>
  </si>
  <si>
    <t>REPAIRS AND</t>
  </si>
  <si>
    <t>LESS</t>
  </si>
  <si>
    <t xml:space="preserve">TOTAL </t>
  </si>
  <si>
    <t>ADMINISTRATION</t>
  </si>
  <si>
    <t>ENGLISH LANGUAGE</t>
  </si>
  <si>
    <t>FRANÇAIS</t>
  </si>
  <si>
    <t>FRENCH IMMERSION</t>
  </si>
  <si>
    <t>COORDINATION</t>
  </si>
  <si>
    <t>RELATED SERVICES</t>
  </si>
  <si>
    <t>SUPPORT SERVICES</t>
  </si>
  <si>
    <t>COMMUNITY SERVICES</t>
  </si>
  <si>
    <t>BOARD OF TRUSTEES</t>
  </si>
  <si>
    <t>AND ADMINISTRATION</t>
  </si>
  <si>
    <t>ADMIN. SERVICES</t>
  </si>
  <si>
    <t>INFORMATION SERVICES</t>
  </si>
  <si>
    <t>STAFF DEVELOPMENT</t>
  </si>
  <si>
    <t>AND DEVELOPMENT</t>
  </si>
  <si>
    <t>OTHER</t>
  </si>
  <si>
    <t>ALLOWANCES IN LIEU</t>
  </si>
  <si>
    <t>BOARDING OF</t>
  </si>
  <si>
    <t>SCHOOL BUILDINGS</t>
  </si>
  <si>
    <t>HEALTH AND</t>
  </si>
  <si>
    <t>REGULAR INSTRUCTION</t>
  </si>
  <si>
    <t>COMMUNITY EDUCATION</t>
  </si>
  <si>
    <t>OF PUPILS</t>
  </si>
  <si>
    <t>MAINTENANCE</t>
  </si>
  <si>
    <t>FISCAL</t>
  </si>
  <si>
    <t>TOTAL</t>
  </si>
  <si>
    <t>(PROGRAM 720)</t>
  </si>
  <si>
    <t>(PROGRAMS 710, 720 AND 790)</t>
  </si>
  <si>
    <t>REPLACEMENTS</t>
  </si>
  <si>
    <t>COMMUNITY</t>
  </si>
  <si>
    <t>EXPENDITURES</t>
  </si>
  <si>
    <t>PER</t>
  </si>
  <si>
    <t>&amp; RECREATION</t>
  </si>
  <si>
    <t>REGULAR</t>
  </si>
  <si>
    <t>OF TRANSPORTATION</t>
  </si>
  <si>
    <t>STUDENTS</t>
  </si>
  <si>
    <t>OTHER BUILDINGS</t>
  </si>
  <si>
    <t>GROUNDS</t>
  </si>
  <si>
    <t>DEBT SERVICES</t>
  </si>
  <si>
    <t>EDUCATION LEVY</t>
  </si>
  <si>
    <t>ENGLISH</t>
  </si>
  <si>
    <t>FRENCH</t>
  </si>
  <si>
    <t>NURSERY</t>
  </si>
  <si>
    <t xml:space="preserve">REGULAR </t>
  </si>
  <si>
    <t>TOTAL KM.</t>
  </si>
  <si>
    <t>COST</t>
  </si>
  <si>
    <t>LOADED</t>
  </si>
  <si>
    <t>COST PER</t>
  </si>
  <si>
    <t>EDUCATION</t>
  </si>
  <si>
    <t>FOR PER PUPIL</t>
  </si>
  <si>
    <t xml:space="preserve">    TRANSFERS BY FUNCTION</t>
  </si>
  <si>
    <t>AREA</t>
  </si>
  <si>
    <t xml:space="preserve"> DIVISION / DISTRICT</t>
  </si>
  <si>
    <t>AMOUNT</t>
  </si>
  <si>
    <t>%</t>
  </si>
  <si>
    <t>PUPIL</t>
  </si>
  <si>
    <t>LANGUAGE</t>
  </si>
  <si>
    <t>IMMERSION</t>
  </si>
  <si>
    <t>BILINGUAL</t>
  </si>
  <si>
    <t>PUPILS</t>
  </si>
  <si>
    <t>(ROUTES)</t>
  </si>
  <si>
    <t>PER KM.</t>
  </si>
  <si>
    <t>KM.</t>
  </si>
  <si>
    <t>(LOG BOOK)</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</si>
  <si>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</si>
  <si>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</si>
  <si>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</si>
  <si>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</si>
  <si>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</si>
  <si>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</si>
  <si>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</si>
  <si>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</si>
  <si>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</si>
  <si>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</si>
  <si>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FEDERAL</t>
  </si>
  <si>
    <t>MUNICIPAL</t>
  </si>
  <si>
    <t>OTHER SCHOOL</t>
  </si>
  <si>
    <t>ORGANIZATIONS</t>
  </si>
  <si>
    <t>NON-PROVINCIAL</t>
  </si>
  <si>
    <t>OPERATING</t>
  </si>
  <si>
    <t>GOVERNMENTS</t>
  </si>
  <si>
    <t>URBAN</t>
  </si>
  <si>
    <t>FARM</t>
  </si>
  <si>
    <t>SPECIAL</t>
  </si>
  <si>
    <t>ASSESSMENT</t>
  </si>
  <si>
    <t>COUNSELLING</t>
  </si>
  <si>
    <t>LIBRARY</t>
  </si>
  <si>
    <t>PROFESSIONAL</t>
  </si>
  <si>
    <t>BASE</t>
  </si>
  <si>
    <t>CATEGORICAL</t>
  </si>
  <si>
    <t>PROGRAM</t>
  </si>
  <si>
    <t>PROVINCIAL</t>
  </si>
  <si>
    <t>FUND</t>
  </si>
  <si>
    <t>GOVERNMENT</t>
  </si>
  <si>
    <t>DIVISIONS</t>
  </si>
  <si>
    <t>FIRST NATIONS</t>
  </si>
  <si>
    <t>&amp; INDIVIDUALS</t>
  </si>
  <si>
    <t>REVENUE</t>
  </si>
  <si>
    <t>SCHOOL</t>
  </si>
  <si>
    <t>FIRST</t>
  </si>
  <si>
    <t>ORG.'S &amp;</t>
  </si>
  <si>
    <t>DEBT</t>
  </si>
  <si>
    <t>CAPITAL</t>
  </si>
  <si>
    <t>AND FARM</t>
  </si>
  <si>
    <t>LAND AND</t>
  </si>
  <si>
    <t>LEVY</t>
  </si>
  <si>
    <t>MINING</t>
  </si>
  <si>
    <t>SUPPORT</t>
  </si>
  <si>
    <t>OCCUPANCY</t>
  </si>
  <si>
    <t>AND GUIDANCE</t>
  </si>
  <si>
    <t>SERVICES</t>
  </si>
  <si>
    <t>DEVELOPMENT</t>
  </si>
  <si>
    <t>NATIONS</t>
  </si>
  <si>
    <t>INDIVIDUALS</t>
  </si>
  <si>
    <t>BUILDINGS</t>
  </si>
  <si>
    <t>EQUIPMENT</t>
  </si>
  <si>
    <t>RESIDENTIAL</t>
  </si>
  <si>
    <t xml:space="preserve">OTHER  </t>
  </si>
  <si>
    <t>SPECIAL LEVY</t>
  </si>
  <si>
    <t>OTHER DIVISIONS</t>
  </si>
  <si>
    <t>OBJECT</t>
  </si>
  <si>
    <t>EMPLOYEE</t>
  </si>
  <si>
    <t>SUPPLIES AND</t>
  </si>
  <si>
    <t>SALARIES</t>
  </si>
  <si>
    <t>BENEFITS</t>
  </si>
  <si>
    <t>MATERIALS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</si>
  <si>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</si>
  <si>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</si>
  <si>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</si>
  <si>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</si>
  <si>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</si>
  <si>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</si>
  <si>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</si>
  <si>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</si>
  <si>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</si>
  <si>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</si>
  <si>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NO. OF</t>
  </si>
  <si>
    <t>%  IN DUAL TRACK SCHOOLS</t>
  </si>
  <si>
    <t>F.T.E.</t>
  </si>
  <si>
    <t>SUPPLEMENTARY DATA FOR FRAME REPORT</t>
  </si>
  <si>
    <t>CHECK</t>
  </si>
  <si>
    <t>ENROLMENTS - HEADCOUNT, FRAME AND ELIGIBLE</t>
  </si>
  <si>
    <t>ENROLMENT</t>
  </si>
  <si>
    <t>FRAME PUPIL / TEACHER RATIOS</t>
  </si>
  <si>
    <t>PUPIL / TEACHER RATIOS</t>
  </si>
  <si>
    <t>INSURANCE</t>
  </si>
  <si>
    <t>EMPLOYEE BENEFITS</t>
  </si>
  <si>
    <t>SUPPLIES &amp; MATERIALS</t>
  </si>
  <si>
    <t>OPERATIONS &amp; MAINTENANCE</t>
  </si>
  <si>
    <t>INSTRUCTIONAL &amp; PUPIL SUPPORT SERVICES</t>
  </si>
  <si>
    <t>OTHER RESOURCE</t>
  </si>
  <si>
    <t>DIVISIONAL</t>
  </si>
  <si>
    <t>DIVISIONAL ADMINISTRATION</t>
  </si>
  <si>
    <t xml:space="preserve"> FUNCTION 500: DIVISIONAL ADMINISTRATION</t>
  </si>
  <si>
    <t>PRE-KINDERGARTEN</t>
  </si>
  <si>
    <t xml:space="preserve">N/A </t>
  </si>
  <si>
    <t>ACTUAL</t>
  </si>
  <si>
    <t>ESTIMATE</t>
  </si>
  <si>
    <t>SENIOR YEARS</t>
  </si>
  <si>
    <t>EXPENDITURE</t>
  </si>
  <si>
    <t>(1)</t>
  </si>
  <si>
    <t>- 10 -</t>
  </si>
  <si>
    <t>PER RESIDENT</t>
  </si>
  <si>
    <t>STATISTICAL SUMMARY</t>
  </si>
  <si>
    <t>TRANSPORTED</t>
  </si>
  <si>
    <t>CURRICULAR</t>
  </si>
  <si>
    <t>INFORMATION</t>
  </si>
  <si>
    <t>EARLY</t>
  </si>
  <si>
    <t>INTERVENTION</t>
  </si>
  <si>
    <t>PAGE 1 OF 5</t>
  </si>
  <si>
    <t>PAGE 2 OF 5</t>
  </si>
  <si>
    <t>PAGE 3 OF 5</t>
  </si>
  <si>
    <t>PAGE 4 OF 5</t>
  </si>
  <si>
    <t>PAGE 5 OF 5</t>
  </si>
  <si>
    <t>ABORIGINAL</t>
  </si>
  <si>
    <t>ACADEMIC</t>
  </si>
  <si>
    <t>PROGRAMS</t>
  </si>
  <si>
    <t>LITERACY</t>
  </si>
  <si>
    <t>YEAR</t>
  </si>
  <si>
    <t>(Grants-</t>
  </si>
  <si>
    <t>in-Lieu)</t>
  </si>
  <si>
    <t>AND SERVICES</t>
  </si>
  <si>
    <t>ADULT LEARNING</t>
  </si>
  <si>
    <t>ADULT LEARNING CENTRES</t>
  </si>
  <si>
    <t>ACHIEVEMENT</t>
  </si>
  <si>
    <t>AND OTHER</t>
  </si>
  <si>
    <t>- 13 -</t>
  </si>
  <si>
    <t>- 12 -</t>
  </si>
  <si>
    <t>SQ. FT. PER</t>
  </si>
  <si>
    <t>INSTRUCTIONAL</t>
  </si>
  <si>
    <t>SCHOOLS</t>
  </si>
  <si>
    <t>FUNDING OF</t>
  </si>
  <si>
    <t>FUNDING OF SCHOOLS PROGRAM (CONT'D)</t>
  </si>
  <si>
    <t>FUNDING OF SCHOOLS PROGRAM</t>
  </si>
  <si>
    <t>TOTAL FUNDING</t>
  </si>
  <si>
    <t>OF SCHOOLS</t>
  </si>
  <si>
    <t>TECHNOLOGY EDUCATION</t>
  </si>
  <si>
    <t>CONTINUING</t>
  </si>
  <si>
    <t>REPAIRS</t>
  </si>
  <si>
    <t>SPARSITY</t>
  </si>
  <si>
    <t>EQUALIZATION</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</si>
  <si>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</si>
  <si>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</si>
  <si>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</si>
  <si>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</si>
  <si>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</si>
  <si>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</si>
  <si>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</si>
  <si>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</si>
  <si>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</si>
  <si>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</si>
  <si>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</si>
  <si>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</si>
  <si>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</si>
  <si>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</si>
  <si>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</si>
  <si>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</si>
  <si>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</si>
  <si>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</si>
  <si>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</si>
  <si>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</si>
  <si>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</si>
  <si>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</si>
  <si>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</si>
  <si>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</si>
  <si>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</si>
  <si>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</si>
  <si>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</si>
  <si>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</si>
  <si>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</si>
  <si>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</si>
  <si>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</si>
  <si>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</si>
  <si>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</si>
  <si>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</si>
  <si>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</si>
  <si>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</si>
  <si>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</si>
  <si>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WPG. TECHNICAL COLLEGE</t>
  </si>
  <si>
    <t>MEDIA CENTRE</t>
  </si>
  <si>
    <t xml:space="preserve"> L.G.D. OF PINAWA</t>
  </si>
  <si>
    <t xml:space="preserve"> NOT IN ANY DIVISION</t>
  </si>
  <si>
    <t xml:space="preserve"> DIVISION/DISTRICT TOTAL</t>
  </si>
  <si>
    <t>FIELD TRIPS</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</si>
  <si>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</si>
  <si>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</si>
  <si>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</si>
  <si>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</si>
  <si>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</si>
  <si>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</si>
  <si>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</si>
  <si>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</si>
  <si>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</si>
  <si>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</si>
  <si>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</si>
  <si>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</si>
  <si>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</si>
  <si>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</si>
  <si>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</si>
  <si>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</si>
  <si>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</si>
  <si>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</si>
  <si>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</si>
  <si>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</si>
  <si>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</si>
  <si>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</si>
  <si>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</si>
  <si>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</si>
  <si>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</si>
  <si>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</si>
  <si>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</si>
  <si>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</si>
  <si>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</si>
  <si>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</si>
  <si>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</si>
  <si>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</si>
  <si>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</si>
  <si>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</si>
  <si>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</si>
  <si>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</si>
  <si>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</si>
  <si>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</si>
  <si>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</si>
  <si>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</si>
  <si>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</si>
  <si>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OPERATIONS &amp;</t>
  </si>
  <si>
    <t>CURRICULUM</t>
  </si>
  <si>
    <t>FUNCTION 500</t>
  </si>
  <si>
    <t>PROGRAM 605</t>
  </si>
  <si>
    <t>PROGRAM 710</t>
  </si>
  <si>
    <t>PROGRAM 810</t>
  </si>
  <si>
    <t>CONSULTING /</t>
  </si>
  <si>
    <t>LIABILITY</t>
  </si>
  <si>
    <t>PORTION OF</t>
  </si>
  <si>
    <t>SELF-FUNDED</t>
  </si>
  <si>
    <t>ADMIN.</t>
  </si>
  <si>
    <t xml:space="preserve"> &amp; ADMIN.</t>
  </si>
  <si>
    <t>CENTRES</t>
  </si>
  <si>
    <t>PLUS</t>
  </si>
  <si>
    <t>TO</t>
  </si>
  <si>
    <t>AS % OF</t>
  </si>
  <si>
    <t>LESS ADULT</t>
  </si>
  <si>
    <t>LEARNING</t>
  </si>
  <si>
    <t xml:space="preserve"> FUNCTION 300: ADULT LEARNING CENTRES</t>
  </si>
  <si>
    <t>LOCAL TAXATION AND ASSESSMENT PER RESIDENT PUPIL</t>
  </si>
  <si>
    <t>MILL RATE</t>
  </si>
  <si>
    <t xml:space="preserve">  TRUSTEES REMUNERATION</t>
  </si>
  <si>
    <t xml:space="preserve">  EXECUTIVE MANAGERIAL, &amp; SUPERVISORY</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</si>
  <si>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</si>
  <si>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</si>
  <si>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</si>
  <si>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</si>
  <si>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</si>
  <si>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</si>
  <si>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</si>
  <si>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</si>
  <si>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</si>
  <si>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</si>
  <si>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</si>
  <si>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</si>
  <si>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</si>
  <si>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</si>
  <si>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</si>
  <si>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</si>
  <si>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</si>
  <si>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</si>
  <si>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</si>
  <si>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</si>
  <si>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</si>
  <si>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</si>
  <si>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</si>
  <si>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</si>
  <si>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</si>
  <si>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</si>
  <si>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</si>
  <si>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</si>
  <si>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</si>
  <si>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</si>
  <si>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</si>
  <si>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LIBRARY /</t>
  </si>
  <si>
    <t>ADMIN. COSTS</t>
  </si>
  <si>
    <t>PAGE 1 0F 2</t>
  </si>
  <si>
    <t>PAGE 2 0F 2</t>
  </si>
  <si>
    <t>ADJUSTED</t>
  </si>
  <si>
    <t>(from page 3)</t>
  </si>
  <si>
    <t>CALCULATION OF EXPENDITURE BASE AND ADMINISTRATION PERCENTAGE</t>
  </si>
  <si>
    <t xml:space="preserve"> WPG. TECHNICAL COLL.</t>
  </si>
  <si>
    <t>CURRICULUM CONSULTING AND</t>
  </si>
  <si>
    <t>ACTUAL AND ESTIMATES AS OF SEPTEMBER 30</t>
  </si>
  <si>
    <t>Reallocation of administration costs associated with Adult Learning Centre operations from Function 500 to Function 300.</t>
  </si>
  <si>
    <t>(2)</t>
  </si>
  <si>
    <t>Health and Education Support Levy.</t>
  </si>
  <si>
    <t>DEVELOPMENT ADMINISTRATION</t>
  </si>
  <si>
    <t>(3)</t>
  </si>
  <si>
    <t>(4)</t>
  </si>
  <si>
    <r>
      <t xml:space="preserve">EXPENSES </t>
    </r>
    <r>
      <rPr>
        <b/>
        <vertAlign val="superscript"/>
        <sz val="9"/>
        <rFont val="Arial"/>
        <family val="2"/>
      </rPr>
      <t>(1)</t>
    </r>
  </si>
  <si>
    <r>
      <t xml:space="preserve">TRANSFERS </t>
    </r>
    <r>
      <rPr>
        <b/>
        <vertAlign val="superscript"/>
        <sz val="9"/>
        <rFont val="Arial"/>
        <family val="2"/>
      </rPr>
      <t>(2)</t>
    </r>
  </si>
  <si>
    <r>
      <t xml:space="preserve">&amp; SERVICES </t>
    </r>
    <r>
      <rPr>
        <b/>
        <vertAlign val="superscript"/>
        <sz val="9"/>
        <rFont val="Arial"/>
        <family val="2"/>
      </rPr>
      <t>(4)</t>
    </r>
  </si>
  <si>
    <r>
      <t xml:space="preserve">COSTS </t>
    </r>
    <r>
      <rPr>
        <b/>
        <vertAlign val="superscript"/>
        <sz val="9"/>
        <rFont val="Arial"/>
        <family val="2"/>
      </rPr>
      <t>(5)</t>
    </r>
  </si>
  <si>
    <r>
      <t xml:space="preserve">SINGLE TRACK </t>
    </r>
    <r>
      <rPr>
        <b/>
        <vertAlign val="superscript"/>
        <sz val="9"/>
        <rFont val="Arial"/>
        <family val="2"/>
      </rPr>
      <t>(1)</t>
    </r>
  </si>
  <si>
    <r>
      <t xml:space="preserve">DUAL TRACK </t>
    </r>
    <r>
      <rPr>
        <b/>
        <vertAlign val="superscript"/>
        <sz val="9"/>
        <rFont val="Arial"/>
        <family val="2"/>
      </rPr>
      <t>(2)</t>
    </r>
  </si>
  <si>
    <r>
      <t xml:space="preserve">INSTRUCTION </t>
    </r>
    <r>
      <rPr>
        <b/>
        <vertAlign val="superscript"/>
        <sz val="9"/>
        <rFont val="Arial"/>
        <family val="2"/>
      </rPr>
      <t>(1)</t>
    </r>
  </si>
  <si>
    <r>
      <t xml:space="preserve">EDUCATOR </t>
    </r>
    <r>
      <rPr>
        <b/>
        <vertAlign val="superscript"/>
        <sz val="9"/>
        <rFont val="Arial"/>
        <family val="2"/>
      </rPr>
      <t>(2)</t>
    </r>
  </si>
  <si>
    <r>
      <t xml:space="preserve">HEADCOUNT </t>
    </r>
    <r>
      <rPr>
        <b/>
        <vertAlign val="superscript"/>
        <sz val="9"/>
        <rFont val="Arial"/>
        <family val="2"/>
      </rPr>
      <t>(1)</t>
    </r>
  </si>
  <si>
    <r>
      <t xml:space="preserve">FRAME </t>
    </r>
    <r>
      <rPr>
        <b/>
        <vertAlign val="superscript"/>
        <sz val="9"/>
        <rFont val="Arial"/>
        <family val="2"/>
      </rPr>
      <t>(2)</t>
    </r>
  </si>
  <si>
    <r>
      <t xml:space="preserve">ELIGIBLE </t>
    </r>
    <r>
      <rPr>
        <b/>
        <vertAlign val="superscript"/>
        <sz val="9"/>
        <rFont val="Arial"/>
        <family val="2"/>
      </rPr>
      <t>(3)</t>
    </r>
  </si>
  <si>
    <r>
      <t xml:space="preserve">SQ. FT. </t>
    </r>
    <r>
      <rPr>
        <b/>
        <vertAlign val="superscript"/>
        <sz val="9"/>
        <rFont val="Arial"/>
        <family val="2"/>
      </rPr>
      <t>(1)</t>
    </r>
  </si>
  <si>
    <r>
      <t xml:space="preserve">PUPIL </t>
    </r>
    <r>
      <rPr>
        <b/>
        <vertAlign val="superscript"/>
        <sz val="9"/>
        <rFont val="Arial"/>
        <family val="2"/>
      </rPr>
      <t>(2)</t>
    </r>
  </si>
  <si>
    <t xml:space="preserve"> FUNCTION 800: (CONT'D)</t>
  </si>
  <si>
    <t xml:space="preserve"> FUNCTION 700: TRANSPORTATION (CONT'D)</t>
  </si>
  <si>
    <t xml:space="preserve"> FUNCTION 500: (CONT'D)</t>
  </si>
  <si>
    <r>
      <t xml:space="preserve">GIFTED EDUCATION </t>
    </r>
    <r>
      <rPr>
        <b/>
        <vertAlign val="superscript"/>
        <sz val="9"/>
        <rFont val="Arial"/>
        <family val="2"/>
      </rPr>
      <t>(1)</t>
    </r>
  </si>
  <si>
    <t xml:space="preserve"> FUNCTION 100: REGULAR INSTRUCTION (CONT'D)</t>
  </si>
  <si>
    <r>
      <t xml:space="preserve">DUAL TRACK SCHOOLS </t>
    </r>
    <r>
      <rPr>
        <b/>
        <vertAlign val="superscript"/>
        <sz val="9"/>
        <rFont val="Arial"/>
        <family val="2"/>
      </rPr>
      <t>(1)</t>
    </r>
  </si>
  <si>
    <r>
      <t xml:space="preserve">SINGLE TRACK SCHOOLS </t>
    </r>
    <r>
      <rPr>
        <b/>
        <vertAlign val="superscript"/>
        <sz val="9"/>
        <rFont val="Arial"/>
        <family val="2"/>
      </rPr>
      <t>(1)</t>
    </r>
  </si>
  <si>
    <r>
      <t xml:space="preserve">PROGRAM </t>
    </r>
    <r>
      <rPr>
        <b/>
        <vertAlign val="superscript"/>
        <sz val="9"/>
        <rFont val="Arial"/>
        <family val="2"/>
      </rPr>
      <t>(1)</t>
    </r>
  </si>
  <si>
    <r>
      <t xml:space="preserve">RESIDENT PUPIL </t>
    </r>
    <r>
      <rPr>
        <b/>
        <vertAlign val="superscript"/>
        <sz val="9"/>
        <rFont val="Arial"/>
        <family val="2"/>
      </rPr>
      <t>(1)</t>
    </r>
  </si>
  <si>
    <r>
      <t xml:space="preserve">PER PUPIL </t>
    </r>
    <r>
      <rPr>
        <b/>
        <vertAlign val="superscript"/>
        <sz val="9"/>
        <rFont val="Arial"/>
        <family val="2"/>
      </rPr>
      <t>(1)</t>
    </r>
  </si>
  <si>
    <r>
      <t xml:space="preserve">FUNCTION 300 </t>
    </r>
    <r>
      <rPr>
        <b/>
        <vertAlign val="superscript"/>
        <sz val="9"/>
        <rFont val="Arial"/>
        <family val="2"/>
      </rPr>
      <t>(1)</t>
    </r>
  </si>
  <si>
    <r>
      <t xml:space="preserve">SUPPORT </t>
    </r>
    <r>
      <rPr>
        <b/>
        <vertAlign val="superscript"/>
        <sz val="9"/>
        <rFont val="Arial"/>
        <family val="2"/>
      </rPr>
      <t>(1)</t>
    </r>
  </si>
  <si>
    <r>
      <t xml:space="preserve">CATEGORICAL </t>
    </r>
    <r>
      <rPr>
        <b/>
        <vertAlign val="superscript"/>
        <sz val="9"/>
        <rFont val="Arial"/>
        <family val="2"/>
      </rPr>
      <t>(1)</t>
    </r>
  </si>
  <si>
    <r>
      <t xml:space="preserve">NEEDS </t>
    </r>
    <r>
      <rPr>
        <b/>
        <vertAlign val="superscript"/>
        <sz val="9"/>
        <rFont val="Arial"/>
        <family val="2"/>
      </rPr>
      <t>(2)</t>
    </r>
  </si>
  <si>
    <r>
      <t xml:space="preserve">SUPPORT </t>
    </r>
    <r>
      <rPr>
        <b/>
        <vertAlign val="superscript"/>
        <sz val="9"/>
        <rFont val="Arial"/>
        <family val="2"/>
      </rPr>
      <t>(2)</t>
    </r>
  </si>
  <si>
    <t xml:space="preserve">      per pupil costs.</t>
  </si>
  <si>
    <t xml:space="preserve">      categories exclude administration at the school level (Function 100 - Regular Instruction, Program 110) and special needs administration (Function</t>
  </si>
  <si>
    <t>PROPERTY</t>
  </si>
  <si>
    <r>
      <t xml:space="preserve">TAX CREDIT </t>
    </r>
    <r>
      <rPr>
        <b/>
        <vertAlign val="superscript"/>
        <sz val="9"/>
        <rFont val="Arial"/>
        <family val="2"/>
      </rPr>
      <t>(2)</t>
    </r>
  </si>
  <si>
    <t xml:space="preserve"> WPG. TECH. COLLEGE</t>
  </si>
  <si>
    <r>
      <t xml:space="preserve">REVENUE </t>
    </r>
    <r>
      <rPr>
        <b/>
        <vertAlign val="superscript"/>
        <sz val="9"/>
        <rFont val="Arial"/>
        <family val="2"/>
      </rPr>
      <t>(4)</t>
    </r>
  </si>
  <si>
    <r>
      <t xml:space="preserve">REVENUE </t>
    </r>
    <r>
      <rPr>
        <b/>
        <vertAlign val="superscript"/>
        <sz val="9"/>
        <rFont val="Arial"/>
        <family val="2"/>
      </rPr>
      <t>(5)</t>
    </r>
  </si>
  <si>
    <r>
      <t xml:space="preserve">GOVERNMENT </t>
    </r>
    <r>
      <rPr>
        <b/>
        <vertAlign val="superscript"/>
        <sz val="9"/>
        <rFont val="Arial"/>
        <family val="2"/>
      </rPr>
      <t>(1)</t>
    </r>
  </si>
  <si>
    <r>
      <t xml:space="preserve">MILL RATE </t>
    </r>
    <r>
      <rPr>
        <b/>
        <vertAlign val="superscript"/>
        <sz val="9"/>
        <rFont val="Arial"/>
        <family val="2"/>
      </rPr>
      <t>(2)</t>
    </r>
  </si>
  <si>
    <r>
      <t xml:space="preserve">LEVY </t>
    </r>
    <r>
      <rPr>
        <b/>
        <vertAlign val="superscript"/>
        <sz val="9"/>
        <rFont val="Arial"/>
        <family val="2"/>
      </rPr>
      <t>(1)</t>
    </r>
  </si>
  <si>
    <t xml:space="preserve">      defined categories to 4% (urban school divisions), 4.5% (rural school divisions) and 5.0% (northern school divisions).  Frontier School Division,</t>
  </si>
  <si>
    <r>
      <t xml:space="preserve">INFORMATION SERVICES </t>
    </r>
    <r>
      <rPr>
        <b/>
        <vertAlign val="superscript"/>
        <sz val="9"/>
        <rFont val="Arial"/>
        <family val="2"/>
      </rPr>
      <t>(2)</t>
    </r>
  </si>
  <si>
    <t xml:space="preserve">      Learning Centres on page 15 owing to the inclusion of operating transfers for the purpose of calculating administration costs.</t>
  </si>
  <si>
    <t xml:space="preserve">  TRAVEL AND MEETINGS</t>
  </si>
  <si>
    <t>STUDENT</t>
  </si>
  <si>
    <t>ENGLISH AS AN</t>
  </si>
  <si>
    <t>ADDITIONAL</t>
  </si>
  <si>
    <t>CHILDHOOD</t>
  </si>
  <si>
    <t>PAGE 1 OF 17</t>
  </si>
  <si>
    <t>PAGE 15 OF 17</t>
  </si>
  <si>
    <t>PAGE 14 OF 17</t>
  </si>
  <si>
    <t>PAGE 13 OF 17</t>
  </si>
  <si>
    <t>PAGE 12 OF 17</t>
  </si>
  <si>
    <t>PAGE 11 OF 17</t>
  </si>
  <si>
    <t>PAGE 10 OF 17</t>
  </si>
  <si>
    <t>PAGE 9 OF 17</t>
  </si>
  <si>
    <t>PAGE 8 OF 17</t>
  </si>
  <si>
    <t>PAGE 7 OF 17</t>
  </si>
  <si>
    <t>PAGE 6 OF 17</t>
  </si>
  <si>
    <t>PAGE 5 OF 17</t>
  </si>
  <si>
    <t>PAGE 4 OF 17</t>
  </si>
  <si>
    <t>PAGE 3 OF 17</t>
  </si>
  <si>
    <t>PAGE 2 OF 17</t>
  </si>
  <si>
    <t>PAGE 16 OF 17</t>
  </si>
  <si>
    <t>PAGE 17 OF 17</t>
  </si>
  <si>
    <t xml:space="preserve"> FUNCTION 200: STUDENT SUPPORT SERVICES</t>
  </si>
  <si>
    <t xml:space="preserve"> FUNCTION 200: STUDENT SUPPORT SERVICES (CONT'D)</t>
  </si>
  <si>
    <t>STUDENT SUPPORT SERVICES</t>
  </si>
  <si>
    <t xml:space="preserve">STUDENT SUPPORT </t>
  </si>
  <si>
    <t>PORTIONED</t>
  </si>
  <si>
    <t xml:space="preserve"> SUPPORT LEVY</t>
  </si>
  <si>
    <t xml:space="preserve">      International Baccalaureate and Advanced Placement classes.</t>
  </si>
  <si>
    <t>LESS:   LIABILITY</t>
  </si>
  <si>
    <r>
      <t xml:space="preserve">GUARANTEE </t>
    </r>
    <r>
      <rPr>
        <b/>
        <vertAlign val="superscript"/>
        <sz val="9"/>
        <rFont val="Arial"/>
        <family val="2"/>
      </rPr>
      <t>(3)</t>
    </r>
  </si>
  <si>
    <t>NON K-12</t>
  </si>
  <si>
    <t>STUDENT SUPPORT</t>
  </si>
  <si>
    <t>K-12  F.T.E.</t>
  </si>
  <si>
    <t>N-12</t>
  </si>
  <si>
    <t>K-12</t>
  </si>
  <si>
    <r>
      <t xml:space="preserve">  RECHARGE </t>
    </r>
    <r>
      <rPr>
        <vertAlign val="superscript"/>
        <sz val="9"/>
        <rFont val="Arial"/>
        <family val="2"/>
      </rPr>
      <t>(1)</t>
    </r>
  </si>
  <si>
    <r>
      <t>(1)</t>
    </r>
    <r>
      <rPr>
        <sz val="9"/>
        <rFont val="Arial"/>
        <family val="2"/>
      </rPr>
      <t xml:space="preserve">  Reallocation of administration costs associated with Adult Learning Centre operations from Function 500 to Function 300.</t>
    </r>
  </si>
  <si>
    <t>GUIDANCE</t>
  </si>
  <si>
    <t>Reallocation of school building costs associated with Adult Learning Centre operations to Function 300</t>
  </si>
  <si>
    <t>PLACEMENT</t>
  </si>
  <si>
    <t xml:space="preserve">  PROPERTY TAXES</t>
  </si>
  <si>
    <t xml:space="preserve">      elsewhere in this report owing to the inclusion of operating transfers for the purpose of calculating administration costs.</t>
  </si>
  <si>
    <t xml:space="preserve"> FUNCTION 200: (CONT'D)</t>
  </si>
  <si>
    <t>INSTRUCTIONAL &amp; OTHER</t>
  </si>
  <si>
    <t>INSTRUCTIONAL AND OTHER SUPPORT SERVICES</t>
  </si>
  <si>
    <t xml:space="preserve"> FUNCTION 600: INSTRUCTIONAL &amp; OTHER SUPPORT SERVICES</t>
  </si>
  <si>
    <t xml:space="preserve"> FUNCTION 600: INSTRUCTIONAL &amp; OTHER SUPPORT SERVICES (CONT'D)</t>
  </si>
  <si>
    <t>OPERATING FUND EXPENSE PER PUPIL</t>
  </si>
  <si>
    <r>
      <t xml:space="preserve">EXPENSES </t>
    </r>
    <r>
      <rPr>
        <b/>
        <vertAlign val="superscript"/>
        <sz val="10"/>
        <rFont val="Arial"/>
        <family val="2"/>
      </rPr>
      <t xml:space="preserve">(1)    </t>
    </r>
    <r>
      <rPr>
        <b/>
        <sz val="9"/>
        <rFont val="Arial"/>
        <family val="2"/>
      </rPr>
      <t xml:space="preserve">                                               </t>
    </r>
  </si>
  <si>
    <r>
      <t xml:space="preserve">OF TRANSFERS </t>
    </r>
    <r>
      <rPr>
        <b/>
        <vertAlign val="superscript"/>
        <sz val="9"/>
        <rFont val="Arial"/>
        <family val="2"/>
      </rPr>
      <t>(3)</t>
    </r>
  </si>
  <si>
    <t>EXPENSES NET</t>
  </si>
  <si>
    <t>RECONCILIATION  OF  EXPENSES</t>
  </si>
  <si>
    <t>BAD DEBT</t>
  </si>
  <si>
    <t>EXPENSE</t>
  </si>
  <si>
    <t>EXPENSE BY FUNCTION AND OBJECT</t>
  </si>
  <si>
    <t xml:space="preserve">  BAD DEBT EXPENSE</t>
  </si>
  <si>
    <r>
      <t xml:space="preserve"> INFORMATION TECHNOLOGY EXPENSES  </t>
    </r>
    <r>
      <rPr>
        <b/>
        <vertAlign val="superscript"/>
        <sz val="9"/>
        <rFont val="Arial"/>
        <family val="2"/>
      </rPr>
      <t>(1)</t>
    </r>
  </si>
  <si>
    <t>ANALYSIS OF EXPENSE BY PROGRAM</t>
  </si>
  <si>
    <t>ANALYSIS OF  TRANSPORTATION EXPENSES</t>
  </si>
  <si>
    <t>ANALYSIS OF  TRANSPORTATION EXPENSES (CONT'D)</t>
  </si>
  <si>
    <t xml:space="preserve"> ANALYSIS OF OPERATIONS AND MAINTENANCE EXPENSES FOR SCHOOL BUILDINGS</t>
  </si>
  <si>
    <t>ANALYSIS OF EXPENSE BY FUNCTION</t>
  </si>
  <si>
    <t>PHYSICAL</t>
  </si>
  <si>
    <t>FORMULA</t>
  </si>
  <si>
    <t>NET TRANSFERS</t>
  </si>
  <si>
    <r>
      <t xml:space="preserve">CAPITAL FUND </t>
    </r>
    <r>
      <rPr>
        <b/>
        <vertAlign val="superscript"/>
        <sz val="10"/>
        <rFont val="Arial"/>
        <family val="2"/>
      </rPr>
      <t>(1)</t>
    </r>
  </si>
  <si>
    <t>EXPENSE BY 2ND LEVEL OBJECT</t>
  </si>
  <si>
    <t>AS A PERCENTAGE OF TOTAL OPERATING FUND EXPENSES</t>
  </si>
  <si>
    <t xml:space="preserve">      200 - Student Support Services, Program 210).  This appendix provides an analysis of the defined administration expenses as a percentage of the</t>
  </si>
  <si>
    <t>TOTAL DEFINED ADMINISTRATION EXPENSES</t>
  </si>
  <si>
    <t>GROSS SPECIAL</t>
  </si>
  <si>
    <t>TAX INCENTIVE</t>
  </si>
  <si>
    <t>NET SPECIAL</t>
  </si>
  <si>
    <r>
      <t>GRANT</t>
    </r>
    <r>
      <rPr>
        <b/>
        <vertAlign val="superscript"/>
        <sz val="9"/>
        <rFont val="Arial"/>
        <family val="2"/>
      </rPr>
      <t xml:space="preserve"> (1)</t>
    </r>
  </si>
  <si>
    <t xml:space="preserve">      page 53 and Special Needs).</t>
  </si>
  <si>
    <t>SUPPORT FOR</t>
  </si>
  <si>
    <t>SMALL SCHOOLS</t>
  </si>
  <si>
    <t>ADD'N  INST.</t>
  </si>
  <si>
    <t xml:space="preserve"> DIVISION/DISTRICT</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</si>
  <si>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</si>
  <si>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</si>
  <si>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</si>
  <si>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</si>
  <si>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</si>
  <si>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</si>
  <si>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</si>
  <si>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</si>
  <si>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</si>
  <si>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</si>
  <si>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</si>
  <si>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</si>
  <si>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</si>
  <si>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</si>
  <si>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</si>
  <si>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</si>
  <si>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</si>
  <si>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</si>
  <si>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</si>
  <si>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</si>
  <si>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</si>
  <si>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</si>
  <si>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</si>
  <si>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</si>
  <si>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</si>
  <si>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</si>
  <si>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</si>
  <si>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</si>
  <si>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</si>
  <si>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</si>
  <si>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</si>
  <si>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W.T.C.</t>
  </si>
  <si>
    <t xml:space="preserve">TAX  </t>
  </si>
  <si>
    <t>INCENTIVE</t>
  </si>
  <si>
    <r>
      <t>GRANT</t>
    </r>
    <r>
      <rPr>
        <b/>
        <vertAlign val="superscript"/>
        <sz val="9"/>
        <rFont val="Arial"/>
        <family val="2"/>
      </rPr>
      <t>(3)</t>
    </r>
  </si>
  <si>
    <r>
      <t xml:space="preserve">REVENUE </t>
    </r>
    <r>
      <rPr>
        <b/>
        <vertAlign val="superscript"/>
        <sz val="9"/>
        <rFont val="Arial"/>
        <family val="2"/>
      </rPr>
      <t>(6)</t>
    </r>
  </si>
  <si>
    <t>(from page 57)</t>
  </si>
  <si>
    <r>
      <t xml:space="preserve">PLACEMENT </t>
    </r>
    <r>
      <rPr>
        <b/>
        <vertAlign val="superscript"/>
        <sz val="9"/>
        <rFont val="Arial"/>
        <family val="2"/>
      </rPr>
      <t>(1)</t>
    </r>
  </si>
  <si>
    <t>ADDITIONAL LANGUAGE</t>
  </si>
  <si>
    <t>FOR ADULTS</t>
  </si>
  <si>
    <t>(1)  Support for Function 200 Student Support Services expenses less Counselling and Guidance and Categorical support for Special Needs.</t>
  </si>
  <si>
    <r>
      <t>SERVICES</t>
    </r>
    <r>
      <rPr>
        <b/>
        <vertAlign val="superscript"/>
        <sz val="9"/>
        <rFont val="Arial"/>
        <family val="2"/>
      </rPr>
      <t xml:space="preserve"> (1)</t>
    </r>
  </si>
  <si>
    <t>(5)</t>
  </si>
  <si>
    <t xml:space="preserve">  RECHARGE</t>
  </si>
  <si>
    <r>
      <t xml:space="preserve">OTHER </t>
    </r>
    <r>
      <rPr>
        <b/>
        <vertAlign val="superscript"/>
        <sz val="9"/>
        <rFont val="Arial"/>
        <family val="2"/>
      </rPr>
      <t>(1)</t>
    </r>
  </si>
  <si>
    <r>
      <t xml:space="preserve">PORTIONED ASSESSMENT - OTHER AND EDUCATION SUPPORT LEVY   </t>
    </r>
    <r>
      <rPr>
        <b/>
        <vertAlign val="superscript"/>
        <sz val="10"/>
        <rFont val="Arial"/>
        <family val="2"/>
      </rPr>
      <t>(1)</t>
    </r>
  </si>
  <si>
    <t>TOTAL PORTIONED ASSESSMENT</t>
  </si>
  <si>
    <t>NET SPECIAL LEVY</t>
  </si>
  <si>
    <t xml:space="preserve">      adjusted operating expense base. Expenses shown for Function 500 or Program 710 may differ from corresponding amounts shown</t>
  </si>
  <si>
    <t xml:space="preserve">  EXECUTIVE, MANAGERIAL
 AND SUPERVISORY</t>
  </si>
  <si>
    <t xml:space="preserve"> TECHNICAL, 
SPECIALIZED AND SERVICE</t>
  </si>
  <si>
    <t>SECRETARIAL 
CLERICAL
 AND OTHER</t>
  </si>
  <si>
    <r>
      <t>FULL TIME EQUIVALENT (FTE) PERSONNEL EMPLOYED</t>
    </r>
    <r>
      <rPr>
        <b/>
        <vertAlign val="superscript"/>
        <sz val="9"/>
        <rFont val="Arial"/>
        <family val="2"/>
      </rPr>
      <t xml:space="preserve"> (1)</t>
    </r>
  </si>
  <si>
    <r>
      <t xml:space="preserve">  
  IT  </t>
    </r>
    <r>
      <rPr>
        <b/>
        <vertAlign val="superscript"/>
        <sz val="11"/>
        <rFont val="Arial"/>
        <family val="2"/>
      </rPr>
      <t>(3)</t>
    </r>
  </si>
  <si>
    <t>ANALYSIS OF INFORMATION TECHNOLOGY EXPENSES</t>
  </si>
  <si>
    <t xml:space="preserve">      Services) and Management Information Services in Function 500. Total expenses for Management Information Services are included</t>
  </si>
  <si>
    <t xml:space="preserve">      on page 39 and form part of total Information Technology Expenses.</t>
  </si>
  <si>
    <r>
      <t>PROVINCIAL</t>
    </r>
    <r>
      <rPr>
        <vertAlign val="superscript"/>
        <sz val="9"/>
        <rFont val="Arial"/>
        <family val="2"/>
      </rPr>
      <t>(1)</t>
    </r>
  </si>
  <si>
    <t>DIRECT SUPPORT TO PUPILS</t>
  </si>
  <si>
    <t>DIRECT SUPPORT</t>
  </si>
  <si>
    <t>TO PUPILS</t>
  </si>
  <si>
    <t>PER PUPIL</t>
  </si>
  <si>
    <t xml:space="preserve">% of Total Expense </t>
  </si>
  <si>
    <t>(1) Total of Regular Instruction, Student Support Services and Instructional and Other Support Services. See pages 15 and 16</t>
  </si>
  <si>
    <t>Control</t>
  </si>
  <si>
    <t>Total expenses</t>
  </si>
  <si>
    <t>Frame</t>
  </si>
  <si>
    <t>tables budget</t>
  </si>
  <si>
    <t>Variance</t>
  </si>
  <si>
    <t>Budget Table</t>
  </si>
  <si>
    <t>Total Revenues</t>
  </si>
  <si>
    <t>SENIOR YEARS tech</t>
  </si>
  <si>
    <t>Total Reg. Instruct..</t>
  </si>
  <si>
    <t xml:space="preserve"> DSFM</t>
  </si>
  <si>
    <t>TO/(FROM)</t>
  </si>
  <si>
    <t>NET TRANSFERS TO/(FROM) CAPITAL FUND</t>
  </si>
  <si>
    <t>(2)  Provided in recognition of the higher costs associated with sparsely populated rural and northern divisions.</t>
  </si>
  <si>
    <t>(1)  Includes vehicle support for school buses.</t>
  </si>
  <si>
    <t>(1)  Equalization is provided to recognize the varying ability of school divisions to meet the cost of unsupported program requirements through the</t>
  </si>
  <si>
    <t>(2)  Additional Equalization is provided to specifically assist school divisions or districts that have both higher than average tax effort and lower than</t>
  </si>
  <si>
    <t>(2)  For a definition of Divisional Administration, see expense definitions, page iii.</t>
  </si>
  <si>
    <t>(4)  Administration of Pupil Transportation.  For a definition of Transportation of Pupils, see expense definitions, page iii.</t>
  </si>
  <si>
    <t>(5)  Administration of Operations and Maintenance.  For a definition of Operations and Maintenance, see expense definitions, page iii.</t>
  </si>
  <si>
    <t>(1)  Effective with fiscal year 2003/2004, school divisions are required to limit the proportion of the budget spent on administration expenses in</t>
  </si>
  <si>
    <t>(3)  Information Technology.</t>
  </si>
  <si>
    <t>(1)  From page 4 (for more information, see page 4).</t>
  </si>
  <si>
    <t>(2)  From page 9 (for more information, see page 9).</t>
  </si>
  <si>
    <t>(3)  From page 51 (for more information, see page 51).</t>
  </si>
  <si>
    <t>(1)  Total operating expenses as reported on the Schedule of Revenues and Expenses in each school division's budget.</t>
  </si>
  <si>
    <t>(2)  Operating fund transfers are payments to other school divisions, organizations and individuals.  These are removed to provide more accurate</t>
  </si>
  <si>
    <t>(3)  As reported on pages 10 and 13 (on a provincial basis).</t>
  </si>
  <si>
    <t>(4)  Expenses for Adult Learning Centres and Community Education and Services (Functions 300 and 400).</t>
  </si>
  <si>
    <t>(5)  As reported on page 4.</t>
  </si>
  <si>
    <t>(2)  Mill rates for Flin Flon and Mystery Lake are adjusted for mining revenue.</t>
  </si>
  <si>
    <t>(1)  Includes transfers to bus reserves and other capital reserves.</t>
  </si>
  <si>
    <t>(1)  See appendix for more detail.</t>
  </si>
  <si>
    <t>(4)  Includes other miscellaneous support (Institutional Programs, Adult Learning Centres, General Support Grant, etc.).</t>
  </si>
  <si>
    <t>(5)  Includes revenue from other provincial government departments.</t>
  </si>
  <si>
    <t>(1)  Excludes information technology expenses in Function 300 (Adult Learning Centres) and Function 400 (Community Education and Services).</t>
  </si>
  <si>
    <t>(2)  Total Management Information Services expenses in Function 500 (from page 27).</t>
  </si>
  <si>
    <t>(1)  Excludes information technology expenses in Function 300 (Adult Learning Centres) and Function 400 (Community Education and</t>
  </si>
  <si>
    <t>(2)  Square footage (as per note above) divided by total F.T.E. enrolment (from page 7).</t>
  </si>
  <si>
    <t>(1)  No one language program comprises 90% or more of Regular Instruction enrolment.</t>
  </si>
  <si>
    <t>(1)  90% or more of Regular Instruction enrolment is in one language.</t>
  </si>
  <si>
    <t>(1)  Based on object code 330 instructional-teaching personnel and F.T.E. students in Function 100.  Included are teachers in physical education,</t>
  </si>
  <si>
    <t>(2)  Based on total instructional-teaching (excluding Community Education and Adult Learning Centres) as well as school-based administrative</t>
  </si>
  <si>
    <t>(1)  Pupils taught in schools, whether or not they are counted for grant purposes.</t>
  </si>
  <si>
    <t>(1)  90% or more of Regular Instruction enrolment is in one language program.</t>
  </si>
  <si>
    <t>(2)  No one language program comprises 90% or more of Regular Instruction enrolment.</t>
  </si>
  <si>
    <t>(1)  Operating fund transfers (i.e. payments to other school divisions, organizations and individuals) are excluded to provide more accurate per pupil</t>
  </si>
  <si>
    <t xml:space="preserve">      DSFM and the Winnipeg Technical College are exempt from these limits and are not reflected in the above totals.  The defined administration</t>
  </si>
  <si>
    <r>
      <t xml:space="preserve"> 
 CLINICIAN</t>
    </r>
    <r>
      <rPr>
        <b/>
        <vertAlign val="superscript"/>
        <sz val="11"/>
        <rFont val="Arial"/>
        <family val="2"/>
      </rPr>
      <t xml:space="preserve"> (2)</t>
    </r>
  </si>
  <si>
    <t xml:space="preserve"> TEACHING</t>
  </si>
  <si>
    <t>(1)  Includes all personnel in all functions. See FRAME Manual at http://www.edu.gov.mb.ca/k12/finance/index.html for definitions.</t>
  </si>
  <si>
    <r>
      <t>FUNCTIONS 100 + 200 + 600</t>
    </r>
    <r>
      <rPr>
        <b/>
        <vertAlign val="superscript"/>
        <sz val="9"/>
        <rFont val="Arial"/>
        <family val="2"/>
      </rPr>
      <t xml:space="preserve"> (1)</t>
    </r>
  </si>
  <si>
    <t xml:space="preserve">       for more information.</t>
  </si>
  <si>
    <t>(1)  The portion shown here is comprised of operating support only. The total provincial contribution to K-12 public school education, which also</t>
  </si>
  <si>
    <t xml:space="preserve">      for details.</t>
  </si>
  <si>
    <r>
      <t xml:space="preserve">REGULAR INSTRUCTION </t>
    </r>
    <r>
      <rPr>
        <b/>
        <vertAlign val="superscript"/>
        <sz val="9"/>
        <rFont val="Arial"/>
        <family val="2"/>
      </rPr>
      <t>(1)</t>
    </r>
  </si>
  <si>
    <t xml:space="preserve">       staff - eg. department heads, coordinators, principals and vice-principals - and K-12 F.T.E. enrolment.  Division administrators (Function 500)</t>
  </si>
  <si>
    <t xml:space="preserve">       are excluded.  While this definition is consistent with Statistics Canada's, the provincial ratio may not agree exactly due to different data sources.</t>
  </si>
  <si>
    <t xml:space="preserve">       are excluded.</t>
  </si>
  <si>
    <t xml:space="preserve">(1)  Includes food services, health services, and other activities related to instructional and other support not included in </t>
  </si>
  <si>
    <t xml:space="preserve">      previous programs.</t>
  </si>
  <si>
    <t xml:space="preserve">(2)  Effective with the 2005 tax year, the Resident Homeowner Advance portion of the Manitoba Education Property Tax Credit (EPTC) is provided directly to </t>
  </si>
  <si>
    <t xml:space="preserve">       school divisions as revenue from the Province of Manitoba to more accurately reflect the amount of provincial funding provided in support of education.</t>
  </si>
  <si>
    <t xml:space="preserve">       Amounts shown here do not include the Farmland School Tax Rebate nor the income tax portion of the EPTC nor the Pensioner’s School Tax Assistance</t>
  </si>
  <si>
    <t xml:space="preserve">       because these are not quantifiable on a school division basis.  For these amounts shown on a provincial basis, see page i.</t>
  </si>
  <si>
    <t xml:space="preserve">       page 42 for EPTC revenue.</t>
  </si>
  <si>
    <t>(1)  For a definition of Adult Learning Centres, see expense definitions, page iii.  Expenditures shown here may differ from those shown for Adult</t>
  </si>
  <si>
    <t xml:space="preserve">(1)  The Tax Incentive Grant was offered to school divisions that maintained their prior year Special Levy amount adjusted for real growth in </t>
  </si>
  <si>
    <t xml:space="preserve">       basis of time attending school - eg. Kindergarten as 1/2.  This total is the same as reported on page 7.</t>
  </si>
  <si>
    <t xml:space="preserve">(1)  Expenses shown are extra costs associated with special needs students in regular classes, not the total cost of educating </t>
  </si>
  <si>
    <t xml:space="preserve">       those students.</t>
  </si>
  <si>
    <t>(1)  Assessment per resident pupil is based on total portioned assessment adjusted for allocations to the DSFM and corresponds to data provided</t>
  </si>
  <si>
    <t>(1)  All expenses related to gifted programming may not be included due to the difficulty of costing certain programming. Contact your school</t>
  </si>
  <si>
    <t xml:space="preserve">      division for more information. Does not include costs related to generalized enrichment activities undertaken by school divisions, or</t>
  </si>
  <si>
    <t xml:space="preserve">      in the calculation of support to school divisions. Assessment per resident pupil for Flin Flon, Frontier and Mystery Lake reflects non-assessed</t>
  </si>
  <si>
    <t>Replace</t>
  </si>
  <si>
    <t>Before click replace select the range you want.</t>
  </si>
  <si>
    <t>This</t>
  </si>
  <si>
    <t>into</t>
  </si>
  <si>
    <t>12b_PROV.xlsm</t>
  </si>
  <si>
    <t>SEP. 30, 2011</t>
  </si>
  <si>
    <t xml:space="preserve">       music, EAL, etc. in addition to regular classroom teachers. School-based administrative personnel and Special Placement classroom teachers </t>
  </si>
  <si>
    <t>Per Funded</t>
  </si>
  <si>
    <t>Resident</t>
  </si>
  <si>
    <t>Pupil &lt; 21</t>
  </si>
  <si>
    <t>N/A</t>
  </si>
  <si>
    <t xml:space="preserve">      mining properties. DSFM assessment per resident pupil is derived on a pro rata basis according to enrolment within DSFM boundaries.</t>
  </si>
  <si>
    <r>
      <t xml:space="preserve">SUPPORT </t>
    </r>
    <r>
      <rPr>
        <b/>
        <vertAlign val="superscript"/>
        <sz val="9"/>
        <rFont val="Arial"/>
        <family val="2"/>
      </rPr>
      <t>(4)</t>
    </r>
  </si>
  <si>
    <t>(4)  Includes School Buildings "D" Support, Technology Education Equipment and other minor capital support.</t>
  </si>
  <si>
    <t xml:space="preserve">       property tax base of the school division.</t>
  </si>
  <si>
    <t>(2)  Includes clinicians contracted/outsourced/private or employed by other divisions on a full time equivalent basis.</t>
  </si>
  <si>
    <t>(1) Special Placement students are no longer reported separately. They are included in Regular Instruction Enrolment.</t>
  </si>
  <si>
    <t xml:space="preserve">      </t>
  </si>
  <si>
    <t xml:space="preserve">      As a result, total enrolment in Regular Instruction is equal to Total K-12 F.T.E. enrolment.</t>
  </si>
  <si>
    <t>(1)  All other categorical support not shown elsewhere (eg. Aboriginal and International Languages, Northern Allowance, etc.).</t>
  </si>
  <si>
    <t>13b_PROV.xlsm</t>
  </si>
  <si>
    <t>2012/2013 BUDGET</t>
  </si>
  <si>
    <t>SEP. 30, 2012</t>
  </si>
  <si>
    <t>2012/13</t>
  </si>
  <si>
    <t>2012 TSA</t>
  </si>
  <si>
    <t>Prev. Year</t>
  </si>
  <si>
    <t>(2)  The total number of pupils enrolled in schools adjusted for full time equivalence (F.T.E.). Full time equivalent means pupils are counted on the</t>
  </si>
  <si>
    <t xml:space="preserve">       the Education Property Tax Credit. See pages 42 and 43 for more detail.</t>
  </si>
  <si>
    <t>(4)  From page 48 (for more information, see page 48).</t>
  </si>
  <si>
    <t>(3)  Administration, supervision and coordination of Curriculum Consulting and Development (Function 600, Program 605).</t>
  </si>
  <si>
    <t>2013 TSA</t>
  </si>
  <si>
    <t>2013/2014 BUDGET</t>
  </si>
  <si>
    <t>(3)  Provincially supported pupils (actual September 30, 2012 for 2013/14 and actual September 30, 2011 for 2012/13).</t>
  </si>
  <si>
    <t>SEP. 30, 2013</t>
  </si>
  <si>
    <t>Sep 30, 12</t>
  </si>
  <si>
    <t>(1)  Based on area (square footage) of active school buildings as at September 30, 2012. Includes rented and leased space.</t>
  </si>
  <si>
    <t>(1) Effective 2006, the Education Support Levy is no longer raised on residential property. The mill rate for other property in 2013 is 11.83.</t>
  </si>
  <si>
    <t>FOR THE 2013 TAXATION YEAR</t>
  </si>
  <si>
    <t>2013/14</t>
  </si>
  <si>
    <r>
      <t xml:space="preserve">2013/14 </t>
    </r>
    <r>
      <rPr>
        <b/>
        <vertAlign val="superscript"/>
        <sz val="9"/>
        <rFont val="Arial"/>
        <family val="2"/>
      </rPr>
      <t>(2)</t>
    </r>
  </si>
  <si>
    <t>2012</t>
  </si>
  <si>
    <r>
      <t xml:space="preserve">2013 </t>
    </r>
    <r>
      <rPr>
        <b/>
        <vertAlign val="superscript"/>
        <sz val="9"/>
        <rFont val="Arial"/>
        <family val="2"/>
      </rPr>
      <t>(3)</t>
    </r>
  </si>
  <si>
    <r>
      <t xml:space="preserve">2013 </t>
    </r>
    <r>
      <rPr>
        <b/>
        <vertAlign val="superscript"/>
        <sz val="9"/>
        <rFont val="Arial"/>
        <family val="2"/>
      </rPr>
      <t>(4)</t>
    </r>
  </si>
  <si>
    <t>(1)  Special levy requisitioned by school divisions for the 2013 tax year. Actual remittance to school divisions by municipalities is reduced by</t>
  </si>
  <si>
    <t>(1)  Based on a grant per eligible pupil at September 30, 2012.</t>
  </si>
  <si>
    <t xml:space="preserve">       average assessment per pupil. Please see 2013/14 Funding of Schools Booklet for more information.</t>
  </si>
  <si>
    <t>(3)  Formula Guarantee is provided to ensure that every school division receives at least the same level of funding as provided in 2012/13.</t>
  </si>
  <si>
    <t xml:space="preserve">       costs.  Also excluded are expenditures on educational services not provided to K-12 pupils: Function 300 (Adult Learning Centres) and Function</t>
  </si>
  <si>
    <t xml:space="preserve">       400 (Community Education and Services).</t>
  </si>
  <si>
    <t>(3)  Although the Tax Incentive Grant was discontinued in 2012, the funding provided in 2011 continues to be provided. Amounts shown here are the portions</t>
  </si>
  <si>
    <t xml:space="preserve">       by division after the allocation to the DSFM.</t>
  </si>
  <si>
    <r>
      <t xml:space="preserve">ADMINISTRATION EXPENSES </t>
    </r>
    <r>
      <rPr>
        <b/>
        <vertAlign val="superscript"/>
        <sz val="9"/>
        <rFont val="Arial"/>
        <family val="2"/>
      </rPr>
      <t>(1)</t>
    </r>
    <r>
      <rPr>
        <b/>
        <sz val="9"/>
        <rFont val="Arial"/>
        <family val="2"/>
      </rPr>
      <t xml:space="preserve"> 2013/2014 BUDGET</t>
    </r>
  </si>
  <si>
    <t xml:space="preserve">       property assessment. The 2013 grant is unchanged from the amount provided in 2011. Amounts shown here are the portions by </t>
  </si>
  <si>
    <t xml:space="preserve">       division before the allocation to the DSFM.</t>
  </si>
  <si>
    <t>All pages of the FRAME report containing the tables of financial and statistical data are included in this file.</t>
  </si>
  <si>
    <t>In most cases, formulas have been left intact to show how statistics such as percentages and average costs per pupil are derived.</t>
  </si>
  <si>
    <t>Each worksheet tab is numbered to match the corresponding page found in the published document so for example to see page 15, click the worksheet tab  - 15 - .</t>
  </si>
  <si>
    <t>This file is unprotected for data analysis by the user.  Data can also be copied to other files or additional data copied to this one.  In cases of dispute however, the published FRAME reports and the corresponding files located on the Manitoba Govenment web site remain the final authority.</t>
  </si>
  <si>
    <t>The cover page, table of contents, forward and introduction as well as the graphs (pie charts, bar charts) are not included in this file. The full report is available in a PDF version on the same site as this file at:</t>
  </si>
  <si>
    <t>http://www.edu.gov.mb.ca/k12/finance/frame_report/index.html</t>
  </si>
  <si>
    <t>FRAME Report: 2013/14 Budget</t>
  </si>
</sst>
</file>

<file path=xl/styles.xml><?xml version="1.0" encoding="utf-8"?>
<styleSheet xmlns="http://schemas.openxmlformats.org/spreadsheetml/2006/main">
  <numFmts count="14">
    <numFmt numFmtId="43" formatCode="_-* #,##0.00_-;\-* #,##0.00_-;_-* &quot;-&quot;??_-;_-@_-"/>
    <numFmt numFmtId="164" formatCode="_(* #,##0.00_);_(* \(#,##0.00\);_(* &quot;-&quot;??_);_(@_)"/>
    <numFmt numFmtId="165" formatCode=";;;"/>
    <numFmt numFmtId="166" formatCode="0.0%"/>
    <numFmt numFmtId="167" formatCode="#,##0.0_);\(#,##0.0\)"/>
    <numFmt numFmtId="168" formatCode="0.0_)"/>
    <numFmt numFmtId="169" formatCode="0.00_)"/>
    <numFmt numFmtId="170" formatCode="#,##0_ ;\(#,##0\)"/>
    <numFmt numFmtId="171" formatCode="#,##0\ ;\(#,##0\ \)"/>
    <numFmt numFmtId="172" formatCode="#,##0.0000;\-#,##0.0000"/>
    <numFmt numFmtId="173" formatCode="#,##0.0_ ;\(#,##0.0\)"/>
    <numFmt numFmtId="174" formatCode="#,##0.0_);[Red]\(#,##0.0\)"/>
    <numFmt numFmtId="175" formatCode="dd\-mmm\-yy_)"/>
    <numFmt numFmtId="176" formatCode="#,##0;\(#,##0\)"/>
  </numFmts>
  <fonts count="34">
    <font>
      <sz val="9"/>
      <name val="Times New Roman"/>
    </font>
    <font>
      <sz val="10"/>
      <name val="Times New Roman"/>
      <family val="1"/>
    </font>
    <font>
      <sz val="10"/>
      <name val="Courier"/>
      <family val="3"/>
    </font>
    <font>
      <b/>
      <sz val="9"/>
      <name val="Arial"/>
      <family val="2"/>
    </font>
    <font>
      <sz val="8"/>
      <color indexed="81"/>
      <name val="Tahoma"/>
      <family val="2"/>
    </font>
    <font>
      <sz val="9"/>
      <name val="Arial"/>
      <family val="2"/>
    </font>
    <font>
      <sz val="9"/>
      <color indexed="12"/>
      <name val="Arial"/>
      <family val="2"/>
    </font>
    <font>
      <b/>
      <vertAlign val="superscript"/>
      <sz val="9"/>
      <name val="Arial"/>
      <family val="2"/>
    </font>
    <font>
      <sz val="8"/>
      <name val="Arial"/>
      <family val="2"/>
    </font>
    <font>
      <vertAlign val="superscript"/>
      <sz val="9"/>
      <name val="Arial"/>
      <family val="2"/>
    </font>
    <font>
      <b/>
      <sz val="10"/>
      <name val="Arial"/>
      <family val="2"/>
    </font>
    <font>
      <u/>
      <sz val="9"/>
      <name val="Arial"/>
      <family val="2"/>
    </font>
    <font>
      <b/>
      <sz val="12"/>
      <name val="Arial"/>
      <family val="2"/>
    </font>
    <font>
      <sz val="10"/>
      <name val="Arial"/>
      <family val="2"/>
    </font>
    <font>
      <b/>
      <vertAlign val="superscript"/>
      <sz val="10"/>
      <name val="Arial"/>
      <family val="2"/>
    </font>
    <font>
      <sz val="10"/>
      <name val="Arial"/>
      <family val="2"/>
    </font>
    <font>
      <sz val="8"/>
      <name val="Arial"/>
      <family val="2"/>
    </font>
    <font>
      <sz val="11"/>
      <name val="Arial"/>
      <family val="2"/>
    </font>
    <font>
      <sz val="12"/>
      <name val="Arial"/>
      <family val="2"/>
    </font>
    <font>
      <b/>
      <sz val="8"/>
      <color indexed="81"/>
      <name val="Tahoma"/>
      <family val="2"/>
    </font>
    <font>
      <sz val="9"/>
      <name val="Times New Roman"/>
      <family val="1"/>
    </font>
    <font>
      <sz val="8"/>
      <name val="Times New Roman"/>
      <family val="1"/>
    </font>
    <font>
      <b/>
      <sz val="16"/>
      <name val="Arial"/>
      <family val="2"/>
    </font>
    <font>
      <b/>
      <sz val="9"/>
      <color indexed="10"/>
      <name val="Arial"/>
      <family val="2"/>
    </font>
    <font>
      <b/>
      <vertAlign val="superscript"/>
      <sz val="11"/>
      <name val="Arial"/>
      <family val="2"/>
    </font>
    <font>
      <sz val="9"/>
      <color indexed="10"/>
      <name val="Arial"/>
      <family val="2"/>
    </font>
    <font>
      <b/>
      <sz val="9"/>
      <color rgb="FFFF0000"/>
      <name val="Arial"/>
      <family val="2"/>
    </font>
    <font>
      <sz val="9"/>
      <color rgb="FFFF0000"/>
      <name val="Arial"/>
      <family val="2"/>
    </font>
    <font>
      <sz val="9"/>
      <color rgb="FF0070C0"/>
      <name val="Arial"/>
      <family val="2"/>
    </font>
    <font>
      <sz val="10"/>
      <color rgb="FF000000"/>
      <name val="Tahoma"/>
      <family val="2"/>
    </font>
    <font>
      <b/>
      <sz val="12"/>
      <color indexed="9"/>
      <name val="Arial"/>
      <family val="2"/>
    </font>
    <font>
      <sz val="12"/>
      <color indexed="9"/>
      <name val="Arial"/>
      <family val="2"/>
    </font>
    <font>
      <u/>
      <sz val="9"/>
      <color theme="10"/>
      <name val="Times New Roman"/>
      <family val="1"/>
    </font>
    <font>
      <u/>
      <sz val="12"/>
      <color theme="0"/>
      <name val="Arial"/>
      <family val="2"/>
    </font>
  </fonts>
  <fills count="12">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indexed="42"/>
        <bgColor indexed="8"/>
      </patternFill>
    </fill>
    <fill>
      <patternFill patternType="solid">
        <fgColor indexed="42"/>
        <bgColor indexed="64"/>
      </patternFill>
    </fill>
    <fill>
      <patternFill patternType="solid">
        <fgColor indexed="42"/>
        <bgColor indexed="42"/>
      </patternFill>
    </fill>
    <fill>
      <patternFill patternType="solid">
        <fgColor indexed="42"/>
        <bgColor indexed="9"/>
      </patternFill>
    </fill>
    <fill>
      <patternFill patternType="solid">
        <fgColor indexed="57"/>
        <bgColor indexed="64"/>
      </patternFill>
    </fill>
  </fills>
  <borders count="54">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top/>
      <bottom/>
      <diagonal/>
    </border>
    <border>
      <left style="double">
        <color indexed="8"/>
      </left>
      <right/>
      <top/>
      <bottom/>
      <diagonal/>
    </border>
    <border>
      <left style="thin">
        <color indexed="8"/>
      </left>
      <right style="double">
        <color indexed="8"/>
      </right>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8"/>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style="double">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double">
        <color indexed="8"/>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s>
  <cellStyleXfs count="9">
    <xf numFmtId="37" fontId="0" fillId="0" borderId="0"/>
    <xf numFmtId="0" fontId="2" fillId="2" borderId="1"/>
    <xf numFmtId="43" fontId="1" fillId="0" borderId="0" applyFont="0" applyFill="0" applyBorder="0" applyAlignment="0" applyProtection="0"/>
    <xf numFmtId="164" fontId="15" fillId="0" borderId="0" applyFont="0" applyFill="0" applyBorder="0" applyAlignment="0" applyProtection="0"/>
    <xf numFmtId="0" fontId="15" fillId="0" borderId="0"/>
    <xf numFmtId="39" fontId="20" fillId="0" borderId="0"/>
    <xf numFmtId="9" fontId="1" fillId="0" borderId="0" applyFont="0" applyFill="0" applyBorder="0" applyAlignment="0" applyProtection="0"/>
    <xf numFmtId="37" fontId="20" fillId="0" borderId="0"/>
    <xf numFmtId="0" fontId="32" fillId="0" borderId="0" applyNumberFormat="0" applyFill="0" applyBorder="0" applyAlignment="0" applyProtection="0">
      <alignment vertical="top"/>
      <protection locked="0"/>
    </xf>
  </cellStyleXfs>
  <cellXfs count="669">
    <xf numFmtId="37" fontId="0" fillId="0" borderId="0" xfId="0"/>
    <xf numFmtId="37" fontId="5" fillId="0" borderId="0" xfId="0" applyFont="1"/>
    <xf numFmtId="49" fontId="5" fillId="0" borderId="0" xfId="0" applyNumberFormat="1" applyFont="1" applyAlignment="1"/>
    <xf numFmtId="165" fontId="5" fillId="0" borderId="0" xfId="0" applyNumberFormat="1" applyFont="1" applyProtection="1"/>
    <xf numFmtId="37" fontId="5" fillId="3" borderId="0" xfId="0" applyFont="1" applyFill="1"/>
    <xf numFmtId="37" fontId="3" fillId="3" borderId="2" xfId="0" applyFont="1" applyFill="1" applyBorder="1" applyAlignment="1">
      <alignment horizontal="centerContinuous" vertical="center"/>
    </xf>
    <xf numFmtId="37" fontId="5" fillId="3" borderId="2" xfId="0" applyFont="1" applyFill="1" applyBorder="1" applyAlignment="1">
      <alignment horizontal="centerContinuous"/>
    </xf>
    <xf numFmtId="37" fontId="3" fillId="3" borderId="3" xfId="0" applyFont="1" applyFill="1" applyBorder="1" applyAlignment="1">
      <alignment horizontal="centerContinuous" vertical="center"/>
    </xf>
    <xf numFmtId="37" fontId="5" fillId="3" borderId="3" xfId="0" applyFont="1" applyFill="1" applyBorder="1" applyAlignment="1">
      <alignment horizontal="centerContinuous"/>
    </xf>
    <xf numFmtId="37" fontId="6" fillId="3" borderId="3" xfId="0" applyFont="1" applyFill="1" applyBorder="1" applyAlignment="1">
      <alignment horizontal="centerContinuous"/>
    </xf>
    <xf numFmtId="37" fontId="5" fillId="3" borderId="0" xfId="0" applyFont="1" applyFill="1" applyAlignment="1">
      <alignment horizontal="center"/>
    </xf>
    <xf numFmtId="37" fontId="3" fillId="3" borderId="4" xfId="0" applyFont="1" applyFill="1" applyBorder="1" applyAlignment="1">
      <alignment horizontal="center"/>
    </xf>
    <xf numFmtId="0" fontId="3" fillId="3" borderId="5" xfId="0" applyNumberFormat="1" applyFont="1" applyFill="1" applyBorder="1" applyAlignment="1">
      <alignment horizontal="center"/>
    </xf>
    <xf numFmtId="37" fontId="3" fillId="3" borderId="5" xfId="0" applyFont="1" applyFill="1" applyBorder="1" applyAlignment="1">
      <alignment horizontal="center"/>
    </xf>
    <xf numFmtId="37" fontId="3" fillId="3" borderId="1" xfId="0" applyFont="1" applyFill="1" applyBorder="1" applyAlignment="1">
      <alignment horizontal="center"/>
    </xf>
    <xf numFmtId="0" fontId="3" fillId="3" borderId="6" xfId="0" applyNumberFormat="1" applyFont="1" applyFill="1" applyBorder="1" applyAlignment="1">
      <alignment horizontal="center"/>
    </xf>
    <xf numFmtId="37" fontId="3" fillId="3" borderId="6" xfId="0" applyFont="1" applyFill="1" applyBorder="1" applyAlignment="1">
      <alignment horizontal="center"/>
    </xf>
    <xf numFmtId="49" fontId="3" fillId="0" borderId="7" xfId="0" applyNumberFormat="1" applyFont="1" applyBorder="1"/>
    <xf numFmtId="37" fontId="3" fillId="3" borderId="2" xfId="0" applyFont="1" applyFill="1" applyBorder="1" applyAlignment="1">
      <alignment horizontal="center"/>
    </xf>
    <xf numFmtId="49" fontId="3" fillId="0" borderId="8" xfId="0" applyNumberFormat="1" applyFont="1" applyBorder="1"/>
    <xf numFmtId="37" fontId="3" fillId="3" borderId="9" xfId="0" applyFont="1" applyFill="1" applyBorder="1" applyAlignment="1">
      <alignment horizontal="center" vertical="top"/>
    </xf>
    <xf numFmtId="37" fontId="3" fillId="3" borderId="10" xfId="0" applyFont="1" applyFill="1" applyBorder="1" applyAlignment="1">
      <alignment horizontal="center" vertical="top"/>
    </xf>
    <xf numFmtId="49" fontId="3" fillId="0" borderId="0" xfId="0" applyNumberFormat="1" applyFont="1"/>
    <xf numFmtId="49" fontId="5" fillId="0" borderId="1" xfId="0" applyNumberFormat="1" applyFont="1" applyBorder="1" applyAlignment="1">
      <alignment vertical="center"/>
    </xf>
    <xf numFmtId="170" fontId="5" fillId="0" borderId="1" xfId="0" applyNumberFormat="1" applyFont="1" applyBorder="1" applyAlignment="1">
      <alignment vertical="center"/>
    </xf>
    <xf numFmtId="49" fontId="5" fillId="0" borderId="0" xfId="0" applyNumberFormat="1" applyFont="1" applyAlignment="1">
      <alignment vertical="center"/>
    </xf>
    <xf numFmtId="171" fontId="5" fillId="0" borderId="0" xfId="0" applyNumberFormat="1" applyFont="1" applyAlignment="1">
      <alignment vertical="center"/>
    </xf>
    <xf numFmtId="37" fontId="5" fillId="0" borderId="11" xfId="0" applyFont="1" applyBorder="1"/>
    <xf numFmtId="37" fontId="5" fillId="0" borderId="0" xfId="0" applyFont="1" applyAlignment="1">
      <alignment horizontal="left"/>
    </xf>
    <xf numFmtId="49" fontId="5" fillId="0" borderId="0" xfId="0" applyNumberFormat="1" applyFont="1" applyAlignment="1">
      <alignment horizontal="left"/>
    </xf>
    <xf numFmtId="37" fontId="5" fillId="3" borderId="0" xfId="0" applyFont="1" applyFill="1" applyBorder="1"/>
    <xf numFmtId="37" fontId="5" fillId="0" borderId="0" xfId="0" applyNumberFormat="1" applyFont="1" applyBorder="1" applyProtection="1"/>
    <xf numFmtId="37" fontId="3" fillId="0" borderId="4" xfId="0" applyFont="1" applyBorder="1"/>
    <xf numFmtId="37" fontId="3" fillId="3" borderId="5" xfId="0" applyFont="1" applyFill="1" applyBorder="1" applyAlignment="1">
      <alignment horizontal="right"/>
    </xf>
    <xf numFmtId="37" fontId="3" fillId="3" borderId="5" xfId="0" applyFont="1" applyFill="1" applyBorder="1"/>
    <xf numFmtId="37" fontId="3" fillId="0" borderId="8" xfId="0" applyFont="1" applyBorder="1"/>
    <xf numFmtId="37" fontId="3" fillId="0" borderId="10" xfId="0" applyFont="1" applyBorder="1" applyAlignment="1">
      <alignment horizontal="right"/>
    </xf>
    <xf numFmtId="37" fontId="3" fillId="0" borderId="0" xfId="0" applyFont="1"/>
    <xf numFmtId="170" fontId="5" fillId="0" borderId="1" xfId="0" applyNumberFormat="1" applyFont="1" applyBorder="1" applyAlignment="1">
      <alignment horizontal="right" vertical="center"/>
    </xf>
    <xf numFmtId="37" fontId="5" fillId="0" borderId="0" xfId="0" applyFont="1" applyAlignment="1"/>
    <xf numFmtId="37" fontId="5" fillId="3" borderId="0" xfId="0" applyFont="1" applyFill="1" applyProtection="1"/>
    <xf numFmtId="165" fontId="5" fillId="0" borderId="2" xfId="0" applyNumberFormat="1" applyFont="1" applyBorder="1" applyProtection="1"/>
    <xf numFmtId="37" fontId="3" fillId="3" borderId="2" xfId="0" applyFont="1" applyFill="1" applyBorder="1" applyAlignment="1" applyProtection="1">
      <alignment horizontal="centerContinuous" vertical="center"/>
    </xf>
    <xf numFmtId="37" fontId="5" fillId="3" borderId="2" xfId="0" applyFont="1" applyFill="1" applyBorder="1" applyAlignment="1" applyProtection="1">
      <alignment horizontal="centerContinuous"/>
    </xf>
    <xf numFmtId="37" fontId="5" fillId="3" borderId="2" xfId="0" applyFont="1" applyFill="1" applyBorder="1" applyAlignment="1" applyProtection="1">
      <alignment horizontal="right"/>
    </xf>
    <xf numFmtId="165" fontId="5" fillId="0" borderId="3" xfId="0" applyNumberFormat="1" applyFont="1" applyBorder="1" applyProtection="1"/>
    <xf numFmtId="37" fontId="3" fillId="3" borderId="3" xfId="0" quotePrefix="1" applyFont="1" applyFill="1" applyBorder="1" applyAlignment="1" applyProtection="1">
      <alignment horizontal="centerContinuous" vertical="center"/>
    </xf>
    <xf numFmtId="37" fontId="5" fillId="3" borderId="3" xfId="0" applyFont="1" applyFill="1" applyBorder="1" applyAlignment="1" applyProtection="1">
      <alignment horizontal="centerContinuous"/>
    </xf>
    <xf numFmtId="37" fontId="5" fillId="3" borderId="3" xfId="0" quotePrefix="1" applyFont="1" applyFill="1" applyBorder="1" applyAlignment="1" applyProtection="1">
      <alignment horizontal="centerContinuous"/>
    </xf>
    <xf numFmtId="37" fontId="5" fillId="3" borderId="3" xfId="0" applyFont="1" applyFill="1" applyBorder="1" applyProtection="1"/>
    <xf numFmtId="169" fontId="5" fillId="3" borderId="0" xfId="0" applyNumberFormat="1" applyFont="1" applyFill="1" applyProtection="1"/>
    <xf numFmtId="37" fontId="3" fillId="0" borderId="12" xfId="0" applyFont="1" applyBorder="1" applyAlignment="1" applyProtection="1">
      <alignment horizontal="centerContinuous"/>
    </xf>
    <xf numFmtId="37" fontId="3" fillId="0" borderId="3" xfId="0" applyFont="1" applyBorder="1" applyAlignment="1" applyProtection="1">
      <alignment horizontal="centerContinuous"/>
    </xf>
    <xf numFmtId="37" fontId="3" fillId="0" borderId="13" xfId="0" applyFont="1" applyBorder="1" applyAlignment="1" applyProtection="1">
      <alignment horizontal="centerContinuous"/>
    </xf>
    <xf numFmtId="37" fontId="3" fillId="0" borderId="10" xfId="0" applyFont="1" applyBorder="1" applyAlignment="1" applyProtection="1">
      <alignment horizontal="centerContinuous"/>
    </xf>
    <xf numFmtId="37" fontId="3" fillId="0" borderId="7" xfId="0" applyFont="1" applyBorder="1" applyAlignment="1">
      <alignment vertical="center"/>
    </xf>
    <xf numFmtId="37" fontId="3" fillId="0" borderId="0" xfId="0" applyFont="1" applyBorder="1" applyAlignment="1" applyProtection="1">
      <alignment horizontal="center" vertical="center"/>
    </xf>
    <xf numFmtId="37" fontId="3" fillId="0" borderId="14" xfId="0" applyFont="1" applyBorder="1" applyAlignment="1" applyProtection="1">
      <alignment vertical="center"/>
    </xf>
    <xf numFmtId="37" fontId="3" fillId="0" borderId="14" xfId="0" applyFont="1" applyBorder="1" applyAlignment="1" applyProtection="1">
      <alignment horizontal="center" vertical="center"/>
    </xf>
    <xf numFmtId="37" fontId="3" fillId="0" borderId="15" xfId="0" applyFont="1" applyBorder="1" applyAlignment="1" applyProtection="1">
      <alignment horizontal="center" vertical="center"/>
    </xf>
    <xf numFmtId="37" fontId="3" fillId="0" borderId="1" xfId="0" applyFont="1" applyBorder="1" applyAlignment="1" applyProtection="1">
      <alignment horizontal="center" vertical="center"/>
    </xf>
    <xf numFmtId="37" fontId="3" fillId="0" borderId="8" xfId="0" applyFont="1" applyBorder="1" applyAlignment="1">
      <alignment vertical="center"/>
    </xf>
    <xf numFmtId="37" fontId="3" fillId="0" borderId="3" xfId="0" applyFont="1" applyBorder="1" applyAlignment="1" applyProtection="1">
      <alignment horizontal="center" vertical="center"/>
    </xf>
    <xf numFmtId="37" fontId="3" fillId="0" borderId="12" xfId="0" applyFont="1" applyBorder="1" applyAlignment="1" applyProtection="1">
      <alignment horizontal="center" vertical="center"/>
    </xf>
    <xf numFmtId="37" fontId="3" fillId="0" borderId="13" xfId="0" applyFont="1" applyBorder="1" applyAlignment="1" applyProtection="1">
      <alignment horizontal="center" vertical="center"/>
    </xf>
    <xf numFmtId="37" fontId="3" fillId="0" borderId="9" xfId="0" applyFont="1" applyBorder="1" applyAlignment="1" applyProtection="1">
      <alignment horizontal="center" vertical="center"/>
    </xf>
    <xf numFmtId="37" fontId="5" fillId="0" borderId="0" xfId="0" applyFont="1" applyProtection="1"/>
    <xf numFmtId="173" fontId="5" fillId="0" borderId="1" xfId="0" applyNumberFormat="1" applyFont="1" applyBorder="1" applyAlignment="1">
      <alignment vertical="center"/>
    </xf>
    <xf numFmtId="173" fontId="5" fillId="0" borderId="16" xfId="0" applyNumberFormat="1" applyFont="1" applyBorder="1" applyAlignment="1">
      <alignment vertical="center"/>
    </xf>
    <xf numFmtId="173" fontId="5" fillId="0" borderId="6" xfId="0" applyNumberFormat="1" applyFont="1" applyBorder="1" applyAlignment="1">
      <alignment vertical="center"/>
    </xf>
    <xf numFmtId="173" fontId="5" fillId="0" borderId="0" xfId="0" applyNumberFormat="1" applyFont="1" applyAlignment="1">
      <alignment vertical="center"/>
    </xf>
    <xf numFmtId="37" fontId="5" fillId="0" borderId="11" xfId="0" applyFont="1" applyBorder="1" applyProtection="1"/>
    <xf numFmtId="37" fontId="5" fillId="0" borderId="17" xfId="0" applyFont="1" applyBorder="1"/>
    <xf numFmtId="37" fontId="3" fillId="0" borderId="17" xfId="0" applyFont="1" applyBorder="1" applyAlignment="1">
      <alignment horizontal="centerContinuous" vertical="center"/>
    </xf>
    <xf numFmtId="37" fontId="3" fillId="3" borderId="0" xfId="0" applyFont="1" applyFill="1" applyAlignment="1">
      <alignment horizontal="centerContinuous"/>
    </xf>
    <xf numFmtId="37" fontId="5" fillId="3" borderId="0" xfId="0" applyFont="1" applyFill="1" applyAlignment="1">
      <alignment horizontal="centerContinuous"/>
    </xf>
    <xf numFmtId="37" fontId="5" fillId="0" borderId="18" xfId="0" applyFont="1" applyBorder="1"/>
    <xf numFmtId="37" fontId="5" fillId="0" borderId="5" xfId="0" applyFont="1" applyBorder="1"/>
    <xf numFmtId="37" fontId="3" fillId="0" borderId="19" xfId="0" applyFont="1" applyBorder="1"/>
    <xf numFmtId="170" fontId="5" fillId="0" borderId="1" xfId="0" applyNumberFormat="1" applyFont="1" applyBorder="1" applyProtection="1"/>
    <xf numFmtId="170" fontId="5" fillId="0" borderId="6" xfId="0" applyNumberFormat="1" applyFont="1" applyBorder="1" applyProtection="1"/>
    <xf numFmtId="37" fontId="5" fillId="0" borderId="6" xfId="0" applyFont="1" applyBorder="1"/>
    <xf numFmtId="165" fontId="5" fillId="0" borderId="14" xfId="0" applyNumberFormat="1" applyFont="1" applyBorder="1" applyProtection="1"/>
    <xf numFmtId="170" fontId="5" fillId="0" borderId="14" xfId="0" applyNumberFormat="1" applyFont="1" applyBorder="1" applyProtection="1"/>
    <xf numFmtId="49" fontId="9" fillId="0" borderId="6" xfId="0" applyNumberFormat="1" applyFont="1" applyBorder="1"/>
    <xf numFmtId="37" fontId="5" fillId="0" borderId="1" xfId="0" applyNumberFormat="1" applyFont="1" applyBorder="1" applyProtection="1"/>
    <xf numFmtId="37" fontId="5" fillId="0" borderId="6" xfId="0" applyNumberFormat="1" applyFont="1" applyBorder="1" applyProtection="1"/>
    <xf numFmtId="37" fontId="3" fillId="0" borderId="19" xfId="0" applyFont="1" applyBorder="1" applyAlignment="1">
      <alignment vertical="top"/>
    </xf>
    <xf numFmtId="37" fontId="5" fillId="0" borderId="14" xfId="0" applyFont="1" applyBorder="1" applyAlignment="1">
      <alignment horizontal="right" textRotation="180"/>
    </xf>
    <xf numFmtId="170" fontId="5" fillId="0" borderId="0" xfId="0" applyNumberFormat="1" applyFont="1" applyProtection="1"/>
    <xf numFmtId="49" fontId="9" fillId="0" borderId="0" xfId="0" applyNumberFormat="1" applyFont="1"/>
    <xf numFmtId="37" fontId="5" fillId="0" borderId="14" xfId="0" applyNumberFormat="1" applyFont="1" applyBorder="1" applyProtection="1"/>
    <xf numFmtId="37" fontId="5" fillId="0" borderId="0" xfId="0" applyNumberFormat="1" applyFont="1" applyProtection="1"/>
    <xf numFmtId="37" fontId="5" fillId="0" borderId="20" xfId="0" applyFont="1" applyBorder="1"/>
    <xf numFmtId="37" fontId="3" fillId="0" borderId="21" xfId="0" applyFont="1" applyBorder="1"/>
    <xf numFmtId="170" fontId="3" fillId="0" borderId="22" xfId="0" applyNumberFormat="1" applyFont="1" applyBorder="1" applyProtection="1"/>
    <xf numFmtId="170" fontId="3" fillId="0" borderId="21" xfId="0" applyNumberFormat="1" applyFont="1" applyBorder="1" applyProtection="1"/>
    <xf numFmtId="170" fontId="3" fillId="0" borderId="17" xfId="0" applyNumberFormat="1" applyFont="1" applyBorder="1" applyProtection="1"/>
    <xf numFmtId="170" fontId="5" fillId="0" borderId="17" xfId="0" applyNumberFormat="1" applyFont="1" applyBorder="1"/>
    <xf numFmtId="39" fontId="5" fillId="0" borderId="0" xfId="0" applyNumberFormat="1" applyFont="1"/>
    <xf numFmtId="37" fontId="5" fillId="3" borderId="2" xfId="0" applyFont="1" applyFill="1" applyBorder="1" applyAlignment="1">
      <alignment horizontal="center"/>
    </xf>
    <xf numFmtId="37" fontId="5" fillId="3" borderId="3" xfId="0" applyFont="1" applyFill="1" applyBorder="1"/>
    <xf numFmtId="37" fontId="3" fillId="0" borderId="7" xfId="0" applyFont="1" applyBorder="1"/>
    <xf numFmtId="37" fontId="3" fillId="3" borderId="0" xfId="0" applyFont="1" applyFill="1" applyBorder="1" applyAlignment="1">
      <alignment horizontal="right"/>
    </xf>
    <xf numFmtId="37" fontId="3" fillId="3" borderId="1" xfId="0" applyFont="1" applyFill="1" applyBorder="1"/>
    <xf numFmtId="37" fontId="3" fillId="3" borderId="0" xfId="0" applyFont="1" applyFill="1"/>
    <xf numFmtId="37" fontId="5" fillId="3" borderId="2" xfId="0" applyFont="1" applyFill="1" applyBorder="1" applyAlignment="1"/>
    <xf numFmtId="37" fontId="3" fillId="3" borderId="3" xfId="0" applyFont="1" applyFill="1" applyBorder="1" applyAlignment="1" applyProtection="1">
      <alignment horizontal="centerContinuous" vertical="center"/>
    </xf>
    <xf numFmtId="37" fontId="5" fillId="3" borderId="3" xfId="0" applyFont="1" applyFill="1" applyBorder="1" applyAlignment="1"/>
    <xf numFmtId="49" fontId="3" fillId="0" borderId="23" xfId="0" applyNumberFormat="1" applyFont="1" applyBorder="1" applyAlignment="1">
      <alignment horizontal="center"/>
    </xf>
    <xf numFmtId="49" fontId="3" fillId="0" borderId="24" xfId="0" applyNumberFormat="1" applyFont="1" applyBorder="1" applyAlignment="1">
      <alignment horizontal="center"/>
    </xf>
    <xf numFmtId="37" fontId="3" fillId="3" borderId="4" xfId="0" applyFont="1" applyFill="1" applyBorder="1" applyAlignment="1">
      <alignment horizontal="centerContinuous"/>
    </xf>
    <xf numFmtId="37" fontId="3" fillId="3" borderId="5" xfId="0" applyFont="1" applyFill="1" applyBorder="1" applyAlignment="1">
      <alignment horizontal="centerContinuous"/>
    </xf>
    <xf numFmtId="37" fontId="3" fillId="0" borderId="10" xfId="0" applyFont="1" applyBorder="1" applyAlignment="1">
      <alignment horizontal="centerContinuous"/>
    </xf>
    <xf numFmtId="37" fontId="3" fillId="0" borderId="9" xfId="0" applyFont="1" applyBorder="1" applyAlignment="1">
      <alignment horizontal="centerContinuous"/>
    </xf>
    <xf numFmtId="37" fontId="5" fillId="0" borderId="0" xfId="0" applyFont="1" applyAlignment="1">
      <alignment horizontal="centerContinuous"/>
    </xf>
    <xf numFmtId="167" fontId="5" fillId="0" borderId="0" xfId="0" applyNumberFormat="1" applyFont="1" applyAlignment="1" applyProtection="1">
      <alignment horizontal="centerContinuous"/>
    </xf>
    <xf numFmtId="37" fontId="5" fillId="3" borderId="2" xfId="0" applyFont="1" applyFill="1" applyBorder="1" applyAlignment="1">
      <alignment horizontal="right"/>
    </xf>
    <xf numFmtId="37" fontId="3" fillId="0" borderId="9" xfId="0" applyFont="1" applyBorder="1"/>
    <xf numFmtId="37" fontId="3" fillId="0" borderId="9" xfId="0" applyFont="1" applyBorder="1" applyAlignment="1">
      <alignment horizontal="center"/>
    </xf>
    <xf numFmtId="37" fontId="3" fillId="4" borderId="1" xfId="0" applyFont="1" applyFill="1" applyBorder="1" applyAlignment="1">
      <alignment horizontal="center"/>
    </xf>
    <xf numFmtId="37" fontId="5" fillId="4" borderId="0" xfId="0" applyFont="1" applyFill="1" applyBorder="1"/>
    <xf numFmtId="167" fontId="5" fillId="5" borderId="0" xfId="0" applyNumberFormat="1" applyFont="1" applyFill="1" applyBorder="1" applyProtection="1"/>
    <xf numFmtId="167" fontId="3" fillId="5" borderId="0" xfId="0" applyNumberFormat="1" applyFont="1" applyFill="1" applyBorder="1" applyProtection="1"/>
    <xf numFmtId="49" fontId="3" fillId="0" borderId="25" xfId="0" applyNumberFormat="1" applyFont="1" applyBorder="1" applyAlignment="1">
      <alignment horizontal="center" vertical="center"/>
    </xf>
    <xf numFmtId="37" fontId="3" fillId="0" borderId="9" xfId="0" applyFont="1" applyBorder="1" applyAlignment="1">
      <alignment horizontal="centerContinuous" vertical="center"/>
    </xf>
    <xf numFmtId="37" fontId="3" fillId="3" borderId="2" xfId="0" applyFont="1" applyFill="1" applyBorder="1" applyAlignment="1">
      <alignment horizontal="centerContinuous"/>
    </xf>
    <xf numFmtId="167" fontId="5" fillId="0" borderId="11" xfId="0" applyNumberFormat="1" applyFont="1" applyBorder="1" applyAlignment="1" applyProtection="1">
      <alignment horizontal="right"/>
    </xf>
    <xf numFmtId="37" fontId="3" fillId="0" borderId="17" xfId="0" applyFont="1" applyBorder="1" applyAlignment="1">
      <alignment horizontal="centerContinuous"/>
    </xf>
    <xf numFmtId="37" fontId="5" fillId="0" borderId="17" xfId="0" applyFont="1" applyBorder="1" applyAlignment="1">
      <alignment horizontal="centerContinuous"/>
    </xf>
    <xf numFmtId="37" fontId="5" fillId="0" borderId="17" xfId="0" applyFont="1" applyBorder="1" applyAlignment="1"/>
    <xf numFmtId="37" fontId="5" fillId="0" borderId="17" xfId="0" applyFont="1" applyBorder="1" applyAlignment="1">
      <alignment horizontal="right"/>
    </xf>
    <xf numFmtId="37" fontId="3" fillId="0" borderId="0" xfId="0" applyFont="1" applyAlignment="1">
      <alignment horizontal="centerContinuous"/>
    </xf>
    <xf numFmtId="37" fontId="3" fillId="0" borderId="20" xfId="0" applyFont="1" applyBorder="1" applyAlignment="1">
      <alignment horizontal="centerContinuous"/>
    </xf>
    <xf numFmtId="37" fontId="5" fillId="0" borderId="21" xfId="0" applyFont="1" applyBorder="1" applyAlignment="1">
      <alignment horizontal="centerContinuous"/>
    </xf>
    <xf numFmtId="37" fontId="3" fillId="3" borderId="26" xfId="0" applyFont="1" applyFill="1" applyBorder="1" applyAlignment="1">
      <alignment horizontal="center"/>
    </xf>
    <xf numFmtId="37" fontId="3" fillId="3" borderId="12" xfId="0" applyFont="1" applyFill="1" applyBorder="1" applyAlignment="1">
      <alignment horizontal="centerContinuous"/>
    </xf>
    <xf numFmtId="37" fontId="3" fillId="3" borderId="9" xfId="0" applyFont="1" applyFill="1" applyBorder="1" applyAlignment="1">
      <alignment horizontal="centerContinuous"/>
    </xf>
    <xf numFmtId="37" fontId="5" fillId="0" borderId="2" xfId="0" applyFont="1" applyBorder="1"/>
    <xf numFmtId="170" fontId="5" fillId="3" borderId="7" xfId="0" applyNumberFormat="1" applyFont="1" applyFill="1" applyBorder="1" applyProtection="1"/>
    <xf numFmtId="37" fontId="5" fillId="3" borderId="23" xfId="0" applyFont="1" applyFill="1" applyBorder="1"/>
    <xf numFmtId="170" fontId="5" fillId="3" borderId="23" xfId="0" applyNumberFormat="1" applyFont="1" applyFill="1" applyBorder="1" applyProtection="1"/>
    <xf numFmtId="37" fontId="5" fillId="0" borderId="23" xfId="0" applyFont="1" applyBorder="1"/>
    <xf numFmtId="170" fontId="5" fillId="0" borderId="23" xfId="0" applyNumberFormat="1" applyFont="1" applyBorder="1" applyProtection="1"/>
    <xf numFmtId="170" fontId="5" fillId="0" borderId="23" xfId="0" applyNumberFormat="1" applyFont="1" applyBorder="1"/>
    <xf numFmtId="37" fontId="5" fillId="0" borderId="8" xfId="0" applyFont="1" applyBorder="1" applyAlignment="1">
      <alignment horizontal="left"/>
    </xf>
    <xf numFmtId="170" fontId="5" fillId="0" borderId="8" xfId="0" applyNumberFormat="1" applyFont="1" applyBorder="1" applyProtection="1"/>
    <xf numFmtId="37" fontId="3" fillId="0" borderId="26" xfId="0" applyFont="1" applyFill="1" applyBorder="1"/>
    <xf numFmtId="37" fontId="5" fillId="0" borderId="23" xfId="0" applyNumberFormat="1" applyFont="1" applyBorder="1" applyProtection="1"/>
    <xf numFmtId="37" fontId="5" fillId="0" borderId="23" xfId="0" quotePrefix="1" applyFont="1" applyBorder="1" applyAlignment="1">
      <alignment horizontal="left"/>
    </xf>
    <xf numFmtId="37" fontId="5" fillId="0" borderId="8" xfId="0" applyFont="1" applyBorder="1"/>
    <xf numFmtId="37" fontId="3" fillId="0" borderId="7" xfId="0" applyFont="1" applyFill="1" applyBorder="1"/>
    <xf numFmtId="37" fontId="5" fillId="0" borderId="8" xfId="0" applyNumberFormat="1" applyFont="1" applyBorder="1" applyProtection="1"/>
    <xf numFmtId="170" fontId="3" fillId="0" borderId="26" xfId="0" applyNumberFormat="1" applyFont="1" applyFill="1" applyBorder="1"/>
    <xf numFmtId="166" fontId="5" fillId="0" borderId="0" xfId="0" applyNumberFormat="1" applyFont="1" applyProtection="1"/>
    <xf numFmtId="49" fontId="5" fillId="0" borderId="0" xfId="0" applyNumberFormat="1" applyFont="1"/>
    <xf numFmtId="49" fontId="8" fillId="0" borderId="0" xfId="0" applyNumberFormat="1" applyFont="1"/>
    <xf numFmtId="37" fontId="5" fillId="0" borderId="0" xfId="0" applyFont="1" applyAlignment="1">
      <alignment horizontal="right"/>
    </xf>
    <xf numFmtId="37" fontId="5" fillId="0" borderId="0" xfId="0" applyNumberFormat="1" applyFont="1" applyAlignment="1" applyProtection="1">
      <alignment horizontal="right"/>
    </xf>
    <xf numFmtId="49" fontId="5" fillId="0" borderId="0" xfId="0" quotePrefix="1" applyNumberFormat="1" applyFont="1" applyBorder="1" applyAlignment="1">
      <alignment horizontal="left"/>
    </xf>
    <xf numFmtId="37" fontId="5" fillId="0" borderId="0" xfId="0" quotePrefix="1" applyFont="1" applyAlignment="1">
      <alignment horizontal="left"/>
    </xf>
    <xf numFmtId="165" fontId="5" fillId="0" borderId="2" xfId="0" applyNumberFormat="1" applyFont="1" applyBorder="1" applyAlignment="1" applyProtection="1">
      <alignment vertical="center"/>
    </xf>
    <xf numFmtId="37" fontId="5" fillId="0" borderId="27" xfId="0" applyFont="1" applyBorder="1" applyAlignment="1">
      <alignment horizontal="centerContinuous"/>
    </xf>
    <xf numFmtId="37" fontId="6" fillId="0" borderId="2" xfId="0" applyFont="1" applyBorder="1" applyProtection="1">
      <protection locked="0"/>
    </xf>
    <xf numFmtId="165" fontId="5" fillId="0" borderId="3" xfId="0" applyNumberFormat="1" applyFont="1" applyBorder="1" applyAlignment="1" applyProtection="1">
      <alignment vertical="center"/>
    </xf>
    <xf numFmtId="37" fontId="6" fillId="0" borderId="3" xfId="0" applyFont="1" applyBorder="1" applyProtection="1">
      <protection locked="0"/>
    </xf>
    <xf numFmtId="37" fontId="3" fillId="3" borderId="20" xfId="0" applyFont="1" applyFill="1" applyBorder="1" applyAlignment="1">
      <alignment horizontal="left"/>
    </xf>
    <xf numFmtId="37" fontId="5" fillId="3" borderId="17" xfId="0" applyFont="1" applyFill="1" applyBorder="1" applyAlignment="1"/>
    <xf numFmtId="37" fontId="5" fillId="3" borderId="21" xfId="0" applyFont="1" applyFill="1" applyBorder="1" applyAlignment="1"/>
    <xf numFmtId="37" fontId="3" fillId="3" borderId="6" xfId="0" applyFont="1" applyFill="1" applyBorder="1" applyAlignment="1">
      <alignment horizontal="centerContinuous"/>
    </xf>
    <xf numFmtId="37" fontId="3" fillId="3" borderId="6" xfId="0" applyFont="1" applyFill="1" applyBorder="1"/>
    <xf numFmtId="170" fontId="5" fillId="0" borderId="1" xfId="0" applyNumberFormat="1" applyFont="1" applyBorder="1"/>
    <xf numFmtId="170" fontId="5" fillId="0" borderId="0" xfId="0" applyNumberFormat="1" applyFont="1"/>
    <xf numFmtId="37" fontId="5" fillId="0" borderId="27" xfId="0" applyFont="1" applyBorder="1" applyAlignment="1"/>
    <xf numFmtId="37" fontId="3" fillId="3" borderId="17" xfId="0" applyFont="1" applyFill="1" applyBorder="1" applyAlignment="1"/>
    <xf numFmtId="37" fontId="5" fillId="3" borderId="2" xfId="0" applyFont="1" applyFill="1" applyBorder="1" applyAlignment="1">
      <alignment horizontal="centerContinuous" vertical="center"/>
    </xf>
    <xf numFmtId="37" fontId="5" fillId="3" borderId="3" xfId="0" applyFont="1" applyFill="1" applyBorder="1" applyAlignment="1">
      <alignment horizontal="centerContinuous" vertical="center"/>
    </xf>
    <xf numFmtId="37" fontId="5" fillId="0" borderId="11" xfId="0" applyFont="1" applyBorder="1" applyAlignment="1">
      <alignment horizontal="centerContinuous"/>
    </xf>
    <xf numFmtId="39" fontId="5" fillId="0" borderId="1" xfId="0" applyNumberFormat="1" applyFont="1" applyBorder="1"/>
    <xf numFmtId="0" fontId="5" fillId="3" borderId="2" xfId="0" applyNumberFormat="1" applyFont="1" applyFill="1" applyBorder="1" applyAlignment="1"/>
    <xf numFmtId="0" fontId="5" fillId="3" borderId="3" xfId="0" applyNumberFormat="1" applyFont="1" applyFill="1" applyBorder="1" applyAlignment="1"/>
    <xf numFmtId="37" fontId="5" fillId="3" borderId="6" xfId="0" applyFont="1" applyFill="1" applyBorder="1"/>
    <xf numFmtId="37" fontId="3" fillId="0" borderId="5" xfId="0" applyFont="1" applyBorder="1" applyAlignment="1">
      <alignment horizontal="centerContinuous"/>
    </xf>
    <xf numFmtId="39" fontId="5" fillId="0" borderId="0" xfId="0" applyNumberFormat="1" applyFont="1" applyProtection="1"/>
    <xf numFmtId="37" fontId="5" fillId="3" borderId="2" xfId="0" applyFont="1" applyFill="1" applyBorder="1" applyAlignment="1">
      <alignment horizontal="right" vertical="center"/>
    </xf>
    <xf numFmtId="37" fontId="3" fillId="3" borderId="20" xfId="0" applyFont="1" applyFill="1" applyBorder="1"/>
    <xf numFmtId="37" fontId="3" fillId="3" borderId="17" xfId="0" applyFont="1" applyFill="1" applyBorder="1"/>
    <xf numFmtId="37" fontId="5" fillId="3" borderId="17" xfId="0" applyFont="1" applyFill="1" applyBorder="1"/>
    <xf numFmtId="37" fontId="5" fillId="3" borderId="21" xfId="0" applyFont="1" applyFill="1" applyBorder="1"/>
    <xf numFmtId="37" fontId="3" fillId="0" borderId="21" xfId="0" applyFont="1" applyBorder="1" applyAlignment="1">
      <alignment horizontal="centerContinuous"/>
    </xf>
    <xf numFmtId="165" fontId="5" fillId="0" borderId="2" xfId="0" applyNumberFormat="1" applyFont="1" applyBorder="1" applyAlignment="1" applyProtection="1">
      <alignment horizontal="centerContinuous"/>
    </xf>
    <xf numFmtId="165" fontId="5" fillId="0" borderId="3" xfId="0" applyNumberFormat="1" applyFont="1" applyBorder="1" applyAlignment="1" applyProtection="1">
      <alignment horizontal="centerContinuous"/>
    </xf>
    <xf numFmtId="37" fontId="3" fillId="3" borderId="21" xfId="0" applyFont="1" applyFill="1" applyBorder="1" applyAlignment="1">
      <alignment horizontal="centerContinuous"/>
    </xf>
    <xf numFmtId="37" fontId="3" fillId="0" borderId="22" xfId="0" applyFont="1" applyBorder="1" applyAlignment="1">
      <alignment horizontal="centerContinuous"/>
    </xf>
    <xf numFmtId="37" fontId="3" fillId="3" borderId="17" xfId="0" applyFont="1" applyFill="1" applyBorder="1" applyAlignment="1">
      <alignment horizontal="centerContinuous"/>
    </xf>
    <xf numFmtId="37" fontId="5" fillId="3" borderId="17" xfId="0" applyFont="1" applyFill="1" applyBorder="1" applyAlignment="1">
      <alignment horizontal="centerContinuous"/>
    </xf>
    <xf numFmtId="37" fontId="5" fillId="3" borderId="21" xfId="0" applyFont="1" applyFill="1" applyBorder="1" applyAlignment="1">
      <alignment horizontal="centerContinuous"/>
    </xf>
    <xf numFmtId="10" fontId="5" fillId="3" borderId="2" xfId="0" applyNumberFormat="1" applyFont="1" applyFill="1" applyBorder="1" applyAlignment="1" applyProtection="1">
      <alignment horizontal="centerContinuous"/>
    </xf>
    <xf numFmtId="37" fontId="5" fillId="3" borderId="3" xfId="0" applyFont="1" applyFill="1" applyBorder="1" applyAlignment="1" applyProtection="1">
      <alignment horizontal="centerContinuous"/>
      <protection locked="0"/>
    </xf>
    <xf numFmtId="37" fontId="3" fillId="3" borderId="17" xfId="0" applyFont="1" applyFill="1" applyBorder="1" applyProtection="1"/>
    <xf numFmtId="37" fontId="5" fillId="3" borderId="17" xfId="0" applyFont="1" applyFill="1" applyBorder="1" applyProtection="1"/>
    <xf numFmtId="37" fontId="5" fillId="3" borderId="21" xfId="0" applyFont="1" applyFill="1" applyBorder="1" applyProtection="1"/>
    <xf numFmtId="37" fontId="3" fillId="3" borderId="5" xfId="0" applyFont="1" applyFill="1" applyBorder="1" applyProtection="1"/>
    <xf numFmtId="37" fontId="3" fillId="3" borderId="1" xfId="0" applyFont="1" applyFill="1" applyBorder="1" applyProtection="1"/>
    <xf numFmtId="37" fontId="3" fillId="3" borderId="6" xfId="0" applyFont="1" applyFill="1" applyBorder="1" applyAlignment="1" applyProtection="1">
      <alignment horizontal="center"/>
    </xf>
    <xf numFmtId="37" fontId="3" fillId="3" borderId="1" xfId="0" applyFont="1" applyFill="1" applyBorder="1" applyAlignment="1" applyProtection="1">
      <alignment horizontal="centerContinuous"/>
    </xf>
    <xf numFmtId="37" fontId="3" fillId="0" borderId="9" xfId="0" applyFont="1" applyBorder="1" applyAlignment="1" applyProtection="1">
      <alignment horizontal="centerContinuous"/>
    </xf>
    <xf numFmtId="37" fontId="5" fillId="0" borderId="0" xfId="0" applyFont="1" applyBorder="1"/>
    <xf numFmtId="37" fontId="3" fillId="3" borderId="20" xfId="0" applyFont="1" applyFill="1" applyBorder="1" applyAlignment="1"/>
    <xf numFmtId="37" fontId="5" fillId="0" borderId="21" xfId="0" applyFont="1" applyBorder="1"/>
    <xf numFmtId="37" fontId="5" fillId="3" borderId="2" xfId="0" quotePrefix="1" applyFont="1" applyFill="1" applyBorder="1" applyAlignment="1"/>
    <xf numFmtId="37" fontId="5" fillId="0" borderId="0" xfId="0" applyNumberFormat="1" applyFont="1" applyAlignment="1" applyProtection="1">
      <alignment horizontal="centerContinuous"/>
    </xf>
    <xf numFmtId="37" fontId="5" fillId="3" borderId="2" xfId="0" applyFont="1" applyFill="1" applyBorder="1" applyAlignment="1" applyProtection="1"/>
    <xf numFmtId="37" fontId="5" fillId="3" borderId="3" xfId="0" applyFont="1" applyFill="1" applyBorder="1" applyAlignment="1" applyProtection="1"/>
    <xf numFmtId="37" fontId="5" fillId="3" borderId="3" xfId="0" applyFont="1" applyFill="1" applyBorder="1" applyAlignment="1" applyProtection="1">
      <alignment horizontal="center"/>
    </xf>
    <xf numFmtId="37" fontId="3" fillId="3" borderId="20" xfId="0" applyFont="1" applyFill="1" applyBorder="1" applyProtection="1"/>
    <xf numFmtId="37" fontId="5" fillId="3" borderId="17" xfId="0" applyFont="1" applyFill="1" applyBorder="1" applyAlignment="1" applyProtection="1">
      <alignment horizontal="centerContinuous"/>
    </xf>
    <xf numFmtId="37" fontId="5" fillId="3" borderId="21" xfId="0" applyFont="1" applyFill="1" applyBorder="1" applyAlignment="1" applyProtection="1">
      <alignment horizontal="centerContinuous"/>
    </xf>
    <xf numFmtId="37" fontId="3" fillId="3" borderId="6" xfId="0" applyFont="1" applyFill="1" applyBorder="1" applyProtection="1"/>
    <xf numFmtId="37" fontId="3" fillId="3" borderId="28" xfId="0" applyFont="1" applyFill="1" applyBorder="1" applyAlignment="1" applyProtection="1">
      <alignment horizontal="center"/>
    </xf>
    <xf numFmtId="37" fontId="3" fillId="3" borderId="3" xfId="0" applyFont="1" applyFill="1" applyBorder="1" applyAlignment="1" applyProtection="1">
      <alignment horizontal="centerContinuous"/>
    </xf>
    <xf numFmtId="37" fontId="3" fillId="3" borderId="10" xfId="0" applyFont="1" applyFill="1" applyBorder="1" applyAlignment="1" applyProtection="1">
      <alignment horizontal="centerContinuous"/>
    </xf>
    <xf numFmtId="37" fontId="5" fillId="0" borderId="6" xfId="0" applyFont="1" applyBorder="1" applyProtection="1"/>
    <xf numFmtId="37" fontId="3" fillId="0" borderId="28" xfId="0" applyFont="1" applyBorder="1" applyAlignment="1" applyProtection="1">
      <alignment horizontal="center"/>
    </xf>
    <xf numFmtId="37" fontId="5" fillId="0" borderId="4" xfId="0" applyFont="1" applyBorder="1" applyProtection="1"/>
    <xf numFmtId="37" fontId="3" fillId="0" borderId="6" xfId="0" applyFont="1" applyBorder="1" applyAlignment="1" applyProtection="1">
      <alignment horizontal="center"/>
    </xf>
    <xf numFmtId="37" fontId="3" fillId="0" borderId="29" xfId="0" applyFont="1" applyBorder="1" applyAlignment="1" applyProtection="1">
      <alignment horizontal="centerContinuous"/>
    </xf>
    <xf numFmtId="37" fontId="3" fillId="0" borderId="9" xfId="0" applyFont="1" applyBorder="1" applyAlignment="1" applyProtection="1">
      <alignment horizontal="center"/>
    </xf>
    <xf numFmtId="170" fontId="5" fillId="0" borderId="14" xfId="0" applyNumberFormat="1" applyFont="1" applyBorder="1" applyAlignment="1">
      <alignment vertical="center"/>
    </xf>
    <xf numFmtId="174" fontId="5" fillId="0" borderId="28" xfId="0" applyNumberFormat="1" applyFont="1" applyBorder="1" applyAlignment="1">
      <alignment vertical="center"/>
    </xf>
    <xf numFmtId="174" fontId="5" fillId="0" borderId="0" xfId="0" applyNumberFormat="1" applyFont="1" applyAlignment="1">
      <alignment vertical="center"/>
    </xf>
    <xf numFmtId="0" fontId="3" fillId="3" borderId="17" xfId="0" applyNumberFormat="1" applyFont="1" applyFill="1" applyBorder="1" applyAlignment="1" applyProtection="1">
      <alignment horizontal="centerContinuous"/>
    </xf>
    <xf numFmtId="0" fontId="5" fillId="3" borderId="21" xfId="0" applyNumberFormat="1" applyFont="1" applyFill="1" applyBorder="1" applyAlignment="1" applyProtection="1">
      <alignment horizontal="centerContinuous"/>
    </xf>
    <xf numFmtId="37" fontId="3" fillId="3" borderId="6" xfId="0" applyFont="1" applyFill="1" applyBorder="1" applyAlignment="1" applyProtection="1">
      <alignment horizontal="centerContinuous"/>
    </xf>
    <xf numFmtId="37" fontId="3" fillId="3" borderId="3" xfId="0" applyFont="1" applyFill="1" applyBorder="1" applyAlignment="1" applyProtection="1">
      <alignment horizontal="centerContinuous" vertical="center"/>
      <protection locked="0"/>
    </xf>
    <xf numFmtId="37" fontId="3" fillId="3" borderId="1" xfId="0" applyFont="1" applyFill="1" applyBorder="1" applyAlignment="1">
      <alignment horizontal="centerContinuous"/>
    </xf>
    <xf numFmtId="37" fontId="3" fillId="0" borderId="10" xfId="0" applyFont="1" applyBorder="1" applyAlignment="1">
      <alignment horizontal="center"/>
    </xf>
    <xf numFmtId="165" fontId="5" fillId="0" borderId="2" xfId="0" applyNumberFormat="1" applyFont="1" applyBorder="1" applyAlignment="1" applyProtection="1">
      <alignment horizontal="centerContinuous" vertical="center"/>
    </xf>
    <xf numFmtId="37" fontId="5" fillId="0" borderId="27" xfId="0" applyFont="1" applyBorder="1" applyAlignment="1">
      <alignment horizontal="centerContinuous" vertical="center"/>
    </xf>
    <xf numFmtId="165" fontId="5" fillId="0" borderId="3" xfId="0" applyNumberFormat="1" applyFont="1" applyBorder="1" applyAlignment="1" applyProtection="1">
      <alignment horizontal="centerContinuous" vertical="center"/>
    </xf>
    <xf numFmtId="37" fontId="3" fillId="0" borderId="30" xfId="0" applyFont="1" applyFill="1" applyBorder="1" applyAlignment="1">
      <alignment horizontal="centerContinuous"/>
    </xf>
    <xf numFmtId="37" fontId="3" fillId="0" borderId="31" xfId="0" applyFont="1" applyFill="1" applyBorder="1" applyAlignment="1">
      <alignment horizontal="centerContinuous"/>
    </xf>
    <xf numFmtId="37" fontId="3" fillId="0" borderId="32" xfId="0" applyFont="1" applyFill="1" applyBorder="1" applyAlignment="1">
      <alignment horizontal="left"/>
    </xf>
    <xf numFmtId="37" fontId="5" fillId="0" borderId="30" xfId="0" applyFont="1" applyFill="1" applyBorder="1" applyAlignment="1"/>
    <xf numFmtId="37" fontId="5" fillId="0" borderId="33" xfId="0" applyFont="1" applyFill="1" applyBorder="1" applyAlignment="1"/>
    <xf numFmtId="165" fontId="5" fillId="0" borderId="0" xfId="0" applyNumberFormat="1" applyFont="1" applyBorder="1" applyProtection="1"/>
    <xf numFmtId="37" fontId="3" fillId="3" borderId="20" xfId="0" applyFont="1" applyFill="1" applyBorder="1" applyAlignment="1">
      <alignment horizontal="centerContinuous"/>
    </xf>
    <xf numFmtId="165" fontId="6" fillId="0" borderId="0" xfId="0" applyNumberFormat="1" applyFont="1" applyProtection="1">
      <protection locked="0"/>
    </xf>
    <xf numFmtId="165" fontId="5" fillId="0" borderId="17" xfId="0" applyNumberFormat="1" applyFont="1" applyBorder="1" applyAlignment="1" applyProtection="1">
      <alignment vertical="center"/>
    </xf>
    <xf numFmtId="37" fontId="3" fillId="3" borderId="17" xfId="0" quotePrefix="1" applyFont="1" applyFill="1" applyBorder="1" applyAlignment="1" applyProtection="1">
      <alignment horizontal="centerContinuous" vertical="center"/>
    </xf>
    <xf numFmtId="37" fontId="5" fillId="0" borderId="17" xfId="0" applyFont="1" applyBorder="1" applyAlignment="1">
      <alignment horizontal="right" vertical="center"/>
    </xf>
    <xf numFmtId="37" fontId="3" fillId="0" borderId="4" xfId="0" applyFont="1" applyBorder="1" applyAlignment="1">
      <alignment horizontal="centerContinuous"/>
    </xf>
    <xf numFmtId="37" fontId="3" fillId="0" borderId="4" xfId="0" applyFont="1" applyBorder="1" applyAlignment="1">
      <alignment horizontal="center"/>
    </xf>
    <xf numFmtId="37" fontId="3" fillId="0" borderId="1" xfId="0" applyFont="1" applyBorder="1" applyAlignment="1">
      <alignment horizontal="centerContinuous"/>
    </xf>
    <xf numFmtId="37" fontId="3" fillId="0" borderId="1" xfId="0" applyFont="1" applyBorder="1" applyAlignment="1">
      <alignment horizontal="center"/>
    </xf>
    <xf numFmtId="37" fontId="5" fillId="0" borderId="0" xfId="0" applyFont="1" applyAlignment="1">
      <alignment wrapText="1"/>
    </xf>
    <xf numFmtId="37" fontId="5" fillId="0" borderId="17" xfId="0" applyFont="1" applyBorder="1" applyAlignment="1">
      <alignment vertical="center"/>
    </xf>
    <xf numFmtId="37" fontId="3" fillId="3" borderId="22" xfId="0" applyFont="1" applyFill="1" applyBorder="1" applyAlignment="1">
      <alignment horizontal="centerContinuous"/>
    </xf>
    <xf numFmtId="37" fontId="5" fillId="0" borderId="17" xfId="0" applyFont="1" applyBorder="1" applyAlignment="1">
      <alignment horizontal="left" vertical="center"/>
    </xf>
    <xf numFmtId="37" fontId="5" fillId="0" borderId="17" xfId="0" applyFont="1" applyBorder="1" applyAlignment="1">
      <alignment horizontal="left"/>
    </xf>
    <xf numFmtId="49" fontId="5" fillId="0" borderId="0" xfId="2" applyNumberFormat="1" applyFont="1"/>
    <xf numFmtId="37" fontId="3" fillId="0" borderId="2" xfId="0" applyFont="1" applyBorder="1" applyAlignment="1">
      <alignment horizontal="centerContinuous" vertical="center"/>
    </xf>
    <xf numFmtId="37" fontId="5" fillId="0" borderId="2" xfId="0" applyFont="1" applyBorder="1" applyAlignment="1">
      <alignment horizontal="centerContinuous" vertical="center"/>
    </xf>
    <xf numFmtId="37" fontId="3" fillId="0" borderId="3" xfId="0" applyFont="1" applyBorder="1" applyAlignment="1">
      <alignment horizontal="centerContinuous" vertical="center"/>
    </xf>
    <xf numFmtId="37" fontId="5" fillId="0" borderId="3" xfId="0" applyFont="1" applyBorder="1" applyAlignment="1">
      <alignment horizontal="centerContinuous" vertical="center"/>
    </xf>
    <xf numFmtId="37" fontId="11" fillId="0" borderId="3" xfId="0" applyFont="1" applyBorder="1" applyAlignment="1">
      <alignment horizontal="centerContinuous" vertical="center"/>
    </xf>
    <xf numFmtId="49" fontId="3" fillId="0" borderId="9" xfId="0" applyNumberFormat="1" applyFont="1" applyBorder="1"/>
    <xf numFmtId="167" fontId="5" fillId="0" borderId="0" xfId="0" applyNumberFormat="1" applyFont="1"/>
    <xf numFmtId="173" fontId="5" fillId="0" borderId="1" xfId="0" applyNumberFormat="1" applyFont="1" applyBorder="1"/>
    <xf numFmtId="172" fontId="5" fillId="0" borderId="0" xfId="0" applyNumberFormat="1" applyFont="1"/>
    <xf numFmtId="173" fontId="5" fillId="0" borderId="0" xfId="0" applyNumberFormat="1" applyFont="1"/>
    <xf numFmtId="165" fontId="5" fillId="0" borderId="0" xfId="0" applyNumberFormat="1" applyFont="1" applyAlignment="1" applyProtection="1">
      <alignment horizontal="right"/>
    </xf>
    <xf numFmtId="37" fontId="5" fillId="0" borderId="0" xfId="0" applyFont="1" applyAlignment="1">
      <alignment horizontal="center"/>
    </xf>
    <xf numFmtId="37" fontId="5" fillId="0" borderId="34" xfId="0" applyFont="1" applyBorder="1"/>
    <xf numFmtId="37" fontId="5" fillId="0" borderId="30" xfId="0" applyFont="1" applyBorder="1"/>
    <xf numFmtId="0" fontId="5" fillId="0" borderId="0" xfId="0" applyNumberFormat="1" applyFont="1" applyAlignment="1">
      <alignment horizontal="center"/>
    </xf>
    <xf numFmtId="37" fontId="5" fillId="3" borderId="0" xfId="0" applyFont="1" applyFill="1" applyAlignment="1">
      <alignment horizontal="left"/>
    </xf>
    <xf numFmtId="37" fontId="5" fillId="0" borderId="0" xfId="0" quotePrefix="1" applyFont="1" applyAlignment="1">
      <alignment horizontal="center"/>
    </xf>
    <xf numFmtId="37" fontId="3" fillId="0" borderId="23" xfId="0" applyFont="1" applyBorder="1" applyAlignment="1">
      <alignment horizontal="center" vertical="center"/>
    </xf>
    <xf numFmtId="43" fontId="5" fillId="0" borderId="0" xfId="2" applyFont="1" applyAlignment="1">
      <alignment horizontal="left"/>
    </xf>
    <xf numFmtId="37" fontId="5" fillId="0" borderId="2" xfId="0" applyFont="1" applyBorder="1" applyAlignment="1">
      <alignment horizontal="centerContinuous"/>
    </xf>
    <xf numFmtId="37" fontId="5" fillId="0" borderId="2" xfId="0" applyFont="1" applyBorder="1" applyAlignment="1"/>
    <xf numFmtId="37" fontId="5" fillId="0" borderId="3" xfId="0" applyFont="1" applyBorder="1" applyAlignment="1">
      <alignment horizontal="centerContinuous"/>
    </xf>
    <xf numFmtId="37" fontId="5" fillId="0" borderId="3" xfId="0" applyFont="1" applyBorder="1" applyAlignment="1"/>
    <xf numFmtId="37" fontId="5" fillId="0" borderId="11" xfId="0" applyFont="1" applyBorder="1" applyAlignment="1">
      <alignment vertical="center"/>
    </xf>
    <xf numFmtId="37" fontId="5" fillId="0" borderId="0" xfId="0" quotePrefix="1" applyFont="1" applyBorder="1" applyAlignment="1">
      <alignment horizontal="centerContinuous"/>
    </xf>
    <xf numFmtId="49" fontId="3" fillId="5" borderId="22" xfId="0" applyNumberFormat="1" applyFont="1" applyFill="1" applyBorder="1" applyAlignment="1">
      <alignment horizontal="center"/>
    </xf>
    <xf numFmtId="37" fontId="3" fillId="3" borderId="17" xfId="0" applyFont="1" applyFill="1" applyBorder="1" applyAlignment="1">
      <alignment horizontal="centerContinuous" vertical="center"/>
    </xf>
    <xf numFmtId="37" fontId="3" fillId="3" borderId="0" xfId="0" applyFont="1" applyFill="1" applyBorder="1" applyAlignment="1">
      <alignment horizontal="centerContinuous" vertical="center"/>
    </xf>
    <xf numFmtId="37" fontId="5" fillId="3" borderId="0" xfId="0" applyFont="1" applyFill="1" applyBorder="1" applyAlignment="1">
      <alignment horizontal="centerContinuous"/>
    </xf>
    <xf numFmtId="37" fontId="5" fillId="3" borderId="0" xfId="0" quotePrefix="1" applyFont="1" applyFill="1" applyBorder="1" applyAlignment="1">
      <alignment horizontal="right"/>
    </xf>
    <xf numFmtId="37" fontId="5" fillId="0" borderId="0" xfId="0" applyFont="1" applyBorder="1" applyAlignment="1">
      <alignment vertical="center"/>
    </xf>
    <xf numFmtId="37" fontId="3" fillId="3" borderId="34" xfId="0" quotePrefix="1" applyFont="1" applyFill="1" applyBorder="1" applyAlignment="1">
      <alignment horizontal="centerContinuous" vertical="center"/>
    </xf>
    <xf numFmtId="37" fontId="5" fillId="0" borderId="30" xfId="0" applyFont="1" applyBorder="1" applyAlignment="1">
      <alignment horizontal="centerContinuous"/>
    </xf>
    <xf numFmtId="37" fontId="5" fillId="0" borderId="33" xfId="0" applyFont="1" applyBorder="1" applyAlignment="1">
      <alignment horizontal="centerContinuous"/>
    </xf>
    <xf numFmtId="37" fontId="3" fillId="0" borderId="35" xfId="0" applyFont="1" applyBorder="1" applyAlignment="1">
      <alignment horizontal="center"/>
    </xf>
    <xf numFmtId="37" fontId="5" fillId="0" borderId="7" xfId="0" applyFont="1" applyBorder="1"/>
    <xf numFmtId="37" fontId="3" fillId="0" borderId="23" xfId="0" applyFont="1" applyBorder="1" applyAlignment="1">
      <alignment horizontal="center"/>
    </xf>
    <xf numFmtId="37" fontId="3" fillId="6" borderId="23" xfId="0" applyFont="1" applyFill="1" applyBorder="1" applyAlignment="1">
      <alignment horizontal="center"/>
    </xf>
    <xf numFmtId="37" fontId="3" fillId="6" borderId="8" xfId="0" applyFont="1" applyFill="1" applyBorder="1" applyAlignment="1">
      <alignment horizontal="center"/>
    </xf>
    <xf numFmtId="49" fontId="5" fillId="0" borderId="0" xfId="0" applyNumberFormat="1" applyFont="1" applyBorder="1" applyAlignment="1">
      <alignment horizontal="left"/>
    </xf>
    <xf numFmtId="37" fontId="5" fillId="0" borderId="0" xfId="0" applyFont="1" applyBorder="1" applyAlignment="1"/>
    <xf numFmtId="37" fontId="5" fillId="3" borderId="0" xfId="0" applyFont="1" applyFill="1" applyBorder="1" applyAlignment="1">
      <alignment horizontal="right"/>
    </xf>
    <xf numFmtId="37" fontId="3" fillId="3" borderId="35" xfId="0" applyFont="1" applyFill="1" applyBorder="1" applyAlignment="1">
      <alignment horizontal="centerContinuous" vertical="center"/>
    </xf>
    <xf numFmtId="37" fontId="3" fillId="0" borderId="8" xfId="0" applyFont="1" applyBorder="1" applyAlignment="1">
      <alignment horizontal="center"/>
    </xf>
    <xf numFmtId="37" fontId="5" fillId="0" borderId="0" xfId="0" applyFont="1" applyBorder="1" applyAlignment="1">
      <alignment horizontal="left"/>
    </xf>
    <xf numFmtId="165" fontId="5" fillId="0" borderId="17" xfId="0" applyNumberFormat="1" applyFont="1" applyBorder="1" applyProtection="1"/>
    <xf numFmtId="37" fontId="5" fillId="0" borderId="17" xfId="0" applyFont="1" applyBorder="1" applyAlignment="1">
      <alignment horizontal="centerContinuous" vertical="center"/>
    </xf>
    <xf numFmtId="165" fontId="5" fillId="0" borderId="0" xfId="0" applyNumberFormat="1" applyFont="1" applyAlignment="1" applyProtection="1">
      <alignment horizontal="centerContinuous"/>
    </xf>
    <xf numFmtId="37" fontId="3" fillId="0" borderId="20" xfId="0" applyFont="1" applyBorder="1" applyAlignment="1">
      <alignment horizontal="centerContinuous" vertical="center"/>
    </xf>
    <xf numFmtId="37" fontId="3" fillId="0" borderId="6" xfId="0" applyFont="1" applyBorder="1" applyAlignment="1">
      <alignment horizontal="center"/>
    </xf>
    <xf numFmtId="37" fontId="6" fillId="0" borderId="17" xfId="0" applyFont="1" applyBorder="1" applyAlignment="1" applyProtection="1">
      <alignment horizontal="centerContinuous" vertical="center"/>
      <protection locked="0"/>
    </xf>
    <xf numFmtId="49" fontId="7" fillId="0" borderId="10" xfId="0" applyNumberFormat="1" applyFont="1" applyBorder="1" applyAlignment="1">
      <alignment horizontal="center"/>
    </xf>
    <xf numFmtId="0" fontId="5" fillId="0" borderId="0" xfId="2" applyNumberFormat="1" applyFont="1" applyAlignment="1"/>
    <xf numFmtId="43" fontId="5" fillId="0" borderId="0" xfId="2" applyFont="1" applyAlignment="1"/>
    <xf numFmtId="37" fontId="5" fillId="0" borderId="0" xfId="0" quotePrefix="1" applyFont="1" applyAlignment="1"/>
    <xf numFmtId="37" fontId="3" fillId="0" borderId="30" xfId="0" applyFont="1" applyBorder="1" applyAlignment="1">
      <alignment horizontal="centerContinuous" vertical="center"/>
    </xf>
    <xf numFmtId="37" fontId="5" fillId="0" borderId="30" xfId="0" applyFont="1" applyBorder="1" applyAlignment="1">
      <alignment horizontal="centerContinuous" vertical="center"/>
    </xf>
    <xf numFmtId="37" fontId="6" fillId="0" borderId="17" xfId="0" applyFont="1" applyBorder="1" applyAlignment="1" applyProtection="1">
      <alignment vertical="center"/>
      <protection locked="0"/>
    </xf>
    <xf numFmtId="37" fontId="3" fillId="0" borderId="1" xfId="0" applyFont="1" applyBorder="1"/>
    <xf numFmtId="37" fontId="5" fillId="0" borderId="10" xfId="0" applyFont="1" applyBorder="1" applyAlignment="1">
      <alignment horizontal="centerContinuous"/>
    </xf>
    <xf numFmtId="49" fontId="5" fillId="0" borderId="0" xfId="0" applyNumberFormat="1" applyFont="1" applyBorder="1" applyAlignment="1">
      <alignment vertical="center"/>
    </xf>
    <xf numFmtId="170" fontId="5" fillId="0" borderId="0" xfId="0" applyNumberFormat="1" applyFont="1" applyBorder="1"/>
    <xf numFmtId="165" fontId="5" fillId="0" borderId="27" xfId="0" applyNumberFormat="1" applyFont="1" applyBorder="1" applyAlignment="1" applyProtection="1">
      <alignment vertical="center"/>
    </xf>
    <xf numFmtId="37" fontId="3" fillId="0" borderId="27" xfId="0" applyFont="1" applyBorder="1" applyAlignment="1">
      <alignment horizontal="centerContinuous" vertical="center"/>
    </xf>
    <xf numFmtId="165" fontId="5" fillId="0" borderId="11" xfId="0" applyNumberFormat="1" applyFont="1" applyBorder="1" applyAlignment="1" applyProtection="1">
      <alignment vertical="center"/>
    </xf>
    <xf numFmtId="37" fontId="5" fillId="0" borderId="11" xfId="0" applyFont="1" applyBorder="1" applyAlignment="1"/>
    <xf numFmtId="37" fontId="5" fillId="0" borderId="36" xfId="0" applyFont="1" applyBorder="1"/>
    <xf numFmtId="166" fontId="5" fillId="0" borderId="0" xfId="6" applyNumberFormat="1" applyFont="1" applyBorder="1"/>
    <xf numFmtId="0" fontId="5" fillId="0" borderId="0" xfId="0" applyNumberFormat="1" applyFont="1"/>
    <xf numFmtId="37" fontId="5" fillId="0" borderId="0" xfId="0" applyNumberFormat="1" applyFont="1"/>
    <xf numFmtId="170" fontId="5" fillId="0" borderId="1" xfId="0" applyNumberFormat="1" applyFont="1" applyBorder="1" applyAlignment="1">
      <alignment horizontal="right"/>
    </xf>
    <xf numFmtId="37" fontId="3" fillId="0" borderId="37" xfId="0" applyFont="1" applyBorder="1"/>
    <xf numFmtId="37" fontId="3" fillId="0" borderId="38" xfId="0" applyFont="1" applyBorder="1"/>
    <xf numFmtId="37" fontId="3" fillId="0" borderId="7" xfId="0" applyFont="1" applyFill="1" applyBorder="1" applyAlignment="1">
      <alignment horizontal="centerContinuous" vertical="center"/>
    </xf>
    <xf numFmtId="37" fontId="3" fillId="0" borderId="23" xfId="0" applyFont="1" applyFill="1" applyBorder="1" applyAlignment="1">
      <alignment horizontal="centerContinuous"/>
    </xf>
    <xf numFmtId="37" fontId="3" fillId="0" borderId="8" xfId="0" applyFont="1" applyFill="1" applyBorder="1" applyAlignment="1">
      <alignment horizontal="centerContinuous"/>
    </xf>
    <xf numFmtId="37" fontId="3" fillId="0" borderId="7" xfId="0" applyFont="1" applyFill="1" applyBorder="1" applyAlignment="1">
      <alignment vertical="center"/>
    </xf>
    <xf numFmtId="37" fontId="3" fillId="0" borderId="23" xfId="0" applyFont="1" applyFill="1" applyBorder="1" applyAlignment="1"/>
    <xf numFmtId="37" fontId="3" fillId="0" borderId="23" xfId="0" applyFont="1" applyFill="1" applyBorder="1" applyAlignment="1">
      <alignment horizontal="center"/>
    </xf>
    <xf numFmtId="37" fontId="12" fillId="3" borderId="0" xfId="0" applyFont="1" applyFill="1" applyAlignment="1">
      <alignment horizontal="centerContinuous"/>
    </xf>
    <xf numFmtId="49" fontId="8" fillId="0" borderId="0" xfId="0" applyNumberFormat="1" applyFont="1" applyAlignment="1">
      <alignment horizontal="right"/>
    </xf>
    <xf numFmtId="37" fontId="12" fillId="0" borderId="0" xfId="0" applyFont="1" applyAlignment="1">
      <alignment horizontal="centerContinuous"/>
    </xf>
    <xf numFmtId="37" fontId="13" fillId="0" borderId="19" xfId="0" applyFont="1" applyBorder="1" applyAlignment="1">
      <alignment horizontal="right" vertical="top" textRotation="180"/>
    </xf>
    <xf numFmtId="168" fontId="5" fillId="3" borderId="23" xfId="0" applyNumberFormat="1" applyFont="1" applyFill="1" applyBorder="1" applyProtection="1"/>
    <xf numFmtId="168" fontId="5" fillId="0" borderId="23" xfId="0" applyNumberFormat="1" applyFont="1" applyBorder="1" applyProtection="1"/>
    <xf numFmtId="168" fontId="5" fillId="0" borderId="8" xfId="0" applyNumberFormat="1" applyFont="1" applyBorder="1" applyProtection="1"/>
    <xf numFmtId="168" fontId="5" fillId="3" borderId="7" xfId="0" applyNumberFormat="1" applyFont="1" applyFill="1" applyBorder="1" applyProtection="1"/>
    <xf numFmtId="168" fontId="3" fillId="0" borderId="26" xfId="6" applyNumberFormat="1" applyFont="1" applyFill="1" applyBorder="1"/>
    <xf numFmtId="168" fontId="3" fillId="0" borderId="7" xfId="6" applyNumberFormat="1" applyFont="1" applyFill="1" applyBorder="1"/>
    <xf numFmtId="168" fontId="5" fillId="0" borderId="0" xfId="0" applyNumberFormat="1" applyFont="1" applyProtection="1"/>
    <xf numFmtId="168" fontId="5" fillId="0" borderId="0" xfId="6" applyNumberFormat="1" applyFont="1"/>
    <xf numFmtId="168" fontId="5" fillId="0" borderId="0" xfId="0" applyNumberFormat="1" applyFont="1"/>
    <xf numFmtId="168" fontId="5" fillId="0" borderId="1" xfId="6" applyNumberFormat="1" applyFont="1" applyBorder="1"/>
    <xf numFmtId="37" fontId="3" fillId="7" borderId="18" xfId="0" applyFont="1" applyFill="1" applyBorder="1" applyAlignment="1">
      <alignment horizontal="centerContinuous"/>
    </xf>
    <xf numFmtId="37" fontId="3" fillId="7" borderId="2" xfId="0" applyFont="1" applyFill="1" applyBorder="1" applyAlignment="1">
      <alignment horizontal="centerContinuous"/>
    </xf>
    <xf numFmtId="37" fontId="3" fillId="7" borderId="5" xfId="0" applyFont="1" applyFill="1" applyBorder="1" applyAlignment="1">
      <alignment horizontal="centerContinuous"/>
    </xf>
    <xf numFmtId="37" fontId="3" fillId="7" borderId="12" xfId="0" applyFont="1" applyFill="1" applyBorder="1" applyAlignment="1">
      <alignment horizontal="centerContinuous"/>
    </xf>
    <xf numFmtId="37" fontId="3" fillId="7" borderId="3" xfId="0" applyFont="1" applyFill="1" applyBorder="1" applyAlignment="1">
      <alignment horizontal="centerContinuous"/>
    </xf>
    <xf numFmtId="37" fontId="3" fillId="7" borderId="10" xfId="0" applyFont="1" applyFill="1" applyBorder="1" applyAlignment="1">
      <alignment horizontal="centerContinuous"/>
    </xf>
    <xf numFmtId="49" fontId="5" fillId="7" borderId="1" xfId="0" applyNumberFormat="1" applyFont="1" applyFill="1" applyBorder="1" applyAlignment="1">
      <alignment vertical="center"/>
    </xf>
    <xf numFmtId="170" fontId="5" fillId="7" borderId="1" xfId="0" applyNumberFormat="1" applyFont="1" applyFill="1" applyBorder="1" applyAlignment="1">
      <alignment vertical="center"/>
    </xf>
    <xf numFmtId="168" fontId="5" fillId="7" borderId="1" xfId="6" applyNumberFormat="1" applyFont="1" applyFill="1" applyBorder="1"/>
    <xf numFmtId="49" fontId="3" fillId="7" borderId="22" xfId="2" applyNumberFormat="1" applyFont="1" applyFill="1" applyBorder="1" applyAlignment="1">
      <alignment vertical="center"/>
    </xf>
    <xf numFmtId="170" fontId="3" fillId="7" borderId="22" xfId="0" applyNumberFormat="1" applyFont="1" applyFill="1" applyBorder="1" applyAlignment="1">
      <alignment vertical="center"/>
    </xf>
    <xf numFmtId="168" fontId="3" fillId="7" borderId="22" xfId="6" applyNumberFormat="1" applyFont="1" applyFill="1" applyBorder="1"/>
    <xf numFmtId="37" fontId="5" fillId="7" borderId="18" xfId="0" applyFont="1" applyFill="1" applyBorder="1"/>
    <xf numFmtId="37" fontId="3" fillId="7" borderId="2" xfId="0" applyFont="1" applyFill="1" applyBorder="1"/>
    <xf numFmtId="37" fontId="5" fillId="7" borderId="5" xfId="0" applyFont="1" applyFill="1" applyBorder="1" applyAlignment="1">
      <alignment horizontal="centerContinuous"/>
    </xf>
    <xf numFmtId="37" fontId="5" fillId="7" borderId="2" xfId="0" applyFont="1" applyFill="1" applyBorder="1" applyAlignment="1">
      <alignment horizontal="centerContinuous"/>
    </xf>
    <xf numFmtId="37" fontId="5" fillId="7" borderId="10" xfId="0" applyFont="1" applyFill="1" applyBorder="1" applyAlignment="1">
      <alignment horizontal="centerContinuous"/>
    </xf>
    <xf numFmtId="37" fontId="3" fillId="8" borderId="26" xfId="0" applyFont="1" applyFill="1" applyBorder="1"/>
    <xf numFmtId="37" fontId="3" fillId="8" borderId="39" xfId="0" applyFont="1" applyFill="1" applyBorder="1"/>
    <xf numFmtId="37" fontId="3" fillId="7" borderId="20" xfId="0" applyFont="1" applyFill="1" applyBorder="1" applyAlignment="1">
      <alignment horizontal="centerContinuous"/>
    </xf>
    <xf numFmtId="37" fontId="5" fillId="7" borderId="17" xfId="0" applyFont="1" applyFill="1" applyBorder="1" applyAlignment="1">
      <alignment horizontal="centerContinuous"/>
    </xf>
    <xf numFmtId="37" fontId="5" fillId="7" borderId="21" xfId="0" applyFont="1" applyFill="1" applyBorder="1" applyAlignment="1">
      <alignment horizontal="centerContinuous"/>
    </xf>
    <xf numFmtId="37" fontId="3" fillId="7" borderId="4" xfId="0" applyFont="1" applyFill="1" applyBorder="1" applyAlignment="1">
      <alignment horizontal="centerContinuous"/>
    </xf>
    <xf numFmtId="37" fontId="3" fillId="7" borderId="5" xfId="0" applyFont="1" applyFill="1" applyBorder="1" applyAlignment="1">
      <alignment horizontal="center"/>
    </xf>
    <xf numFmtId="37" fontId="3" fillId="7" borderId="2" xfId="0" applyFont="1" applyFill="1" applyBorder="1" applyAlignment="1">
      <alignment horizontal="center"/>
    </xf>
    <xf numFmtId="37" fontId="3" fillId="7" borderId="9" xfId="0" applyFont="1" applyFill="1" applyBorder="1" applyAlignment="1">
      <alignment horizontal="centerContinuous"/>
    </xf>
    <xf numFmtId="37" fontId="5" fillId="7" borderId="3" xfId="0" applyFont="1" applyFill="1" applyBorder="1" applyAlignment="1">
      <alignment horizontal="centerContinuous"/>
    </xf>
    <xf numFmtId="37" fontId="3" fillId="7" borderId="34" xfId="0" applyFont="1" applyFill="1" applyBorder="1" applyAlignment="1">
      <alignment horizontal="centerContinuous"/>
    </xf>
    <xf numFmtId="37" fontId="3" fillId="7" borderId="30" xfId="0" applyFont="1" applyFill="1" applyBorder="1" applyAlignment="1">
      <alignment horizontal="centerContinuous"/>
    </xf>
    <xf numFmtId="37" fontId="3" fillId="7" borderId="31" xfId="0" applyFont="1" applyFill="1" applyBorder="1" applyAlignment="1">
      <alignment horizontal="centerContinuous"/>
    </xf>
    <xf numFmtId="37" fontId="3" fillId="7" borderId="40" xfId="0" applyFont="1" applyFill="1" applyBorder="1" applyAlignment="1">
      <alignment horizontal="center"/>
    </xf>
    <xf numFmtId="37" fontId="3" fillId="7" borderId="21" xfId="0" applyFont="1" applyFill="1" applyBorder="1" applyAlignment="1">
      <alignment horizontal="center"/>
    </xf>
    <xf numFmtId="37" fontId="3" fillId="7" borderId="22" xfId="0" applyFont="1" applyFill="1" applyBorder="1" applyAlignment="1">
      <alignment horizontal="center"/>
    </xf>
    <xf numFmtId="173" fontId="5" fillId="7" borderId="1" xfId="0" applyNumberFormat="1" applyFont="1" applyFill="1" applyBorder="1" applyAlignment="1">
      <alignment vertical="center"/>
    </xf>
    <xf numFmtId="173" fontId="3" fillId="7" borderId="22" xfId="0" applyNumberFormat="1" applyFont="1" applyFill="1" applyBorder="1" applyAlignment="1">
      <alignment vertical="center"/>
    </xf>
    <xf numFmtId="37" fontId="3" fillId="7" borderId="20" xfId="0" applyFont="1" applyFill="1" applyBorder="1" applyAlignment="1">
      <alignment horizontal="centerContinuous" vertical="center"/>
    </xf>
    <xf numFmtId="37" fontId="3" fillId="7" borderId="21" xfId="0" applyFont="1" applyFill="1" applyBorder="1" applyAlignment="1">
      <alignment horizontal="centerContinuous"/>
    </xf>
    <xf numFmtId="37" fontId="3" fillId="7" borderId="20" xfId="0" applyFont="1" applyFill="1" applyBorder="1" applyAlignment="1" applyProtection="1">
      <alignment horizontal="centerContinuous"/>
    </xf>
    <xf numFmtId="37" fontId="3" fillId="7" borderId="17" xfId="0" applyFont="1" applyFill="1" applyBorder="1" applyAlignment="1" applyProtection="1">
      <alignment horizontal="centerContinuous"/>
    </xf>
    <xf numFmtId="37" fontId="3" fillId="7" borderId="20" xfId="0" applyFont="1" applyFill="1" applyBorder="1" applyAlignment="1" applyProtection="1">
      <alignment horizontal="centerContinuous" vertical="center"/>
    </xf>
    <xf numFmtId="37" fontId="3" fillId="7" borderId="21" xfId="0" applyFont="1" applyFill="1" applyBorder="1" applyAlignment="1" applyProtection="1">
      <alignment horizontal="centerContinuous"/>
    </xf>
    <xf numFmtId="173" fontId="5" fillId="7" borderId="16" xfId="0" applyNumberFormat="1" applyFont="1" applyFill="1" applyBorder="1" applyAlignment="1">
      <alignment vertical="center"/>
    </xf>
    <xf numFmtId="173" fontId="5" fillId="7" borderId="6" xfId="0" applyNumberFormat="1" applyFont="1" applyFill="1" applyBorder="1" applyAlignment="1">
      <alignment vertical="center"/>
    </xf>
    <xf numFmtId="37" fontId="3" fillId="7" borderId="21" xfId="0" applyFont="1" applyFill="1" applyBorder="1" applyAlignment="1">
      <alignment horizontal="centerContinuous" vertical="center"/>
    </xf>
    <xf numFmtId="37" fontId="5" fillId="7" borderId="14" xfId="0" applyFont="1" applyFill="1" applyBorder="1" applyProtection="1"/>
    <xf numFmtId="37" fontId="5" fillId="7" borderId="0" xfId="0" applyFont="1" applyFill="1" applyProtection="1"/>
    <xf numFmtId="37" fontId="5" fillId="7" borderId="6" xfId="0" applyFont="1" applyFill="1" applyBorder="1" applyProtection="1"/>
    <xf numFmtId="37" fontId="3" fillId="7" borderId="18" xfId="0" applyFont="1" applyFill="1" applyBorder="1" applyAlignment="1" applyProtection="1">
      <alignment horizontal="centerContinuous"/>
    </xf>
    <xf numFmtId="37" fontId="5" fillId="7" borderId="2" xfId="0" applyFont="1" applyFill="1" applyBorder="1" applyAlignment="1" applyProtection="1">
      <alignment horizontal="centerContinuous"/>
    </xf>
    <xf numFmtId="37" fontId="5" fillId="7" borderId="5" xfId="0" applyFont="1" applyFill="1" applyBorder="1" applyAlignment="1" applyProtection="1">
      <alignment horizontal="centerContinuous"/>
    </xf>
    <xf numFmtId="37" fontId="3" fillId="7" borderId="12" xfId="0" applyFont="1" applyFill="1" applyBorder="1" applyAlignment="1" applyProtection="1">
      <alignment horizontal="centerContinuous"/>
    </xf>
    <xf numFmtId="37" fontId="3" fillId="7" borderId="3" xfId="0" applyFont="1" applyFill="1" applyBorder="1" applyAlignment="1" applyProtection="1">
      <alignment horizontal="centerContinuous"/>
    </xf>
    <xf numFmtId="37" fontId="3" fillId="7" borderId="10" xfId="0" applyFont="1" applyFill="1" applyBorder="1" applyAlignment="1" applyProtection="1">
      <alignment horizontal="centerContinuous"/>
    </xf>
    <xf numFmtId="37" fontId="3" fillId="7" borderId="41" xfId="0" applyFont="1" applyFill="1" applyBorder="1" applyAlignment="1" applyProtection="1">
      <alignment horizontal="centerContinuous"/>
    </xf>
    <xf numFmtId="37" fontId="5" fillId="7" borderId="0" xfId="0" applyFont="1" applyFill="1" applyAlignment="1" applyProtection="1">
      <alignment horizontal="centerContinuous"/>
    </xf>
    <xf numFmtId="37" fontId="5" fillId="7" borderId="6" xfId="0" applyFont="1" applyFill="1" applyBorder="1" applyAlignment="1" applyProtection="1">
      <alignment horizontal="centerContinuous"/>
    </xf>
    <xf numFmtId="37" fontId="3" fillId="7" borderId="14" xfId="0" applyFont="1" applyFill="1" applyBorder="1" applyAlignment="1" applyProtection="1">
      <alignment horizontal="centerContinuous"/>
    </xf>
    <xf numFmtId="170" fontId="5" fillId="7" borderId="14" xfId="0" applyNumberFormat="1" applyFont="1" applyFill="1" applyBorder="1" applyAlignment="1">
      <alignment vertical="center"/>
    </xf>
    <xf numFmtId="174" fontId="5" fillId="7" borderId="28" xfId="0" applyNumberFormat="1" applyFont="1" applyFill="1" applyBorder="1" applyAlignment="1">
      <alignment vertical="center"/>
    </xf>
    <xf numFmtId="168" fontId="3" fillId="7" borderId="21" xfId="6" applyNumberFormat="1" applyFont="1" applyFill="1" applyBorder="1"/>
    <xf numFmtId="37" fontId="3" fillId="7" borderId="18" xfId="0" applyFont="1" applyFill="1" applyBorder="1" applyAlignment="1"/>
    <xf numFmtId="37" fontId="3" fillId="7" borderId="2" xfId="0" applyFont="1" applyFill="1" applyBorder="1" applyAlignment="1"/>
    <xf numFmtId="37" fontId="3" fillId="7" borderId="5" xfId="0" applyFont="1" applyFill="1" applyBorder="1" applyAlignment="1"/>
    <xf numFmtId="170" fontId="5" fillId="7" borderId="1" xfId="0" applyNumberFormat="1" applyFont="1" applyFill="1" applyBorder="1"/>
    <xf numFmtId="39" fontId="5" fillId="7" borderId="1" xfId="0" applyNumberFormat="1" applyFont="1" applyFill="1" applyBorder="1"/>
    <xf numFmtId="170" fontId="3" fillId="7" borderId="22" xfId="0" applyNumberFormat="1" applyFont="1" applyFill="1" applyBorder="1"/>
    <xf numFmtId="39" fontId="3" fillId="7" borderId="22" xfId="0" applyNumberFormat="1" applyFont="1" applyFill="1" applyBorder="1"/>
    <xf numFmtId="170" fontId="5" fillId="7" borderId="1" xfId="0" applyNumberFormat="1" applyFont="1" applyFill="1" applyBorder="1" applyAlignment="1">
      <alignment horizontal="right"/>
    </xf>
    <xf numFmtId="39" fontId="5" fillId="7" borderId="1" xfId="0" applyNumberFormat="1" applyFont="1" applyFill="1" applyBorder="1" applyAlignment="1">
      <alignment horizontal="right"/>
    </xf>
    <xf numFmtId="37" fontId="5" fillId="7" borderId="2" xfId="0" applyFont="1" applyFill="1" applyBorder="1"/>
    <xf numFmtId="37" fontId="3" fillId="7" borderId="37" xfId="0" applyFont="1" applyFill="1" applyBorder="1" applyAlignment="1">
      <alignment horizontal="centerContinuous"/>
    </xf>
    <xf numFmtId="37" fontId="3" fillId="7" borderId="27" xfId="0" applyFont="1" applyFill="1" applyBorder="1" applyAlignment="1">
      <alignment horizontal="centerContinuous"/>
    </xf>
    <xf numFmtId="37" fontId="3" fillId="7" borderId="42" xfId="0" applyFont="1" applyFill="1" applyBorder="1" applyAlignment="1">
      <alignment horizontal="centerContinuous"/>
    </xf>
    <xf numFmtId="37" fontId="3" fillId="7" borderId="37" xfId="0" applyFont="1" applyFill="1" applyBorder="1" applyAlignment="1">
      <alignment horizontal="left"/>
    </xf>
    <xf numFmtId="37" fontId="3" fillId="7" borderId="27" xfId="0" applyFont="1" applyFill="1" applyBorder="1" applyAlignment="1">
      <alignment horizontal="left"/>
    </xf>
    <xf numFmtId="37" fontId="3" fillId="7" borderId="42" xfId="0" applyFont="1" applyFill="1" applyBorder="1" applyAlignment="1">
      <alignment horizontal="left"/>
    </xf>
    <xf numFmtId="37" fontId="3" fillId="7" borderId="38" xfId="0" applyFont="1" applyFill="1" applyBorder="1" applyAlignment="1">
      <alignment horizontal="centerContinuous"/>
    </xf>
    <xf numFmtId="37" fontId="3" fillId="7" borderId="11" xfId="0" applyFont="1" applyFill="1" applyBorder="1" applyAlignment="1">
      <alignment horizontal="centerContinuous"/>
    </xf>
    <xf numFmtId="37" fontId="3" fillId="7" borderId="43" xfId="0" applyFont="1" applyFill="1" applyBorder="1" applyAlignment="1">
      <alignment horizontal="centerContinuous"/>
    </xf>
    <xf numFmtId="37" fontId="3" fillId="7" borderId="14" xfId="0" applyFont="1" applyFill="1" applyBorder="1" applyAlignment="1">
      <alignment horizontal="centerContinuous"/>
    </xf>
    <xf numFmtId="37" fontId="5" fillId="7" borderId="0" xfId="0" applyFont="1" applyFill="1" applyAlignment="1">
      <alignment horizontal="centerContinuous"/>
    </xf>
    <xf numFmtId="37" fontId="3" fillId="7" borderId="1" xfId="0" applyFont="1" applyFill="1" applyBorder="1" applyAlignment="1">
      <alignment horizontal="centerContinuous"/>
    </xf>
    <xf numFmtId="37" fontId="3" fillId="7" borderId="17" xfId="0" applyFont="1" applyFill="1" applyBorder="1" applyAlignment="1">
      <alignment horizontal="centerContinuous" vertical="center"/>
    </xf>
    <xf numFmtId="37" fontId="5" fillId="7" borderId="17" xfId="0" applyFont="1" applyFill="1" applyBorder="1" applyAlignment="1">
      <alignment horizontal="centerContinuous" vertical="center"/>
    </xf>
    <xf numFmtId="37" fontId="5" fillId="7" borderId="21" xfId="0" applyFont="1" applyFill="1" applyBorder="1" applyAlignment="1">
      <alignment horizontal="centerContinuous" vertical="center"/>
    </xf>
    <xf numFmtId="37" fontId="3" fillId="7" borderId="18" xfId="0" applyFont="1" applyFill="1" applyBorder="1" applyAlignment="1">
      <alignment horizontal="centerContinuous" vertical="center"/>
    </xf>
    <xf numFmtId="37" fontId="3" fillId="7" borderId="17" xfId="0" applyFont="1" applyFill="1" applyBorder="1" applyAlignment="1">
      <alignment horizontal="centerContinuous"/>
    </xf>
    <xf numFmtId="37" fontId="3" fillId="7" borderId="18" xfId="0" applyFont="1" applyFill="1" applyBorder="1"/>
    <xf numFmtId="37" fontId="3" fillId="7" borderId="6" xfId="0" applyFont="1" applyFill="1" applyBorder="1" applyAlignment="1">
      <alignment horizontal="centerContinuous"/>
    </xf>
    <xf numFmtId="37" fontId="3" fillId="7" borderId="0" xfId="0" applyFont="1" applyFill="1"/>
    <xf numFmtId="37" fontId="3" fillId="7" borderId="4" xfId="0" applyFont="1" applyFill="1" applyBorder="1" applyAlignment="1">
      <alignment horizontal="center"/>
    </xf>
    <xf numFmtId="37" fontId="3" fillId="7" borderId="1" xfId="0" applyFont="1" applyFill="1" applyBorder="1" applyAlignment="1">
      <alignment horizontal="center"/>
    </xf>
    <xf numFmtId="37" fontId="3" fillId="7" borderId="9" xfId="0" applyFont="1" applyFill="1" applyBorder="1" applyAlignment="1">
      <alignment horizontal="center"/>
    </xf>
    <xf numFmtId="37" fontId="3" fillId="7" borderId="4" xfId="0" applyFont="1" applyFill="1" applyBorder="1"/>
    <xf numFmtId="37" fontId="3" fillId="7" borderId="0" xfId="0" applyFont="1" applyFill="1" applyBorder="1" applyAlignment="1">
      <alignment horizontal="centerContinuous"/>
    </xf>
    <xf numFmtId="37" fontId="3" fillId="7" borderId="4" xfId="0" applyNumberFormat="1" applyFont="1" applyFill="1" applyBorder="1" applyAlignment="1" applyProtection="1">
      <alignment horizontal="centerContinuous"/>
    </xf>
    <xf numFmtId="37" fontId="3" fillId="7" borderId="4" xfId="0" applyNumberFormat="1" applyFont="1" applyFill="1" applyBorder="1" applyAlignment="1" applyProtection="1">
      <alignment horizontal="center"/>
    </xf>
    <xf numFmtId="37" fontId="3" fillId="7" borderId="1" xfId="0" applyNumberFormat="1" applyFont="1" applyFill="1" applyBorder="1" applyAlignment="1" applyProtection="1">
      <alignment horizontal="center"/>
    </xf>
    <xf numFmtId="37" fontId="3" fillId="7" borderId="9" xfId="0" applyNumberFormat="1" applyFont="1" applyFill="1" applyBorder="1" applyAlignment="1" applyProtection="1">
      <alignment horizontal="centerContinuous"/>
    </xf>
    <xf numFmtId="37" fontId="3" fillId="7" borderId="1" xfId="0" applyNumberFormat="1" applyFont="1" applyFill="1" applyBorder="1" applyAlignment="1" applyProtection="1">
      <alignment horizontal="centerContinuous"/>
    </xf>
    <xf numFmtId="37" fontId="3" fillId="7" borderId="1" xfId="0" applyNumberFormat="1" applyFont="1" applyFill="1" applyBorder="1" applyAlignment="1" applyProtection="1"/>
    <xf numFmtId="37" fontId="3" fillId="7" borderId="1" xfId="0" applyFont="1" applyFill="1" applyBorder="1" applyAlignment="1"/>
    <xf numFmtId="37" fontId="3" fillId="9" borderId="4" xfId="0" applyFont="1" applyFill="1" applyBorder="1" applyAlignment="1">
      <alignment horizontal="centerContinuous"/>
    </xf>
    <xf numFmtId="37" fontId="3" fillId="9" borderId="4" xfId="0" applyFont="1" applyFill="1" applyBorder="1" applyAlignment="1">
      <alignment horizontal="center"/>
    </xf>
    <xf numFmtId="37" fontId="3" fillId="9" borderId="6" xfId="0" applyFont="1" applyFill="1" applyBorder="1" applyAlignment="1">
      <alignment horizontal="centerContinuous"/>
    </xf>
    <xf numFmtId="37" fontId="3" fillId="9" borderId="1" xfId="0" applyFont="1" applyFill="1" applyBorder="1" applyAlignment="1">
      <alignment horizontal="center"/>
    </xf>
    <xf numFmtId="37" fontId="3" fillId="9" borderId="10" xfId="0" applyFont="1" applyFill="1" applyBorder="1" applyAlignment="1">
      <alignment horizontal="centerContinuous"/>
    </xf>
    <xf numFmtId="37" fontId="3" fillId="9" borderId="9" xfId="0" applyFont="1" applyFill="1" applyBorder="1" applyAlignment="1">
      <alignment horizontal="centerContinuous"/>
    </xf>
    <xf numFmtId="37" fontId="3" fillId="7" borderId="14" xfId="0" applyFont="1" applyFill="1" applyBorder="1" applyAlignment="1">
      <alignment horizontal="centerContinuous" vertical="center"/>
    </xf>
    <xf numFmtId="37" fontId="3" fillId="8" borderId="18" xfId="0" applyFont="1" applyFill="1" applyBorder="1" applyAlignment="1">
      <alignment horizontal="centerContinuous"/>
    </xf>
    <xf numFmtId="37" fontId="3" fillId="8" borderId="5" xfId="0" applyFont="1" applyFill="1" applyBorder="1" applyAlignment="1">
      <alignment horizontal="centerContinuous"/>
    </xf>
    <xf numFmtId="37" fontId="3" fillId="8" borderId="18" xfId="0" applyFont="1" applyFill="1" applyBorder="1" applyAlignment="1"/>
    <xf numFmtId="37" fontId="3" fillId="8" borderId="5" xfId="0" applyFont="1" applyFill="1" applyBorder="1" applyAlignment="1"/>
    <xf numFmtId="37" fontId="3" fillId="8" borderId="14" xfId="0" applyFont="1" applyFill="1" applyBorder="1" applyAlignment="1">
      <alignment horizontal="centerContinuous"/>
    </xf>
    <xf numFmtId="37" fontId="3" fillId="8" borderId="6" xfId="0" applyFont="1" applyFill="1" applyBorder="1" applyAlignment="1">
      <alignment horizontal="centerContinuous"/>
    </xf>
    <xf numFmtId="37" fontId="3" fillId="8" borderId="12" xfId="0" applyFont="1" applyFill="1" applyBorder="1" applyAlignment="1">
      <alignment horizontal="centerContinuous"/>
    </xf>
    <xf numFmtId="37" fontId="3" fillId="8" borderId="10" xfId="0" applyFont="1" applyFill="1" applyBorder="1" applyAlignment="1">
      <alignment horizontal="centerContinuous"/>
    </xf>
    <xf numFmtId="37" fontId="5" fillId="7" borderId="6" xfId="0" applyFont="1" applyFill="1" applyBorder="1" applyAlignment="1">
      <alignment horizontal="centerContinuous"/>
    </xf>
    <xf numFmtId="37" fontId="3" fillId="7" borderId="2" xfId="0" applyFont="1" applyFill="1" applyBorder="1" applyAlignment="1">
      <alignment horizontal="centerContinuous" vertical="center"/>
    </xf>
    <xf numFmtId="37" fontId="3" fillId="7" borderId="0" xfId="0" applyFont="1" applyFill="1" applyBorder="1" applyAlignment="1">
      <alignment horizontal="centerContinuous" vertical="center"/>
    </xf>
    <xf numFmtId="170" fontId="5" fillId="5" borderId="1" xfId="0" applyNumberFormat="1" applyFont="1" applyFill="1" applyBorder="1"/>
    <xf numFmtId="170" fontId="5" fillId="4" borderId="1" xfId="0" applyNumberFormat="1" applyFont="1" applyFill="1" applyBorder="1"/>
    <xf numFmtId="37" fontId="5" fillId="4" borderId="0" xfId="0" applyFont="1" applyFill="1"/>
    <xf numFmtId="170" fontId="3" fillId="5" borderId="22" xfId="0" applyNumberFormat="1" applyFont="1" applyFill="1" applyBorder="1"/>
    <xf numFmtId="170" fontId="5" fillId="4" borderId="0" xfId="0" applyNumberFormat="1" applyFont="1" applyFill="1"/>
    <xf numFmtId="37" fontId="3" fillId="7" borderId="34" xfId="6" applyNumberFormat="1" applyFont="1" applyFill="1" applyBorder="1" applyAlignment="1">
      <alignment horizontal="centerContinuous" vertical="center"/>
    </xf>
    <xf numFmtId="37" fontId="5" fillId="7" borderId="30" xfId="6" applyNumberFormat="1" applyFont="1" applyFill="1" applyBorder="1" applyAlignment="1">
      <alignment horizontal="centerContinuous"/>
    </xf>
    <xf numFmtId="37" fontId="5" fillId="7" borderId="33" xfId="6" applyNumberFormat="1" applyFont="1" applyFill="1" applyBorder="1" applyAlignment="1">
      <alignment horizontal="centerContinuous"/>
    </xf>
    <xf numFmtId="49" fontId="7" fillId="0" borderId="8" xfId="0" applyNumberFormat="1" applyFont="1" applyBorder="1" applyAlignment="1">
      <alignment horizontal="center" vertical="top"/>
    </xf>
    <xf numFmtId="168" fontId="5" fillId="0" borderId="1" xfId="6" applyNumberFormat="1" applyFont="1" applyBorder="1" applyAlignment="1">
      <alignment horizontal="right"/>
    </xf>
    <xf numFmtId="168" fontId="5" fillId="7" borderId="1" xfId="6" applyNumberFormat="1" applyFont="1" applyFill="1" applyBorder="1" applyAlignment="1">
      <alignment horizontal="right"/>
    </xf>
    <xf numFmtId="173" fontId="3" fillId="7" borderId="26" xfId="0" applyNumberFormat="1" applyFont="1" applyFill="1" applyBorder="1"/>
    <xf numFmtId="168" fontId="5" fillId="0" borderId="0" xfId="6" applyNumberFormat="1" applyFont="1" applyBorder="1"/>
    <xf numFmtId="166" fontId="5" fillId="5" borderId="1" xfId="6" applyNumberFormat="1" applyFont="1" applyFill="1" applyBorder="1"/>
    <xf numFmtId="166" fontId="5" fillId="4" borderId="1" xfId="6" applyNumberFormat="1" applyFont="1" applyFill="1" applyBorder="1"/>
    <xf numFmtId="166" fontId="5" fillId="4" borderId="1" xfId="6" quotePrefix="1" applyNumberFormat="1" applyFont="1" applyFill="1" applyBorder="1" applyAlignment="1">
      <alignment horizontal="right"/>
    </xf>
    <xf numFmtId="166" fontId="5" fillId="4" borderId="0" xfId="6" applyNumberFormat="1" applyFont="1" applyFill="1"/>
    <xf numFmtId="166" fontId="3" fillId="5" borderId="26" xfId="6" applyNumberFormat="1" applyFont="1" applyFill="1" applyBorder="1"/>
    <xf numFmtId="170" fontId="5" fillId="5" borderId="22" xfId="0" applyNumberFormat="1" applyFont="1" applyFill="1" applyBorder="1"/>
    <xf numFmtId="170" fontId="3" fillId="8" borderId="26" xfId="0" applyNumberFormat="1" applyFont="1" applyFill="1" applyBorder="1"/>
    <xf numFmtId="168" fontId="3" fillId="8" borderId="26" xfId="6" applyNumberFormat="1" applyFont="1" applyFill="1" applyBorder="1"/>
    <xf numFmtId="37" fontId="3" fillId="7" borderId="0" xfId="0" applyFont="1" applyFill="1" applyAlignment="1" applyProtection="1">
      <alignment horizontal="centerContinuous"/>
    </xf>
    <xf numFmtId="37" fontId="3" fillId="7" borderId="6" xfId="0" applyFont="1" applyFill="1" applyBorder="1" applyAlignment="1" applyProtection="1">
      <alignment horizontal="centerContinuous"/>
    </xf>
    <xf numFmtId="37" fontId="3" fillId="7" borderId="18" xfId="0" applyFont="1" applyFill="1" applyBorder="1" applyAlignment="1" applyProtection="1"/>
    <xf numFmtId="37" fontId="5" fillId="7" borderId="2" xfId="0" applyFont="1" applyFill="1" applyBorder="1" applyAlignment="1" applyProtection="1"/>
    <xf numFmtId="37" fontId="5" fillId="7" borderId="5" xfId="0" applyFont="1" applyFill="1" applyBorder="1" applyAlignment="1" applyProtection="1"/>
    <xf numFmtId="170" fontId="5" fillId="7" borderId="1" xfId="0" applyNumberFormat="1" applyFont="1" applyFill="1" applyBorder="1" applyAlignment="1"/>
    <xf numFmtId="49" fontId="3" fillId="7" borderId="20" xfId="2" applyNumberFormat="1" applyFont="1" applyFill="1" applyBorder="1" applyAlignment="1">
      <alignment vertical="center"/>
    </xf>
    <xf numFmtId="173" fontId="3" fillId="7" borderId="44" xfId="0" applyNumberFormat="1" applyFont="1" applyFill="1" applyBorder="1" applyAlignment="1">
      <alignment vertical="center"/>
    </xf>
    <xf numFmtId="173" fontId="3" fillId="7" borderId="40" xfId="0" applyNumberFormat="1" applyFont="1" applyFill="1" applyBorder="1" applyAlignment="1">
      <alignment vertical="center"/>
    </xf>
    <xf numFmtId="170" fontId="5" fillId="7" borderId="1" xfId="0" applyNumberFormat="1" applyFont="1" applyFill="1" applyBorder="1" applyAlignment="1">
      <alignment horizontal="right" vertical="center"/>
    </xf>
    <xf numFmtId="37" fontId="3" fillId="7" borderId="45" xfId="0" applyFont="1" applyFill="1" applyBorder="1" applyAlignment="1" applyProtection="1">
      <alignment horizontal="center"/>
    </xf>
    <xf numFmtId="37" fontId="3" fillId="0" borderId="23" xfId="0" applyFont="1" applyFill="1" applyBorder="1"/>
    <xf numFmtId="168" fontId="3" fillId="0" borderId="23" xfId="6" applyNumberFormat="1" applyFont="1" applyFill="1" applyBorder="1"/>
    <xf numFmtId="49" fontId="5" fillId="0" borderId="0" xfId="0" quotePrefix="1" applyNumberFormat="1" applyFont="1" applyAlignment="1">
      <alignment horizontal="left"/>
    </xf>
    <xf numFmtId="173" fontId="3" fillId="7" borderId="21" xfId="0" applyNumberFormat="1" applyFont="1" applyFill="1" applyBorder="1" applyAlignment="1">
      <alignment vertical="center"/>
    </xf>
    <xf numFmtId="173" fontId="3" fillId="7" borderId="46" xfId="0" applyNumberFormat="1" applyFont="1" applyFill="1" applyBorder="1" applyAlignment="1">
      <alignment vertical="center"/>
    </xf>
    <xf numFmtId="37" fontId="3" fillId="0" borderId="9" xfId="0" quotePrefix="1" applyFont="1" applyBorder="1" applyAlignment="1">
      <alignment horizontal="center"/>
    </xf>
    <xf numFmtId="37" fontId="3" fillId="7" borderId="47" xfId="0" quotePrefix="1" applyFont="1" applyFill="1" applyBorder="1" applyAlignment="1" applyProtection="1">
      <alignment horizontal="center"/>
    </xf>
    <xf numFmtId="37" fontId="5" fillId="0" borderId="0" xfId="0" quotePrefix="1" applyFont="1" applyAlignment="1">
      <alignment horizontal="right"/>
    </xf>
    <xf numFmtId="49" fontId="5" fillId="7" borderId="1" xfId="0" quotePrefix="1" applyNumberFormat="1" applyFont="1" applyFill="1" applyBorder="1" applyAlignment="1">
      <alignment horizontal="left" vertical="center"/>
    </xf>
    <xf numFmtId="170" fontId="5" fillId="0" borderId="1" xfId="0" quotePrefix="1" applyNumberFormat="1" applyFont="1" applyBorder="1" applyAlignment="1">
      <alignment horizontal="right"/>
    </xf>
    <xf numFmtId="37" fontId="5" fillId="0" borderId="23" xfId="0" quotePrefix="1" applyNumberFormat="1" applyFont="1" applyBorder="1" applyAlignment="1" applyProtection="1">
      <alignment horizontal="left"/>
    </xf>
    <xf numFmtId="37" fontId="5" fillId="3" borderId="17" xfId="0" applyFont="1" applyFill="1" applyBorder="1" applyAlignment="1">
      <alignment horizontal="centerContinuous" vertical="center"/>
    </xf>
    <xf numFmtId="37" fontId="5" fillId="3" borderId="17" xfId="0" applyFont="1" applyFill="1" applyBorder="1" applyAlignment="1">
      <alignment horizontal="right" vertical="center"/>
    </xf>
    <xf numFmtId="37" fontId="5" fillId="3" borderId="17" xfId="0" quotePrefix="1" applyFont="1" applyFill="1" applyBorder="1" applyAlignment="1">
      <alignment horizontal="right" vertical="center"/>
    </xf>
    <xf numFmtId="37" fontId="3" fillId="3" borderId="20" xfId="0" quotePrefix="1" applyFont="1" applyFill="1" applyBorder="1" applyAlignment="1">
      <alignment horizontal="left"/>
    </xf>
    <xf numFmtId="37" fontId="3" fillId="0" borderId="0" xfId="0" quotePrefix="1" applyFont="1" applyAlignment="1">
      <alignment horizontal="left" wrapText="1"/>
    </xf>
    <xf numFmtId="37" fontId="3" fillId="3" borderId="20" xfId="0" quotePrefix="1" applyFont="1" applyFill="1" applyBorder="1" applyAlignment="1" applyProtection="1">
      <alignment horizontal="left"/>
    </xf>
    <xf numFmtId="37" fontId="3" fillId="7" borderId="7" xfId="0" applyFont="1" applyFill="1" applyBorder="1" applyAlignment="1">
      <alignment horizontal="centerContinuous"/>
    </xf>
    <xf numFmtId="37" fontId="3" fillId="7" borderId="8" xfId="0" applyFont="1" applyFill="1" applyBorder="1" applyAlignment="1">
      <alignment horizontal="centerContinuous"/>
    </xf>
    <xf numFmtId="170" fontId="5" fillId="7" borderId="1" xfId="0" applyNumberFormat="1" applyFont="1" applyFill="1" applyBorder="1" applyAlignment="1">
      <alignment horizontal="right" indent="1"/>
    </xf>
    <xf numFmtId="170" fontId="5" fillId="0" borderId="1" xfId="0" applyNumberFormat="1" applyFont="1" applyBorder="1" applyAlignment="1">
      <alignment horizontal="right" indent="1"/>
    </xf>
    <xf numFmtId="37" fontId="0" fillId="0" borderId="0" xfId="0" applyAlignment="1">
      <alignment horizontal="right" indent="1"/>
    </xf>
    <xf numFmtId="170" fontId="3" fillId="7" borderId="22" xfId="0" applyNumberFormat="1" applyFont="1" applyFill="1" applyBorder="1" applyAlignment="1">
      <alignment horizontal="right" indent="1"/>
    </xf>
    <xf numFmtId="171" fontId="5" fillId="0" borderId="0" xfId="0" applyNumberFormat="1" applyFont="1" applyAlignment="1">
      <alignment horizontal="right" indent="1"/>
    </xf>
    <xf numFmtId="37" fontId="0" fillId="0" borderId="11" xfId="0" applyBorder="1"/>
    <xf numFmtId="0" fontId="3" fillId="5" borderId="22" xfId="0" applyNumberFormat="1" applyFont="1" applyFill="1" applyBorder="1" applyAlignment="1">
      <alignment horizontal="center"/>
    </xf>
    <xf numFmtId="37" fontId="3" fillId="0" borderId="5" xfId="0" applyFont="1" applyFill="1" applyBorder="1" applyAlignment="1">
      <alignment horizontal="center"/>
    </xf>
    <xf numFmtId="37" fontId="3" fillId="0" borderId="4" xfId="0" applyFont="1" applyFill="1" applyBorder="1" applyAlignment="1">
      <alignment horizontal="center"/>
    </xf>
    <xf numFmtId="37" fontId="3" fillId="0" borderId="10" xfId="0" applyFont="1" applyFill="1" applyBorder="1" applyAlignment="1">
      <alignment horizontal="centerContinuous" vertical="center"/>
    </xf>
    <xf numFmtId="37" fontId="3" fillId="0" borderId="9" xfId="0" applyFont="1" applyFill="1" applyBorder="1" applyAlignment="1">
      <alignment horizontal="centerContinuous" vertical="center"/>
    </xf>
    <xf numFmtId="37" fontId="3" fillId="7" borderId="4" xfId="0" quotePrefix="1" applyFont="1" applyFill="1" applyBorder="1" applyAlignment="1">
      <alignment horizontal="center"/>
    </xf>
    <xf numFmtId="49" fontId="5" fillId="0" borderId="11" xfId="0" applyNumberFormat="1" applyFont="1" applyBorder="1"/>
    <xf numFmtId="37" fontId="5" fillId="0" borderId="0" xfId="0" applyFont="1" applyFill="1"/>
    <xf numFmtId="170" fontId="5" fillId="0" borderId="1" xfId="0" applyNumberFormat="1" applyFont="1" applyFill="1" applyBorder="1" applyAlignment="1">
      <alignment vertical="center"/>
    </xf>
    <xf numFmtId="168" fontId="5" fillId="0" borderId="1" xfId="6" applyNumberFormat="1" applyFont="1" applyFill="1" applyBorder="1"/>
    <xf numFmtId="37" fontId="5" fillId="0" borderId="0" xfId="0" applyFont="1" applyFill="1" applyAlignment="1">
      <alignment horizontal="right"/>
    </xf>
    <xf numFmtId="175" fontId="5" fillId="0" borderId="0" xfId="5" applyNumberFormat="1" applyFont="1" applyBorder="1" applyProtection="1"/>
    <xf numFmtId="37" fontId="22" fillId="0" borderId="0" xfId="5" applyNumberFormat="1" applyFont="1" applyBorder="1" applyAlignment="1" applyProtection="1">
      <alignment horizontal="centerContinuous"/>
    </xf>
    <xf numFmtId="39" fontId="5" fillId="0" borderId="0" xfId="5" applyFont="1"/>
    <xf numFmtId="165" fontId="5" fillId="0" borderId="2" xfId="5" applyNumberFormat="1" applyFont="1" applyBorder="1" applyAlignment="1" applyProtection="1">
      <alignment horizontal="left"/>
    </xf>
    <xf numFmtId="39" fontId="5" fillId="0" borderId="0" xfId="5" applyFont="1" applyAlignment="1">
      <alignment horizontal="left"/>
    </xf>
    <xf numFmtId="165" fontId="5" fillId="0" borderId="3" xfId="5" applyNumberFormat="1" applyFont="1" applyBorder="1" applyAlignment="1" applyProtection="1">
      <alignment horizontal="left"/>
    </xf>
    <xf numFmtId="37" fontId="5" fillId="0" borderId="0" xfId="5" applyNumberFormat="1" applyFont="1" applyProtection="1"/>
    <xf numFmtId="39" fontId="3" fillId="0" borderId="18" xfId="5" applyFont="1" applyBorder="1" applyProtection="1"/>
    <xf numFmtId="39" fontId="3" fillId="3" borderId="12" xfId="5" applyFont="1" applyFill="1" applyBorder="1" applyProtection="1"/>
    <xf numFmtId="39" fontId="5" fillId="3" borderId="0" xfId="5" applyFont="1" applyFill="1" applyProtection="1"/>
    <xf numFmtId="39" fontId="5" fillId="7" borderId="1" xfId="5" applyFont="1" applyFill="1" applyBorder="1" applyProtection="1"/>
    <xf numFmtId="167" fontId="5" fillId="7" borderId="1" xfId="5" applyNumberFormat="1" applyFont="1" applyFill="1" applyBorder="1"/>
    <xf numFmtId="39" fontId="5" fillId="0" borderId="1" xfId="5" applyFont="1" applyBorder="1" applyProtection="1"/>
    <xf numFmtId="167" fontId="5" fillId="3" borderId="1" xfId="5" applyNumberFormat="1" applyFont="1" applyFill="1" applyBorder="1"/>
    <xf numFmtId="39" fontId="3" fillId="7" borderId="22" xfId="5" applyFont="1" applyFill="1" applyBorder="1" applyProtection="1"/>
    <xf numFmtId="167" fontId="3" fillId="7" borderId="22" xfId="5" applyNumberFormat="1" applyFont="1" applyFill="1" applyBorder="1"/>
    <xf numFmtId="167" fontId="5" fillId="0" borderId="0" xfId="5" applyNumberFormat="1" applyFont="1"/>
    <xf numFmtId="39" fontId="5" fillId="0" borderId="3" xfId="5" applyFont="1" applyBorder="1"/>
    <xf numFmtId="174" fontId="8" fillId="0" borderId="3" xfId="5" applyNumberFormat="1" applyFont="1" applyBorder="1" applyProtection="1"/>
    <xf numFmtId="37" fontId="5" fillId="0" borderId="0" xfId="5" applyNumberFormat="1" applyFont="1"/>
    <xf numFmtId="37" fontId="23" fillId="0" borderId="0" xfId="0" applyFont="1"/>
    <xf numFmtId="37" fontId="3" fillId="0" borderId="6" xfId="0" quotePrefix="1" applyFont="1" applyBorder="1" applyAlignment="1">
      <alignment horizontal="center"/>
    </xf>
    <xf numFmtId="37" fontId="3" fillId="0" borderId="10" xfId="0" quotePrefix="1" applyFont="1" applyBorder="1" applyAlignment="1">
      <alignment horizontal="center"/>
    </xf>
    <xf numFmtId="165" fontId="5" fillId="0" borderId="0" xfId="4" applyNumberFormat="1" applyFont="1" applyProtection="1"/>
    <xf numFmtId="0" fontId="5" fillId="3" borderId="0" xfId="4" applyFont="1" applyFill="1"/>
    <xf numFmtId="0" fontId="5" fillId="0" borderId="0" xfId="4" applyFont="1"/>
    <xf numFmtId="0" fontId="3" fillId="0" borderId="2" xfId="4" applyFont="1" applyFill="1" applyBorder="1" applyAlignment="1">
      <alignment horizontal="centerContinuous"/>
    </xf>
    <xf numFmtId="0" fontId="5" fillId="3" borderId="2" xfId="4" applyFont="1" applyFill="1" applyBorder="1" applyAlignment="1">
      <alignment horizontal="centerContinuous"/>
    </xf>
    <xf numFmtId="0" fontId="5" fillId="3" borderId="3" xfId="4" applyFont="1" applyFill="1" applyBorder="1" applyAlignment="1">
      <alignment horizontal="centerContinuous"/>
    </xf>
    <xf numFmtId="0" fontId="3" fillId="8" borderId="18" xfId="4" applyFont="1" applyFill="1" applyBorder="1" applyAlignment="1">
      <alignment horizontal="centerContinuous"/>
    </xf>
    <xf numFmtId="0" fontId="3" fillId="8" borderId="2" xfId="4" applyFont="1" applyFill="1" applyBorder="1" applyAlignment="1">
      <alignment horizontal="centerContinuous"/>
    </xf>
    <xf numFmtId="0" fontId="3" fillId="8" borderId="5" xfId="4" applyFont="1" applyFill="1" applyBorder="1" applyAlignment="1">
      <alignment horizontal="centerContinuous"/>
    </xf>
    <xf numFmtId="0" fontId="3" fillId="8" borderId="14" xfId="4" applyFont="1" applyFill="1" applyBorder="1" applyAlignment="1">
      <alignment horizontal="centerContinuous"/>
    </xf>
    <xf numFmtId="0" fontId="3" fillId="8" borderId="0" xfId="4" applyFont="1" applyFill="1" applyBorder="1" applyAlignment="1">
      <alignment horizontal="centerContinuous"/>
    </xf>
    <xf numFmtId="0" fontId="3" fillId="8" borderId="6" xfId="4" applyFont="1" applyFill="1" applyBorder="1" applyAlignment="1">
      <alignment horizontal="centerContinuous"/>
    </xf>
    <xf numFmtId="0" fontId="3" fillId="0" borderId="7" xfId="4" applyFont="1" applyBorder="1"/>
    <xf numFmtId="0" fontId="3" fillId="8" borderId="12" xfId="4" applyFont="1" applyFill="1" applyBorder="1" applyAlignment="1">
      <alignment horizontal="centerContinuous"/>
    </xf>
    <xf numFmtId="0" fontId="3" fillId="8" borderId="3" xfId="4" applyFont="1" applyFill="1" applyBorder="1" applyAlignment="1">
      <alignment horizontal="centerContinuous"/>
    </xf>
    <xf numFmtId="0" fontId="3" fillId="8" borderId="10" xfId="4" applyFont="1" applyFill="1" applyBorder="1" applyAlignment="1">
      <alignment horizontal="centerContinuous"/>
    </xf>
    <xf numFmtId="0" fontId="3" fillId="0" borderId="8" xfId="4" applyFont="1" applyBorder="1"/>
    <xf numFmtId="49" fontId="3" fillId="5" borderId="22" xfId="4" applyNumberFormat="1" applyFont="1" applyFill="1" applyBorder="1" applyAlignment="1">
      <alignment horizontal="center"/>
    </xf>
    <xf numFmtId="0" fontId="3" fillId="0" borderId="0" xfId="4" applyFont="1"/>
    <xf numFmtId="165" fontId="6" fillId="0" borderId="0" xfId="4" applyNumberFormat="1" applyFont="1" applyProtection="1">
      <protection locked="0"/>
    </xf>
    <xf numFmtId="49" fontId="5" fillId="7" borderId="1" xfId="4" applyNumberFormat="1" applyFont="1" applyFill="1" applyBorder="1" applyAlignment="1">
      <alignment vertical="center"/>
    </xf>
    <xf numFmtId="170" fontId="5" fillId="7" borderId="1" xfId="4" applyNumberFormat="1" applyFont="1" applyFill="1" applyBorder="1" applyAlignment="1">
      <alignment vertical="center"/>
    </xf>
    <xf numFmtId="173" fontId="5" fillId="7" borderId="1" xfId="4" applyNumberFormat="1" applyFont="1" applyFill="1" applyBorder="1" applyAlignment="1">
      <alignment vertical="center"/>
    </xf>
    <xf numFmtId="49" fontId="5" fillId="0" borderId="1" xfId="4" applyNumberFormat="1" applyFont="1" applyBorder="1" applyAlignment="1">
      <alignment vertical="center"/>
    </xf>
    <xf numFmtId="170" fontId="5" fillId="0" borderId="1" xfId="4" applyNumberFormat="1" applyFont="1" applyBorder="1" applyAlignment="1">
      <alignment vertical="center"/>
    </xf>
    <xf numFmtId="173" fontId="5" fillId="0" borderId="1" xfId="4" applyNumberFormat="1" applyFont="1" applyBorder="1" applyAlignment="1">
      <alignment vertical="center"/>
    </xf>
    <xf numFmtId="170" fontId="5" fillId="0" borderId="0" xfId="4" applyNumberFormat="1" applyFont="1"/>
    <xf numFmtId="49" fontId="3" fillId="7" borderId="22" xfId="3" applyNumberFormat="1" applyFont="1" applyFill="1" applyBorder="1" applyAlignment="1">
      <alignment vertical="center"/>
    </xf>
    <xf numFmtId="170" fontId="3" fillId="7" borderId="26" xfId="4" applyNumberFormat="1" applyFont="1" applyFill="1" applyBorder="1"/>
    <xf numFmtId="173" fontId="3" fillId="7" borderId="26" xfId="4" applyNumberFormat="1" applyFont="1" applyFill="1" applyBorder="1"/>
    <xf numFmtId="0" fontId="5" fillId="0" borderId="0" xfId="4" applyFont="1" applyAlignment="1"/>
    <xf numFmtId="37" fontId="3" fillId="3" borderId="3" xfId="4" quotePrefix="1" applyNumberFormat="1" applyFont="1" applyFill="1" applyBorder="1" applyAlignment="1" applyProtection="1">
      <alignment horizontal="centerContinuous" vertical="center"/>
    </xf>
    <xf numFmtId="0" fontId="3" fillId="5" borderId="22" xfId="4" applyNumberFormat="1" applyFont="1" applyFill="1" applyBorder="1" applyAlignment="1">
      <alignment horizontal="center" wrapText="1"/>
    </xf>
    <xf numFmtId="0" fontId="5" fillId="0" borderId="11" xfId="4" applyFont="1" applyBorder="1"/>
    <xf numFmtId="170" fontId="5" fillId="0" borderId="11" xfId="4" applyNumberFormat="1" applyFont="1" applyBorder="1"/>
    <xf numFmtId="0" fontId="25" fillId="0" borderId="0" xfId="4" applyFont="1"/>
    <xf numFmtId="170" fontId="25" fillId="0" borderId="0" xfId="4" applyNumberFormat="1" applyFont="1"/>
    <xf numFmtId="165" fontId="5" fillId="0" borderId="0" xfId="0" applyNumberFormat="1" applyFont="1" applyFill="1"/>
    <xf numFmtId="37" fontId="26" fillId="0" borderId="0" xfId="0" applyFont="1"/>
    <xf numFmtId="37" fontId="5" fillId="0" borderId="26" xfId="0" applyFont="1" applyBorder="1"/>
    <xf numFmtId="37" fontId="26" fillId="0" borderId="26" xfId="0" applyFont="1" applyBorder="1"/>
    <xf numFmtId="37" fontId="3" fillId="8" borderId="9" xfId="0" applyFont="1" applyFill="1" applyBorder="1" applyAlignment="1">
      <alignment horizontal="center" wrapText="1"/>
    </xf>
    <xf numFmtId="49" fontId="5" fillId="0" borderId="0" xfId="0" quotePrefix="1" applyNumberFormat="1" applyFont="1" applyAlignment="1"/>
    <xf numFmtId="37" fontId="20" fillId="0" borderId="0" xfId="0" applyFont="1"/>
    <xf numFmtId="37" fontId="20" fillId="0" borderId="11" xfId="0" applyFont="1" applyBorder="1"/>
    <xf numFmtId="37" fontId="3" fillId="8" borderId="50" xfId="0" applyFont="1" applyFill="1" applyBorder="1" applyAlignment="1">
      <alignment horizontal="centerContinuous" vertical="center" wrapText="1"/>
    </xf>
    <xf numFmtId="37" fontId="3" fillId="8" borderId="51" xfId="0" applyFont="1" applyFill="1" applyBorder="1" applyAlignment="1">
      <alignment horizontal="centerContinuous" vertical="center" wrapText="1"/>
    </xf>
    <xf numFmtId="37" fontId="5" fillId="10" borderId="26" xfId="0" applyNumberFormat="1" applyFont="1" applyFill="1" applyBorder="1" applyProtection="1"/>
    <xf numFmtId="37" fontId="27" fillId="0" borderId="0" xfId="0" applyNumberFormat="1" applyFont="1"/>
    <xf numFmtId="37" fontId="5" fillId="0" borderId="0" xfId="0" applyNumberFormat="1" applyFont="1" applyAlignment="1">
      <alignment horizontal="right"/>
    </xf>
    <xf numFmtId="37" fontId="28" fillId="0" borderId="26" xfId="0" quotePrefix="1" applyNumberFormat="1" applyFont="1" applyBorder="1"/>
    <xf numFmtId="176" fontId="0" fillId="0" borderId="0" xfId="0" quotePrefix="1" applyNumberFormat="1" applyBorder="1" applyAlignment="1" applyProtection="1">
      <alignment horizontal="right"/>
    </xf>
    <xf numFmtId="176" fontId="0" fillId="0" borderId="0" xfId="0" applyNumberFormat="1" applyBorder="1" applyAlignment="1" applyProtection="1">
      <alignment horizontal="right"/>
    </xf>
    <xf numFmtId="176" fontId="0" fillId="0" borderId="3" xfId="0" quotePrefix="1" applyNumberFormat="1" applyBorder="1" applyAlignment="1" applyProtection="1">
      <alignment horizontal="right"/>
    </xf>
    <xf numFmtId="37" fontId="0" fillId="0" borderId="0" xfId="0" applyNumberFormat="1" applyProtection="1"/>
    <xf numFmtId="176" fontId="0" fillId="0" borderId="0" xfId="0" applyNumberFormat="1" applyAlignment="1" applyProtection="1">
      <alignment horizontal="right"/>
    </xf>
    <xf numFmtId="176" fontId="20" fillId="0" borderId="0" xfId="0" quotePrefix="1" applyNumberFormat="1" applyFont="1" applyBorder="1" applyAlignment="1" applyProtection="1">
      <alignment horizontal="right"/>
    </xf>
    <xf numFmtId="49" fontId="5" fillId="0" borderId="0" xfId="0" applyNumberFormat="1" applyFont="1" applyFill="1" applyAlignment="1"/>
    <xf numFmtId="37" fontId="5" fillId="0" borderId="0" xfId="0" applyFont="1" applyFill="1" applyAlignment="1"/>
    <xf numFmtId="37" fontId="5" fillId="0" borderId="0" xfId="0" applyFont="1" applyFill="1" applyAlignment="1">
      <alignment wrapText="1"/>
    </xf>
    <xf numFmtId="168" fontId="3" fillId="7" borderId="20" xfId="6" applyNumberFormat="1" applyFont="1" applyFill="1" applyBorder="1"/>
    <xf numFmtId="170" fontId="3" fillId="7" borderId="34" xfId="0" applyNumberFormat="1" applyFont="1" applyFill="1" applyBorder="1" applyAlignment="1">
      <alignment vertical="center"/>
    </xf>
    <xf numFmtId="174" fontId="3" fillId="7" borderId="52" xfId="0" applyNumberFormat="1" applyFont="1" applyFill="1" applyBorder="1" applyAlignment="1">
      <alignment vertical="center"/>
    </xf>
    <xf numFmtId="37" fontId="29" fillId="0" borderId="0" xfId="0" applyFont="1"/>
    <xf numFmtId="0" fontId="5" fillId="0" borderId="0" xfId="0" applyNumberFormat="1" applyFont="1" applyAlignment="1">
      <alignment horizontal="left"/>
    </xf>
    <xf numFmtId="37" fontId="17" fillId="11" borderId="0" xfId="7" applyFont="1" applyFill="1"/>
    <xf numFmtId="37" fontId="17" fillId="0" borderId="0" xfId="7" applyFont="1"/>
    <xf numFmtId="37" fontId="30" fillId="11" borderId="53" xfId="7" quotePrefix="1" applyFont="1" applyFill="1" applyBorder="1" applyAlignment="1">
      <alignment horizontal="center"/>
    </xf>
    <xf numFmtId="37" fontId="18" fillId="11" borderId="0" xfId="7" applyFont="1" applyFill="1"/>
    <xf numFmtId="37" fontId="31" fillId="11" borderId="0" xfId="7" applyFont="1" applyFill="1" applyAlignment="1"/>
    <xf numFmtId="37" fontId="17" fillId="11" borderId="0" xfId="7" applyFont="1" applyFill="1" applyAlignment="1"/>
    <xf numFmtId="37" fontId="31" fillId="11" borderId="0" xfId="7" applyFont="1" applyFill="1" applyAlignment="1">
      <alignment wrapText="1"/>
    </xf>
    <xf numFmtId="37" fontId="33" fillId="11" borderId="0" xfId="8" applyNumberFormat="1" applyFont="1" applyFill="1" applyAlignment="1" applyProtection="1">
      <alignment horizontal="center" wrapText="1"/>
    </xf>
    <xf numFmtId="37" fontId="31" fillId="11" borderId="0" xfId="7" applyFont="1" applyFill="1" applyAlignment="1">
      <alignment wrapText="1"/>
    </xf>
    <xf numFmtId="37" fontId="31" fillId="11" borderId="0" xfId="7" quotePrefix="1" applyFont="1" applyFill="1" applyAlignment="1">
      <alignment horizontal="left" wrapText="1"/>
    </xf>
    <xf numFmtId="37" fontId="3" fillId="3" borderId="27" xfId="0" applyFont="1" applyFill="1" applyBorder="1" applyAlignment="1">
      <alignment horizontal="center" vertical="center"/>
    </xf>
    <xf numFmtId="37" fontId="3" fillId="3" borderId="11" xfId="0" applyFont="1" applyFill="1" applyBorder="1" applyAlignment="1">
      <alignment horizontal="center" vertical="center"/>
    </xf>
    <xf numFmtId="37" fontId="3" fillId="7" borderId="4" xfId="0" applyFont="1" applyFill="1" applyBorder="1" applyAlignment="1" applyProtection="1">
      <alignment horizontal="center"/>
    </xf>
    <xf numFmtId="37" fontId="3" fillId="7" borderId="9" xfId="0" applyFont="1" applyFill="1" applyBorder="1" applyAlignment="1" applyProtection="1">
      <alignment horizontal="center"/>
    </xf>
    <xf numFmtId="37" fontId="3" fillId="7" borderId="37" xfId="0" applyFont="1" applyFill="1" applyBorder="1" applyAlignment="1" applyProtection="1">
      <alignment horizontal="center"/>
    </xf>
    <xf numFmtId="37" fontId="3" fillId="7" borderId="42" xfId="0" applyFont="1" applyFill="1" applyBorder="1" applyAlignment="1" applyProtection="1">
      <alignment horizontal="center"/>
    </xf>
    <xf numFmtId="37" fontId="3" fillId="7" borderId="38" xfId="0" applyFont="1" applyFill="1" applyBorder="1" applyAlignment="1" applyProtection="1">
      <alignment horizontal="center"/>
    </xf>
    <xf numFmtId="37" fontId="3" fillId="7" borderId="43" xfId="0" applyFont="1" applyFill="1" applyBorder="1" applyAlignment="1" applyProtection="1">
      <alignment horizontal="center"/>
    </xf>
    <xf numFmtId="49" fontId="3" fillId="0" borderId="19" xfId="0" applyNumberFormat="1" applyFont="1" applyBorder="1" applyAlignment="1">
      <alignment horizontal="center"/>
    </xf>
    <xf numFmtId="49" fontId="3" fillId="0" borderId="0" xfId="0" applyNumberFormat="1" applyFont="1" applyBorder="1" applyAlignment="1">
      <alignment horizontal="center"/>
    </xf>
    <xf numFmtId="49" fontId="3" fillId="0" borderId="35" xfId="0" applyNumberFormat="1" applyFont="1" applyBorder="1" applyAlignment="1">
      <alignment horizontal="center"/>
    </xf>
    <xf numFmtId="49" fontId="3" fillId="0" borderId="4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10" fillId="0" borderId="14" xfId="0" applyNumberFormat="1" applyFont="1" applyBorder="1" applyAlignment="1">
      <alignment horizontal="right" vertical="center" textRotation="180"/>
    </xf>
    <xf numFmtId="37" fontId="3" fillId="0" borderId="12" xfId="0" applyFont="1" applyBorder="1" applyAlignment="1">
      <alignment horizontal="center"/>
    </xf>
    <xf numFmtId="37" fontId="3" fillId="0" borderId="10" xfId="0" applyFont="1" applyBorder="1" applyAlignment="1">
      <alignment horizontal="center"/>
    </xf>
    <xf numFmtId="49" fontId="10" fillId="0" borderId="19" xfId="0" applyNumberFormat="1" applyFont="1" applyBorder="1" applyAlignment="1">
      <alignment horizontal="right" vertical="center" textRotation="180"/>
    </xf>
    <xf numFmtId="37" fontId="0" fillId="0" borderId="19" xfId="0" applyBorder="1" applyAlignment="1">
      <alignment horizontal="right" vertical="center" textRotation="180"/>
    </xf>
    <xf numFmtId="37" fontId="3" fillId="0" borderId="27" xfId="0" applyFont="1" applyBorder="1" applyAlignment="1">
      <alignment horizontal="center" vertical="center"/>
    </xf>
    <xf numFmtId="37" fontId="3" fillId="0" borderId="11" xfId="0" applyFont="1" applyBorder="1" applyAlignment="1">
      <alignment horizontal="center" vertical="center"/>
    </xf>
    <xf numFmtId="37" fontId="3" fillId="8" borderId="4" xfId="0" applyFont="1" applyFill="1" applyBorder="1" applyAlignment="1">
      <alignment horizontal="center" wrapText="1"/>
    </xf>
    <xf numFmtId="37" fontId="3" fillId="8" borderId="9" xfId="0" applyFont="1" applyFill="1" applyBorder="1" applyAlignment="1">
      <alignment horizontal="center" wrapText="1"/>
    </xf>
    <xf numFmtId="49" fontId="3" fillId="0" borderId="0" xfId="5" applyNumberFormat="1" applyFont="1" applyFill="1" applyBorder="1" applyAlignment="1" applyProtection="1">
      <alignment horizontal="center"/>
    </xf>
    <xf numFmtId="39" fontId="3" fillId="0" borderId="2" xfId="5" applyFont="1" applyBorder="1" applyAlignment="1">
      <alignment horizontal="center" vertical="center"/>
    </xf>
    <xf numFmtId="39" fontId="3" fillId="0" borderId="3" xfId="5" quotePrefix="1" applyFont="1" applyBorder="1" applyAlignment="1">
      <alignment horizontal="center" vertical="center"/>
    </xf>
    <xf numFmtId="39" fontId="3" fillId="0" borderId="3" xfId="5" applyFont="1" applyBorder="1" applyAlignment="1">
      <alignment horizontal="center" vertical="center"/>
    </xf>
    <xf numFmtId="37" fontId="3" fillId="8" borderId="18" xfId="0" applyFont="1" applyFill="1" applyBorder="1" applyAlignment="1">
      <alignment horizontal="center" wrapText="1"/>
    </xf>
    <xf numFmtId="37" fontId="3" fillId="8" borderId="5" xfId="0" applyFont="1" applyFill="1" applyBorder="1" applyAlignment="1">
      <alignment horizontal="center" wrapText="1"/>
    </xf>
  </cellXfs>
  <cellStyles count="9">
    <cellStyle name="BODY" xfId="1"/>
    <cellStyle name="Comma" xfId="2" builtinId="3"/>
    <cellStyle name="Comma_Direct Support" xfId="3"/>
    <cellStyle name="Hyperlink" xfId="8" builtinId="8"/>
    <cellStyle name="Normal" xfId="0" builtinId="0"/>
    <cellStyle name="Normal 2" xfId="7"/>
    <cellStyle name="Normal_Direct Support" xfId="4"/>
    <cellStyle name="Normal_Draft Personnel_ 10B" xfId="5"/>
    <cellStyle name="Percent"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usfb/Age%20and%20Area/Age%20and%20Area%202006-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usfb/Internet%20Projects/Forms/_Web%20Site/FB115A_Fe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8-09%20FRAME%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usfb/Frame/REPORTS/2008-09%20FRAME%20Budg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6">
          <cell r="A56" t="str">
            <v>BR</v>
          </cell>
        </row>
        <row r="57">
          <cell r="A57" t="str">
            <v>BR</v>
          </cell>
        </row>
        <row r="58">
          <cell r="A58" t="str">
            <v>BR</v>
          </cell>
        </row>
        <row r="59">
          <cell r="A59" t="str">
            <v>BR</v>
          </cell>
        </row>
        <row r="60">
          <cell r="A60" t="str">
            <v>DI</v>
          </cell>
        </row>
        <row r="61">
          <cell r="A61" t="str">
            <v>DI</v>
          </cell>
        </row>
        <row r="62">
          <cell r="A62" t="str">
            <v>DI</v>
          </cell>
        </row>
        <row r="63">
          <cell r="A63" t="str">
            <v>DI</v>
          </cell>
        </row>
        <row r="64">
          <cell r="A64" t="str">
            <v>DI</v>
          </cell>
        </row>
        <row r="65">
          <cell r="A65" t="str">
            <v>DI</v>
          </cell>
        </row>
        <row r="66">
          <cell r="A66" t="str">
            <v>DI</v>
          </cell>
        </row>
        <row r="67">
          <cell r="A67" t="str">
            <v>DI</v>
          </cell>
        </row>
        <row r="68">
          <cell r="A68" t="str">
            <v>DI</v>
          </cell>
        </row>
        <row r="69">
          <cell r="A69"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7">
          <cell r="A87"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199">
          <cell r="A199"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09">
          <cell r="A209"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7">
          <cell r="A407"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19">
          <cell r="A419"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7">
          <cell r="A497"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6">
          <cell r="A546"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5">
          <cell r="A595"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2">
          <cell r="A622"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5">
          <cell r="A645"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0">
          <cell r="A660"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row r="695">
          <cell r="A695" t="str">
            <v>WI</v>
          </cell>
        </row>
        <row r="696">
          <cell r="A696" t="str">
            <v>PS</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8 -"/>
      <sheetName val="- 50 - "/>
      <sheetName val="- 51 -"/>
      <sheetName val="- 52 -"/>
      <sheetName val="- 53 -"/>
      <sheetName val="- 54 -"/>
      <sheetName val="- 55 -"/>
      <sheetName val="- 56 -"/>
      <sheetName val="- 57 -"/>
      <sheetName val="- 58 -"/>
      <sheetName val="- 59 -"/>
    </sheetNames>
    <sheetDataSet>
      <sheetData sheetId="0"/>
      <sheetData sheetId="1">
        <row r="3">
          <cell r="A3" t="str">
            <v>OPERATING FUND 2008/2009 BUDGET</v>
          </cell>
        </row>
      </sheetData>
      <sheetData sheetId="2"/>
      <sheetData sheetId="3">
        <row r="3">
          <cell r="B3" t="str">
            <v>ESTIMATE SEPTEMBER 30,2008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 xml:space="preserve"> ANALYSIS OF OPERATING FUND REVENUE: 2008/2009 BUDGET</v>
          </cell>
        </row>
      </sheetData>
      <sheetData sheetId="37"/>
      <sheetData sheetId="38"/>
      <sheetData sheetId="39"/>
      <sheetData sheetId="40">
        <row r="3">
          <cell r="B3" t="str">
            <v>FOR THE 2008 TAXATION YEAR</v>
          </cell>
        </row>
      </sheetData>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du.gov.mb.ca/k12/finance/frame_repor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autoPageBreaks="0"/>
  </sheetPr>
  <dimension ref="A1:C25"/>
  <sheetViews>
    <sheetView showGridLines="0" showRowColHeaders="0" tabSelected="1" workbookViewId="0"/>
  </sheetViews>
  <sheetFormatPr defaultColWidth="0" defaultRowHeight="14.25" customHeight="1" zeroHeight="1"/>
  <cols>
    <col min="1" max="1" width="15.83203125" style="631" customWidth="1"/>
    <col min="2" max="2" width="120.83203125" style="631" customWidth="1"/>
    <col min="3" max="3" width="80.83203125" style="631" customWidth="1"/>
    <col min="4" max="16384" width="9.33203125" style="631" hidden="1"/>
  </cols>
  <sheetData>
    <row r="1" spans="1:3" ht="0.95" customHeight="1">
      <c r="A1" s="630"/>
      <c r="B1" s="630"/>
      <c r="C1" s="630"/>
    </row>
    <row r="2" spans="1:3" ht="24.95" customHeight="1" thickBot="1">
      <c r="A2" s="630"/>
      <c r="B2" s="630"/>
      <c r="C2" s="630"/>
    </row>
    <row r="3" spans="1:3" ht="17.25" thickTop="1" thickBot="1">
      <c r="A3" s="630"/>
      <c r="B3" s="632" t="s">
        <v>703</v>
      </c>
      <c r="C3" s="630"/>
    </row>
    <row r="4" spans="1:3" ht="15.75" thickTop="1">
      <c r="A4" s="630"/>
      <c r="B4" s="633"/>
      <c r="C4" s="630"/>
    </row>
    <row r="5" spans="1:3" ht="15">
      <c r="A5" s="630"/>
      <c r="B5" s="634" t="s">
        <v>697</v>
      </c>
      <c r="C5" s="635"/>
    </row>
    <row r="6" spans="1:3" ht="15">
      <c r="A6" s="630"/>
      <c r="B6" s="633"/>
      <c r="C6" s="630"/>
    </row>
    <row r="7" spans="1:3">
      <c r="A7" s="630"/>
      <c r="B7" s="638" t="s">
        <v>698</v>
      </c>
      <c r="C7" s="630"/>
    </row>
    <row r="8" spans="1:3">
      <c r="A8" s="630"/>
      <c r="B8" s="638"/>
      <c r="C8" s="630"/>
    </row>
    <row r="9" spans="1:3" ht="15">
      <c r="A9" s="630"/>
      <c r="B9" s="633"/>
      <c r="C9" s="630"/>
    </row>
    <row r="10" spans="1:3">
      <c r="A10" s="630"/>
      <c r="B10" s="638" t="s">
        <v>699</v>
      </c>
      <c r="C10" s="630"/>
    </row>
    <row r="11" spans="1:3">
      <c r="A11" s="630"/>
      <c r="B11" s="638"/>
      <c r="C11" s="630"/>
    </row>
    <row r="12" spans="1:3" ht="15">
      <c r="A12" s="630"/>
      <c r="B12" s="633"/>
      <c r="C12" s="630"/>
    </row>
    <row r="13" spans="1:3" ht="14.25" customHeight="1">
      <c r="A13" s="630"/>
      <c r="B13" s="639" t="s">
        <v>700</v>
      </c>
      <c r="C13" s="630"/>
    </row>
    <row r="14" spans="1:3">
      <c r="A14" s="630"/>
      <c r="B14" s="638"/>
      <c r="C14" s="630"/>
    </row>
    <row r="15" spans="1:3">
      <c r="A15" s="630"/>
      <c r="B15" s="638"/>
      <c r="C15" s="630"/>
    </row>
    <row r="16" spans="1:3" ht="15">
      <c r="A16" s="630"/>
      <c r="B16" s="636"/>
      <c r="C16" s="630"/>
    </row>
    <row r="17" spans="1:3">
      <c r="A17" s="630"/>
      <c r="B17" s="638" t="s">
        <v>701</v>
      </c>
      <c r="C17" s="630"/>
    </row>
    <row r="18" spans="1:3">
      <c r="A18" s="630"/>
      <c r="B18" s="638"/>
      <c r="C18" s="630"/>
    </row>
    <row r="19" spans="1:3" ht="15">
      <c r="A19" s="630"/>
      <c r="B19" s="636"/>
      <c r="C19" s="630"/>
    </row>
    <row r="20" spans="1:3" ht="15">
      <c r="A20" s="630"/>
      <c r="B20" s="637" t="s">
        <v>702</v>
      </c>
      <c r="C20" s="630"/>
    </row>
    <row r="21" spans="1:3" ht="15">
      <c r="A21" s="630"/>
      <c r="B21" s="636"/>
      <c r="C21" s="630"/>
    </row>
    <row r="22" spans="1:3" ht="15">
      <c r="A22" s="630"/>
      <c r="B22" s="636"/>
      <c r="C22" s="630"/>
    </row>
    <row r="23" spans="1:3" ht="15">
      <c r="A23" s="630"/>
      <c r="B23" s="636"/>
      <c r="C23" s="630"/>
    </row>
    <row r="24" spans="1:3">
      <c r="A24" s="630"/>
      <c r="B24" s="635"/>
      <c r="C24" s="630"/>
    </row>
    <row r="25" spans="1:3" ht="200.1" customHeight="1">
      <c r="A25" s="630"/>
      <c r="B25" s="635"/>
      <c r="C25" s="630"/>
    </row>
  </sheetData>
  <mergeCells count="4">
    <mergeCell ref="B7:B8"/>
    <mergeCell ref="B10:B11"/>
    <mergeCell ref="B13:B15"/>
    <mergeCell ref="B17:B18"/>
  </mergeCells>
  <hyperlinks>
    <hyperlink ref="B20" r:id="rId1"/>
  </hyperlink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codeName="Sheet9">
    <pageSetUpPr fitToPage="1"/>
  </sheetPr>
  <dimension ref="A2:N55"/>
  <sheetViews>
    <sheetView showGridLines="0" showZeros="0" workbookViewId="0"/>
  </sheetViews>
  <sheetFormatPr defaultColWidth="14.83203125" defaultRowHeight="12"/>
  <cols>
    <col min="1" max="1" width="48.83203125" style="1" customWidth="1"/>
    <col min="2" max="2" width="21.83203125" style="1" customWidth="1"/>
    <col min="3" max="3" width="7.83203125" style="1" customWidth="1"/>
    <col min="4" max="4" width="16.83203125" style="1" customWidth="1"/>
    <col min="5" max="5" width="7.83203125" style="1" customWidth="1"/>
    <col min="6" max="6" width="16.83203125" style="1" customWidth="1"/>
    <col min="7" max="7" width="7.83203125" style="1" customWidth="1"/>
    <col min="8" max="8" width="12.83203125" style="1" customWidth="1"/>
    <col min="9" max="9" width="7.83203125" style="1" customWidth="1"/>
    <col min="10" max="10" width="16.83203125" style="1" customWidth="1"/>
    <col min="11" max="11" width="8.83203125" style="1" customWidth="1"/>
    <col min="12" max="12" width="5.83203125" style="1" customWidth="1"/>
    <col min="13" max="13" width="45.6640625" style="1" hidden="1" customWidth="1"/>
    <col min="14" max="14" width="0" style="1" hidden="1" customWidth="1"/>
    <col min="15" max="16384" width="14.83203125" style="1"/>
  </cols>
  <sheetData>
    <row r="2" spans="1:14">
      <c r="A2" s="72"/>
      <c r="B2" s="72"/>
      <c r="C2" s="128" t="str">
        <f>OPYEAR</f>
        <v>OPERATING FUND 2013/2014 BUDGET</v>
      </c>
      <c r="D2" s="128"/>
      <c r="E2" s="128"/>
      <c r="F2" s="129"/>
      <c r="G2" s="129"/>
      <c r="H2" s="129"/>
      <c r="I2" s="129"/>
      <c r="J2" s="130"/>
      <c r="K2" s="131" t="s">
        <v>159</v>
      </c>
    </row>
    <row r="3" spans="1:14" ht="9.9499999999999993" customHeight="1">
      <c r="J3" s="115"/>
      <c r="K3" s="115"/>
    </row>
    <row r="4" spans="1:14" ht="15.75">
      <c r="B4" s="342" t="s">
        <v>492</v>
      </c>
      <c r="C4" s="115"/>
      <c r="D4" s="115"/>
      <c r="E4" s="115"/>
      <c r="F4" s="115"/>
      <c r="G4" s="115"/>
      <c r="H4" s="115"/>
      <c r="I4" s="115"/>
      <c r="J4" s="115"/>
      <c r="K4" s="115"/>
    </row>
    <row r="5" spans="1:14" ht="15.75">
      <c r="B5" s="342" t="s">
        <v>493</v>
      </c>
      <c r="C5" s="115"/>
      <c r="D5" s="115"/>
      <c r="E5" s="115"/>
      <c r="F5" s="115"/>
      <c r="G5" s="115"/>
      <c r="H5" s="115"/>
      <c r="I5" s="115"/>
      <c r="J5" s="115"/>
      <c r="K5" s="115"/>
    </row>
    <row r="6" spans="1:14" ht="9.9499999999999993" customHeight="1"/>
    <row r="7" spans="1:14">
      <c r="B7" s="133" t="s">
        <v>160</v>
      </c>
      <c r="C7" s="129"/>
      <c r="D7" s="129"/>
      <c r="E7" s="129"/>
      <c r="F7" s="129"/>
      <c r="G7" s="129"/>
      <c r="H7" s="129"/>
      <c r="I7" s="134"/>
    </row>
    <row r="8" spans="1:14" ht="6" customHeight="1">
      <c r="B8" s="132"/>
    </row>
    <row r="9" spans="1:14">
      <c r="A9" s="4"/>
      <c r="B9" s="354" t="s">
        <v>469</v>
      </c>
      <c r="C9" s="356"/>
      <c r="D9" s="355" t="s">
        <v>23</v>
      </c>
      <c r="E9" s="356"/>
      <c r="F9" s="355" t="s">
        <v>24</v>
      </c>
      <c r="G9" s="356"/>
      <c r="H9" s="367"/>
      <c r="I9" s="368"/>
      <c r="J9" s="369"/>
      <c r="K9" s="368"/>
    </row>
    <row r="10" spans="1:14">
      <c r="A10" s="4"/>
      <c r="B10" s="357" t="s">
        <v>36</v>
      </c>
      <c r="C10" s="359"/>
      <c r="D10" s="358" t="s">
        <v>51</v>
      </c>
      <c r="E10" s="359"/>
      <c r="F10" s="358" t="s">
        <v>52</v>
      </c>
      <c r="G10" s="359"/>
      <c r="H10" s="358" t="s">
        <v>53</v>
      </c>
      <c r="I10" s="370"/>
      <c r="J10" s="358" t="s">
        <v>54</v>
      </c>
      <c r="K10" s="370"/>
    </row>
    <row r="11" spans="1:14">
      <c r="A11" s="135" t="s">
        <v>149</v>
      </c>
      <c r="B11" s="136" t="s">
        <v>82</v>
      </c>
      <c r="C11" s="136" t="s">
        <v>83</v>
      </c>
      <c r="D11" s="136" t="s">
        <v>82</v>
      </c>
      <c r="E11" s="136" t="s">
        <v>83</v>
      </c>
      <c r="F11" s="136" t="s">
        <v>82</v>
      </c>
      <c r="G11" s="136" t="s">
        <v>83</v>
      </c>
      <c r="H11" s="136" t="s">
        <v>82</v>
      </c>
      <c r="I11" s="137" t="s">
        <v>83</v>
      </c>
      <c r="J11" s="136" t="s">
        <v>82</v>
      </c>
      <c r="K11" s="137" t="s">
        <v>83</v>
      </c>
    </row>
    <row r="12" spans="1:14" ht="5.0999999999999996" customHeight="1"/>
    <row r="13" spans="1:14">
      <c r="A13" s="371" t="s">
        <v>152</v>
      </c>
      <c r="B13" s="139"/>
      <c r="C13" s="347"/>
      <c r="D13" s="139"/>
      <c r="E13" s="347"/>
      <c r="F13" s="139"/>
      <c r="G13" s="347"/>
      <c r="H13" s="139"/>
      <c r="I13" s="347"/>
      <c r="J13" s="139"/>
      <c r="K13" s="347"/>
      <c r="M13" s="1" t="s">
        <v>152</v>
      </c>
      <c r="N13" s="351">
        <f>K22</f>
        <v>76.473207502277717</v>
      </c>
    </row>
    <row r="14" spans="1:14">
      <c r="A14" s="140" t="s">
        <v>335</v>
      </c>
      <c r="B14" s="141"/>
      <c r="C14" s="344"/>
      <c r="D14" s="141"/>
      <c r="E14" s="344"/>
      <c r="F14" s="141"/>
      <c r="G14" s="344"/>
      <c r="H14" s="141"/>
      <c r="I14" s="344"/>
      <c r="J14" s="141">
        <f>SUM(F14,D14,B14,'- 12 -'!J14,'- 12 -'!H14,'- 12 -'!F14,'- 12 -'!D14,'- 12 -'!B14)</f>
        <v>4003411</v>
      </c>
      <c r="K14" s="344">
        <f t="shared" ref="K14:K23" si="0">J14/$J$54*100</f>
        <v>0.19226902937903856</v>
      </c>
      <c r="M14" s="1" t="s">
        <v>175</v>
      </c>
      <c r="N14" s="351">
        <f>K23</f>
        <v>6.2721864139948691</v>
      </c>
    </row>
    <row r="15" spans="1:14">
      <c r="A15" s="140" t="s">
        <v>336</v>
      </c>
      <c r="B15" s="141">
        <v>2531211</v>
      </c>
      <c r="C15" s="344">
        <f>B15/$J$54*100</f>
        <v>0.12156470622765075</v>
      </c>
      <c r="D15" s="141">
        <v>2553523</v>
      </c>
      <c r="E15" s="344">
        <f>D15/$J$54*100</f>
        <v>0.12263626909828911</v>
      </c>
      <c r="F15" s="141">
        <v>4479760</v>
      </c>
      <c r="G15" s="344">
        <f>F15/$J$54*100</f>
        <v>0.21514631074627155</v>
      </c>
      <c r="H15" s="141"/>
      <c r="I15" s="344"/>
      <c r="J15" s="141">
        <f>SUM(F15,D15,B15,'- 12 -'!J15,'- 12 -'!H15,'- 12 -'!F15,'- 12 -'!D15,'- 12 -'!B15)</f>
        <v>121741011</v>
      </c>
      <c r="K15" s="344">
        <f t="shared" si="0"/>
        <v>5.8467706714581276</v>
      </c>
      <c r="M15" s="1" t="s">
        <v>139</v>
      </c>
      <c r="N15" s="351">
        <f>K40</f>
        <v>9.0905770064885445</v>
      </c>
    </row>
    <row r="16" spans="1:14">
      <c r="A16" s="140" t="s">
        <v>337</v>
      </c>
      <c r="B16" s="141">
        <v>24996349</v>
      </c>
      <c r="C16" s="344">
        <f>B16/$J$54*100</f>
        <v>1.2004822288417805</v>
      </c>
      <c r="D16" s="141"/>
      <c r="E16" s="344">
        <f>D16/$J$54*100</f>
        <v>0</v>
      </c>
      <c r="F16" s="141"/>
      <c r="G16" s="344">
        <f>F16/$J$54*100</f>
        <v>0</v>
      </c>
      <c r="H16" s="141"/>
      <c r="I16" s="344"/>
      <c r="J16" s="141">
        <f>SUM(F16,D16,B16,'- 12 -'!J16,'- 12 -'!H16,'- 12 -'!F16,'- 12 -'!D16,'- 12 -'!B16)</f>
        <v>1015054048</v>
      </c>
      <c r="K16" s="344">
        <f t="shared" si="0"/>
        <v>48.749293184293094</v>
      </c>
      <c r="M16" s="1" t="s">
        <v>176</v>
      </c>
      <c r="N16" s="351">
        <f>K46</f>
        <v>6.4203590848001868</v>
      </c>
    </row>
    <row r="17" spans="1:14">
      <c r="A17" s="140" t="s">
        <v>338</v>
      </c>
      <c r="B17" s="141">
        <v>12127550</v>
      </c>
      <c r="C17" s="344">
        <f>B17/$J$54*100</f>
        <v>0.58244138991618866</v>
      </c>
      <c r="D17" s="141">
        <v>295034</v>
      </c>
      <c r="E17" s="344">
        <f>D17/$J$54*100</f>
        <v>1.4169392254209039E-2</v>
      </c>
      <c r="F17" s="141"/>
      <c r="G17" s="344">
        <f>F17/$J$54*100</f>
        <v>0</v>
      </c>
      <c r="H17" s="141"/>
      <c r="I17" s="344"/>
      <c r="J17" s="141">
        <f>SUM(F17,D17,B17,'- 12 -'!J17,'- 12 -'!H17,'- 12 -'!F17,'- 12 -'!D17,'- 12 -'!B17)</f>
        <v>192599629</v>
      </c>
      <c r="K17" s="344">
        <f t="shared" si="0"/>
        <v>9.2498481236607795</v>
      </c>
      <c r="M17" s="1" t="s">
        <v>67</v>
      </c>
      <c r="N17" s="351">
        <f>K49</f>
        <v>0.11745855338102845</v>
      </c>
    </row>
    <row r="18" spans="1:14">
      <c r="A18" s="140" t="s">
        <v>339</v>
      </c>
      <c r="B18" s="141">
        <v>4307077</v>
      </c>
      <c r="C18" s="344">
        <f>B18/$J$54*100</f>
        <v>0.20685298468000943</v>
      </c>
      <c r="D18" s="141">
        <v>34908027</v>
      </c>
      <c r="E18" s="344">
        <f>D18/$J$54*100</f>
        <v>1.6765034788652156</v>
      </c>
      <c r="F18" s="141">
        <v>100598774</v>
      </c>
      <c r="G18" s="344">
        <f>F18/$J$54*100</f>
        <v>4.8313871929964867</v>
      </c>
      <c r="H18" s="141"/>
      <c r="I18" s="344"/>
      <c r="J18" s="141">
        <f>SUM(F18,D18,B18,'- 12 -'!J18,'- 12 -'!H18,'- 12 -'!F18,'- 12 -'!D18,'- 12 -'!B18)</f>
        <v>152779661</v>
      </c>
      <c r="K18" s="344">
        <f t="shared" si="0"/>
        <v>7.337442278429207</v>
      </c>
      <c r="M18" s="1" t="s">
        <v>95</v>
      </c>
      <c r="N18" s="351">
        <f>K52-N17</f>
        <v>1.6262114390576481</v>
      </c>
    </row>
    <row r="19" spans="1:14">
      <c r="A19" s="142" t="s">
        <v>340</v>
      </c>
      <c r="B19" s="143">
        <v>2900252</v>
      </c>
      <c r="C19" s="345">
        <f>B19/$J$54*100</f>
        <v>0.13928838108168642</v>
      </c>
      <c r="D19" s="143">
        <v>1297870</v>
      </c>
      <c r="E19" s="345">
        <f>D19/$J$54*100</f>
        <v>6.233189776422475E-2</v>
      </c>
      <c r="F19" s="143">
        <v>1630929</v>
      </c>
      <c r="G19" s="345">
        <f>F19/$J$54*100</f>
        <v>7.832749018677472E-2</v>
      </c>
      <c r="H19" s="143"/>
      <c r="I19" s="345"/>
      <c r="J19" s="143">
        <f>SUM(F19,D19,B19,'- 12 -'!J19,'- 12 -'!H19,'- 12 -'!F19,'- 12 -'!D19,'- 12 -'!B19)</f>
        <v>61446654</v>
      </c>
      <c r="K19" s="345">
        <f t="shared" si="0"/>
        <v>2.9510556181140575</v>
      </c>
      <c r="N19" s="351"/>
    </row>
    <row r="20" spans="1:14">
      <c r="A20" s="142" t="s">
        <v>341</v>
      </c>
      <c r="B20" s="144"/>
      <c r="C20" s="345"/>
      <c r="D20" s="144"/>
      <c r="E20" s="345"/>
      <c r="F20" s="144"/>
      <c r="G20" s="345"/>
      <c r="H20" s="144"/>
      <c r="I20" s="345"/>
      <c r="J20" s="144">
        <f>SUM(F20,D20,B20,'- 12 -'!J20,'- 12 -'!H20,'- 12 -'!F20,'- 12 -'!D20,'- 12 -'!B20)</f>
        <v>31359287</v>
      </c>
      <c r="K20" s="345">
        <f t="shared" si="0"/>
        <v>1.5060706166588196</v>
      </c>
      <c r="N20" s="351">
        <f>SUM(N13:N18)</f>
        <v>99.999999999999986</v>
      </c>
    </row>
    <row r="21" spans="1:14">
      <c r="A21" s="145" t="s">
        <v>342</v>
      </c>
      <c r="B21" s="146">
        <v>472810</v>
      </c>
      <c r="C21" s="346">
        <f>B21/'- 13 -'!$J$54*100</f>
        <v>2.2707316281216996E-2</v>
      </c>
      <c r="D21" s="146">
        <v>0</v>
      </c>
      <c r="E21" s="346">
        <f>D21/'- 13 -'!$J$54*100</f>
        <v>0</v>
      </c>
      <c r="F21" s="146">
        <v>0</v>
      </c>
      <c r="G21" s="346">
        <f>F21/'- 13 -'!$J$54*100</f>
        <v>0</v>
      </c>
      <c r="H21" s="146"/>
      <c r="I21" s="346"/>
      <c r="J21" s="146">
        <f>SUM(F21,D21,B21,'- 12 -'!J21,'- 12 -'!H21,'- 12 -'!F21,'- 12 -'!D21,'- 12 -'!B21)</f>
        <v>13335567</v>
      </c>
      <c r="K21" s="346">
        <f t="shared" si="0"/>
        <v>0.64045798028459655</v>
      </c>
      <c r="N21" s="351"/>
    </row>
    <row r="22" spans="1:14">
      <c r="A22" s="147" t="s">
        <v>343</v>
      </c>
      <c r="B22" s="153">
        <f>SUM(B14:B21)</f>
        <v>47335249</v>
      </c>
      <c r="C22" s="348">
        <f>B22/$J$54*100</f>
        <v>2.273337007028533</v>
      </c>
      <c r="D22" s="153">
        <f>SUM(D14:D21)</f>
        <v>39054454</v>
      </c>
      <c r="E22" s="348">
        <f>D22/$J$54*100</f>
        <v>1.8756410379819382</v>
      </c>
      <c r="F22" s="153">
        <f>SUM(F14:F21)</f>
        <v>106709463</v>
      </c>
      <c r="G22" s="348">
        <f>F22/$J$54*100</f>
        <v>5.1248609939295333</v>
      </c>
      <c r="H22" s="153"/>
      <c r="I22" s="348"/>
      <c r="J22" s="153">
        <f>SUM(F22,D22,B22,'- 12 -'!J22,'- 12 -'!H22,'- 12 -'!F22,'- 12 -'!D22,'- 12 -'!B22)</f>
        <v>1592319268</v>
      </c>
      <c r="K22" s="348">
        <f t="shared" si="0"/>
        <v>76.473207502277717</v>
      </c>
      <c r="N22" s="351"/>
    </row>
    <row r="23" spans="1:14">
      <c r="A23" s="371" t="s">
        <v>162</v>
      </c>
      <c r="B23" s="153">
        <v>4422067</v>
      </c>
      <c r="C23" s="348">
        <f>B23/$J$54*100</f>
        <v>0.21237552925219944</v>
      </c>
      <c r="D23" s="153">
        <v>5744774</v>
      </c>
      <c r="E23" s="348">
        <f>D23/$J$54*100</f>
        <v>0.27590025630192277</v>
      </c>
      <c r="F23" s="153">
        <v>17261499</v>
      </c>
      <c r="G23" s="348">
        <f>F23/$J$54*100</f>
        <v>0.82900597974008783</v>
      </c>
      <c r="H23" s="153"/>
      <c r="I23" s="348"/>
      <c r="J23" s="153">
        <f>SUM(F23,D23,B23,'- 12 -'!J23,'- 12 -'!H23,'- 12 -'!F23,'- 12 -'!D23,'- 12 -'!B23)</f>
        <v>130598985</v>
      </c>
      <c r="K23" s="348">
        <f t="shared" si="0"/>
        <v>6.2721864139948691</v>
      </c>
      <c r="N23" s="352"/>
    </row>
    <row r="24" spans="1:14">
      <c r="A24" s="371" t="s">
        <v>139</v>
      </c>
      <c r="B24" s="141"/>
      <c r="C24" s="344"/>
      <c r="D24" s="141"/>
      <c r="E24" s="344"/>
      <c r="F24" s="141"/>
      <c r="G24" s="344"/>
      <c r="H24" s="141"/>
      <c r="I24" s="344"/>
      <c r="J24" s="141"/>
      <c r="K24" s="344"/>
      <c r="M24" s="1" t="s">
        <v>49</v>
      </c>
      <c r="N24" s="351">
        <f>'- 12 -'!C51</f>
        <v>55.36151355516057</v>
      </c>
    </row>
    <row r="25" spans="1:14">
      <c r="A25" s="142" t="s">
        <v>344</v>
      </c>
      <c r="B25" s="143">
        <v>1650570</v>
      </c>
      <c r="C25" s="345">
        <f t="shared" ref="C25:C35" si="1">B25/$J$54*100</f>
        <v>7.9270774802327235E-2</v>
      </c>
      <c r="D25" s="143">
        <v>258700</v>
      </c>
      <c r="E25" s="345">
        <f t="shared" ref="E25:E35" si="2">D25/$J$54*100</f>
        <v>1.2424404564097285E-2</v>
      </c>
      <c r="F25" s="143">
        <v>4920010</v>
      </c>
      <c r="G25" s="345">
        <f t="shared" ref="G25:G35" si="3">F25/$J$54*100</f>
        <v>0.23628989060457783</v>
      </c>
      <c r="H25" s="143"/>
      <c r="I25" s="345"/>
      <c r="J25" s="143">
        <f>SUM(F25,D25,B25,'- 12 -'!J25,'- 12 -'!H25,'- 12 -'!F25,'- 12 -'!D25,'- 12 -'!B25)</f>
        <v>23378931</v>
      </c>
      <c r="K25" s="345">
        <f t="shared" ref="K25:K40" si="4">J25/$J$54*100</f>
        <v>1.1228036220336894</v>
      </c>
      <c r="L25" s="657" t="s">
        <v>215</v>
      </c>
      <c r="M25" s="1" t="s">
        <v>449</v>
      </c>
      <c r="N25" s="351">
        <f>'- 12 -'!E51</f>
        <v>18.744647921788363</v>
      </c>
    </row>
    <row r="26" spans="1:14">
      <c r="A26" s="142" t="s">
        <v>345</v>
      </c>
      <c r="B26" s="143">
        <v>128353</v>
      </c>
      <c r="C26" s="345">
        <f t="shared" si="1"/>
        <v>6.164320058042439E-3</v>
      </c>
      <c r="D26" s="143">
        <v>282953</v>
      </c>
      <c r="E26" s="345">
        <f t="shared" si="2"/>
        <v>1.3589186488693542E-2</v>
      </c>
      <c r="F26" s="143">
        <v>738240</v>
      </c>
      <c r="G26" s="345">
        <f t="shared" si="3"/>
        <v>3.5454937863931883E-2</v>
      </c>
      <c r="H26" s="143"/>
      <c r="I26" s="345"/>
      <c r="J26" s="143">
        <f>SUM(F26,D26,B26,'- 12 -'!J26,'- 12 -'!H26,'- 12 -'!F26,'- 12 -'!D26,'- 12 -'!B26)</f>
        <v>6772165</v>
      </c>
      <c r="K26" s="345">
        <f t="shared" si="4"/>
        <v>0.32524204768001502</v>
      </c>
      <c r="L26" s="658"/>
      <c r="M26" s="1" t="s">
        <v>212</v>
      </c>
      <c r="N26" s="351">
        <f>'- 12 -'!G51</f>
        <v>0.3599846594191124</v>
      </c>
    </row>
    <row r="27" spans="1:14">
      <c r="A27" s="142" t="s">
        <v>346</v>
      </c>
      <c r="B27" s="143"/>
      <c r="C27" s="345">
        <f t="shared" si="1"/>
        <v>0</v>
      </c>
      <c r="D27" s="143"/>
      <c r="E27" s="345">
        <f t="shared" si="2"/>
        <v>0</v>
      </c>
      <c r="F27" s="143">
        <v>44692014</v>
      </c>
      <c r="G27" s="345">
        <f t="shared" si="3"/>
        <v>2.1463922022431374</v>
      </c>
      <c r="H27" s="143"/>
      <c r="I27" s="345"/>
      <c r="J27" s="143">
        <f>SUM(F27,D27,B27,'- 12 -'!J27,'- 12 -'!H27,'- 12 -'!F27,'- 12 -'!D27,'- 12 -'!B27)</f>
        <v>44736689</v>
      </c>
      <c r="K27" s="345">
        <f t="shared" si="4"/>
        <v>2.1485377773258629</v>
      </c>
      <c r="L27" s="658"/>
      <c r="M27" s="1" t="s">
        <v>50</v>
      </c>
      <c r="N27" s="351">
        <f>'- 12 -'!I51</f>
        <v>0.94822186357107707</v>
      </c>
    </row>
    <row r="28" spans="1:14" ht="12.75" customHeight="1">
      <c r="A28" s="142" t="s">
        <v>425</v>
      </c>
      <c r="B28" s="143">
        <v>908364</v>
      </c>
      <c r="C28" s="345">
        <f t="shared" si="1"/>
        <v>4.3625364621034654E-2</v>
      </c>
      <c r="D28" s="143">
        <v>1001137</v>
      </c>
      <c r="E28" s="345">
        <f t="shared" si="2"/>
        <v>4.8080908821363212E-2</v>
      </c>
      <c r="F28" s="143">
        <v>865369</v>
      </c>
      <c r="G28" s="345">
        <f t="shared" si="3"/>
        <v>4.1560473727206428E-2</v>
      </c>
      <c r="H28" s="143"/>
      <c r="I28" s="345"/>
      <c r="J28" s="143">
        <f>SUM(F28,D28,B28,'- 12 -'!J28,'- 12 -'!H28,'- 12 -'!F28,'- 12 -'!D28,'- 12 -'!B28)</f>
        <v>10400648</v>
      </c>
      <c r="K28" s="345">
        <f t="shared" si="4"/>
        <v>0.49950467135975762</v>
      </c>
      <c r="L28" s="658"/>
      <c r="M28" s="1" t="s">
        <v>181</v>
      </c>
      <c r="N28" s="351">
        <f>'- 12 -'!K51</f>
        <v>3.4485002972628838</v>
      </c>
    </row>
    <row r="29" spans="1:14" ht="12.75" customHeight="1">
      <c r="A29" s="142" t="s">
        <v>347</v>
      </c>
      <c r="B29" s="143"/>
      <c r="C29" s="345">
        <f t="shared" si="1"/>
        <v>0</v>
      </c>
      <c r="D29" s="143">
        <v>21054697</v>
      </c>
      <c r="E29" s="345">
        <f t="shared" si="2"/>
        <v>1.0111792559044663</v>
      </c>
      <c r="F29" s="143"/>
      <c r="G29" s="345">
        <f t="shared" si="3"/>
        <v>0</v>
      </c>
      <c r="H29" s="143"/>
      <c r="I29" s="345"/>
      <c r="J29" s="143">
        <f>SUM(F29,D29,B29,'- 12 -'!J29,'- 12 -'!H29,'- 12 -'!F29,'- 12 -'!D29,'- 12 -'!B29)</f>
        <v>21054697</v>
      </c>
      <c r="K29" s="345">
        <f t="shared" si="4"/>
        <v>1.0111792559044663</v>
      </c>
      <c r="L29" s="658"/>
      <c r="M29" s="1" t="s">
        <v>178</v>
      </c>
      <c r="N29" s="351">
        <f>C54</f>
        <v>3.5450271628340668</v>
      </c>
    </row>
    <row r="30" spans="1:14" ht="12.75" customHeight="1">
      <c r="A30" s="142" t="s">
        <v>348</v>
      </c>
      <c r="B30" s="143">
        <v>250000</v>
      </c>
      <c r="C30" s="345">
        <f t="shared" si="1"/>
        <v>1.2006575728737229E-2</v>
      </c>
      <c r="D30" s="143"/>
      <c r="E30" s="345">
        <f t="shared" si="2"/>
        <v>0</v>
      </c>
      <c r="F30" s="143"/>
      <c r="G30" s="345">
        <f t="shared" si="3"/>
        <v>0</v>
      </c>
      <c r="H30" s="143"/>
      <c r="I30" s="345"/>
      <c r="J30" s="143">
        <f>SUM(F30,D30,B30,'- 12 -'!J30,'- 12 -'!H30,'- 12 -'!F30,'- 12 -'!D30,'- 12 -'!B30)</f>
        <v>1113413</v>
      </c>
      <c r="K30" s="345">
        <f t="shared" si="4"/>
        <v>5.3473110007442023E-2</v>
      </c>
      <c r="M30" s="1" t="s">
        <v>157</v>
      </c>
      <c r="N30" s="351">
        <f>E54</f>
        <v>4.2798532263738203</v>
      </c>
    </row>
    <row r="31" spans="1:14" ht="12.75" customHeight="1">
      <c r="A31" s="142" t="s">
        <v>349</v>
      </c>
      <c r="B31" s="143">
        <v>50630</v>
      </c>
      <c r="C31" s="345">
        <f t="shared" si="1"/>
        <v>2.4315717165838639E-3</v>
      </c>
      <c r="D31" s="143">
        <v>14250</v>
      </c>
      <c r="E31" s="345">
        <f t="shared" si="2"/>
        <v>6.8437481653802206E-4</v>
      </c>
      <c r="F31" s="143">
        <v>4600</v>
      </c>
      <c r="G31" s="345">
        <f t="shared" si="3"/>
        <v>2.2092099340876499E-4</v>
      </c>
      <c r="H31" s="143"/>
      <c r="I31" s="345"/>
      <c r="J31" s="143">
        <f>SUM(F31,D31,B31,'- 12 -'!J31,'- 12 -'!H31,'- 12 -'!F31,'- 12 -'!D31,'- 12 -'!B31)</f>
        <v>1090374</v>
      </c>
      <c r="K31" s="345">
        <f t="shared" si="4"/>
        <v>5.2366632014584504E-2</v>
      </c>
      <c r="M31" s="1" t="s">
        <v>177</v>
      </c>
      <c r="N31" s="351">
        <f>G54</f>
        <v>11.568581321151427</v>
      </c>
    </row>
    <row r="32" spans="1:14" ht="12.75" customHeight="1">
      <c r="A32" s="142" t="s">
        <v>350</v>
      </c>
      <c r="B32" s="143">
        <v>78863</v>
      </c>
      <c r="C32" s="345">
        <f t="shared" si="1"/>
        <v>3.7874983267816163E-3</v>
      </c>
      <c r="D32" s="143">
        <v>1040174</v>
      </c>
      <c r="E32" s="345">
        <f t="shared" si="2"/>
        <v>4.9955711608254072E-2</v>
      </c>
      <c r="F32" s="143">
        <v>7055005</v>
      </c>
      <c r="G32" s="345">
        <f t="shared" si="3"/>
        <v>0.33882580719647915</v>
      </c>
      <c r="H32" s="143"/>
      <c r="I32" s="345"/>
      <c r="J32" s="143">
        <f>SUM(F32,D32,B32,'- 12 -'!J32,'- 12 -'!H32,'- 12 -'!F32,'- 12 -'!D32,'- 12 -'!B32)</f>
        <v>9553391</v>
      </c>
      <c r="K32" s="345">
        <f t="shared" si="4"/>
        <v>0.45881405003094677</v>
      </c>
      <c r="M32" s="1" t="s">
        <v>53</v>
      </c>
      <c r="N32" s="351">
        <f>I54</f>
        <v>1.7436699924386765</v>
      </c>
    </row>
    <row r="33" spans="1:14">
      <c r="A33" s="142" t="s">
        <v>351</v>
      </c>
      <c r="B33" s="143">
        <v>139074</v>
      </c>
      <c r="C33" s="345">
        <f t="shared" si="1"/>
        <v>6.6792100515936049E-3</v>
      </c>
      <c r="D33" s="143">
        <v>1866150</v>
      </c>
      <c r="E33" s="345">
        <f t="shared" si="2"/>
        <v>8.9624285184731908E-2</v>
      </c>
      <c r="F33" s="143">
        <v>25486151</v>
      </c>
      <c r="G33" s="345">
        <f t="shared" si="3"/>
        <v>1.2240056080621282</v>
      </c>
      <c r="H33" s="143"/>
      <c r="I33" s="345"/>
      <c r="J33" s="143">
        <f>SUM(F33,D33,B33,'- 12 -'!J33,'- 12 -'!H33,'- 12 -'!F33,'- 12 -'!D33,'- 12 -'!B33)</f>
        <v>30749299</v>
      </c>
      <c r="K33" s="345">
        <f t="shared" si="4"/>
        <v>1.4767751481963358</v>
      </c>
      <c r="N33" s="351"/>
    </row>
    <row r="34" spans="1:14">
      <c r="A34" s="142" t="s">
        <v>352</v>
      </c>
      <c r="B34" s="143">
        <v>235031</v>
      </c>
      <c r="C34" s="345">
        <f t="shared" si="1"/>
        <v>1.1287670000403359E-2</v>
      </c>
      <c r="D34" s="143">
        <v>878931</v>
      </c>
      <c r="E34" s="345">
        <f t="shared" si="2"/>
        <v>4.2211806447338962E-2</v>
      </c>
      <c r="F34" s="143">
        <v>2904926</v>
      </c>
      <c r="G34" s="345">
        <f t="shared" si="3"/>
        <v>0.13951285602151089</v>
      </c>
      <c r="H34" s="143"/>
      <c r="I34" s="345"/>
      <c r="J34" s="143">
        <f>SUM(F34,D34,B34,'- 12 -'!J34,'- 12 -'!H34,'- 12 -'!F34,'- 12 -'!D34,'- 12 -'!B34)</f>
        <v>7675697</v>
      </c>
      <c r="K34" s="345">
        <f t="shared" si="4"/>
        <v>0.36863534920536462</v>
      </c>
      <c r="N34" s="351">
        <f>SUM(N24:N32)</f>
        <v>99.999999999999986</v>
      </c>
    </row>
    <row r="35" spans="1:14">
      <c r="A35" s="516" t="s">
        <v>466</v>
      </c>
      <c r="B35" s="143"/>
      <c r="C35" s="345">
        <f t="shared" si="1"/>
        <v>0</v>
      </c>
      <c r="D35" s="143"/>
      <c r="E35" s="345">
        <f t="shared" si="2"/>
        <v>0</v>
      </c>
      <c r="F35" s="143">
        <v>5182578</v>
      </c>
      <c r="G35" s="345">
        <f t="shared" si="3"/>
        <v>0.24890006090835015</v>
      </c>
      <c r="H35" s="143"/>
      <c r="I35" s="345"/>
      <c r="J35" s="143">
        <f>SUM(F35,D35,B35,'- 12 -'!J35,'- 12 -'!H35,'- 12 -'!F35,'- 12 -'!D35,'- 12 -'!B35)</f>
        <v>5185646</v>
      </c>
      <c r="K35" s="345">
        <f t="shared" si="4"/>
        <v>0.24904740560569319</v>
      </c>
    </row>
    <row r="36" spans="1:14">
      <c r="A36" s="142" t="s">
        <v>353</v>
      </c>
      <c r="B36" s="143">
        <v>10100</v>
      </c>
      <c r="C36" s="345">
        <f>B36/J54</f>
        <v>4.8506565944098402E-6</v>
      </c>
      <c r="D36" s="143">
        <v>46450</v>
      </c>
      <c r="E36" s="345">
        <f>D36/J54</f>
        <v>2.2308217703993773E-5</v>
      </c>
      <c r="F36" s="143">
        <v>68374</v>
      </c>
      <c r="G36" s="345">
        <f>F36/J54</f>
        <v>3.2837504355067168E-5</v>
      </c>
      <c r="H36" s="143"/>
      <c r="I36" s="345"/>
      <c r="J36" s="143">
        <f>SUM(F36,D36,B36,'- 12 -'!J36,'- 12 -'!H36,'- 12 -'!F36,'- 12 -'!D36,'- 12 -'!B36)</f>
        <v>1232000</v>
      </c>
      <c r="K36" s="345">
        <f t="shared" si="4"/>
        <v>5.9168405191217063E-2</v>
      </c>
    </row>
    <row r="37" spans="1:14">
      <c r="A37" s="142" t="s">
        <v>354</v>
      </c>
      <c r="B37" s="143">
        <v>131022</v>
      </c>
      <c r="C37" s="345">
        <f>B37/$J$54*100</f>
        <v>6.2925022605224371E-3</v>
      </c>
      <c r="D37" s="143">
        <v>47580</v>
      </c>
      <c r="E37" s="345">
        <f>D37/$J$54*100</f>
        <v>2.2850914926932694E-3</v>
      </c>
      <c r="F37" s="143">
        <v>89459</v>
      </c>
      <c r="G37" s="345">
        <f>F37/$J$54*100</f>
        <v>4.2963850324684149E-3</v>
      </c>
      <c r="H37" s="143"/>
      <c r="I37" s="345"/>
      <c r="J37" s="143">
        <f>SUM(F37,D37,B37,'- 12 -'!J37,'- 12 -'!H37,'- 12 -'!F37,'- 12 -'!D37,'- 12 -'!B37)</f>
        <v>3497197</v>
      </c>
      <c r="K37" s="345">
        <f t="shared" si="4"/>
        <v>0.1679574424752506</v>
      </c>
    </row>
    <row r="38" spans="1:14">
      <c r="A38" s="149" t="s">
        <v>355</v>
      </c>
      <c r="B38" s="143">
        <v>9543433</v>
      </c>
      <c r="C38" s="345">
        <f>B38/'- 13 -'!$J$54*100</f>
        <v>0.45833580410651964</v>
      </c>
      <c r="D38" s="143">
        <v>244720</v>
      </c>
      <c r="E38" s="345">
        <f>D38/'- 13 -'!$J$54*100</f>
        <v>1.17529968493463E-2</v>
      </c>
      <c r="F38" s="143">
        <v>405141</v>
      </c>
      <c r="G38" s="345">
        <f>F38/'- 13 -'!$J$54*100</f>
        <v>1.9457424389265319E-2</v>
      </c>
      <c r="H38" s="143"/>
      <c r="I38" s="345"/>
      <c r="J38" s="143">
        <f>SUM(F38,D38,B38,'- 12 -'!J38,'- 12 -'!H38,'- 12 -'!F38,'- 12 -'!D38,'- 12 -'!B38)</f>
        <v>12479902</v>
      </c>
      <c r="K38" s="345">
        <f t="shared" si="4"/>
        <v>0.5993635538008768</v>
      </c>
    </row>
    <row r="39" spans="1:14">
      <c r="A39" s="150" t="s">
        <v>356</v>
      </c>
      <c r="B39" s="146">
        <v>655466</v>
      </c>
      <c r="C39" s="346">
        <f>B39/$J$54*100</f>
        <v>3.1479608666449901E-2</v>
      </c>
      <c r="D39" s="146">
        <v>55745</v>
      </c>
      <c r="E39" s="346">
        <f>D39/$J$54*100</f>
        <v>2.6772262559938273E-3</v>
      </c>
      <c r="F39" s="146">
        <v>180063</v>
      </c>
      <c r="G39" s="346">
        <f>F39/$J$54*100</f>
        <v>8.6477601817744471E-3</v>
      </c>
      <c r="H39" s="146"/>
      <c r="I39" s="346"/>
      <c r="J39" s="146">
        <f>SUM(F39,D39,B39,'- 12 -'!J39,'- 12 -'!H39,'- 12 -'!F39,'- 12 -'!D39,'- 12 -'!B39)</f>
        <v>10363249</v>
      </c>
      <c r="K39" s="346">
        <f t="shared" si="4"/>
        <v>0.49770853565704148</v>
      </c>
    </row>
    <row r="40" spans="1:14">
      <c r="A40" s="147" t="s">
        <v>357</v>
      </c>
      <c r="B40" s="153">
        <f>SUM(B25:B39)</f>
        <v>13780906</v>
      </c>
      <c r="C40" s="348">
        <f>B40/$J$54*100</f>
        <v>0.66184596599843704</v>
      </c>
      <c r="D40" s="153">
        <f>SUM(D25:D39)</f>
        <v>26791487</v>
      </c>
      <c r="E40" s="348">
        <f>D40/$J$54*100</f>
        <v>1.2866960702039161</v>
      </c>
      <c r="F40" s="153">
        <f>SUM(F25:F39)</f>
        <v>92591930</v>
      </c>
      <c r="G40" s="348">
        <f>F40/$J$54*100</f>
        <v>4.4468480776597454</v>
      </c>
      <c r="H40" s="153"/>
      <c r="I40" s="348"/>
      <c r="J40" s="153">
        <f>SUM(F40,D40,B40,'- 12 -'!J40,'- 12 -'!H40,'- 12 -'!F40,'- 12 -'!D40,'- 12 -'!B40)</f>
        <v>189283298</v>
      </c>
      <c r="K40" s="348">
        <f t="shared" si="4"/>
        <v>9.0905770064885445</v>
      </c>
    </row>
    <row r="41" spans="1:14">
      <c r="A41" s="371" t="s">
        <v>358</v>
      </c>
      <c r="B41" s="151"/>
      <c r="C41" s="349"/>
      <c r="D41" s="151"/>
      <c r="E41" s="349"/>
      <c r="F41" s="151"/>
      <c r="G41" s="349"/>
      <c r="H41" s="151"/>
      <c r="I41" s="349"/>
      <c r="J41" s="151"/>
      <c r="K41" s="349"/>
    </row>
    <row r="42" spans="1:14">
      <c r="A42" s="142" t="s">
        <v>359</v>
      </c>
      <c r="B42" s="143">
        <v>4501981</v>
      </c>
      <c r="C42" s="345">
        <f>B42/$J$54*100</f>
        <v>0.21621350322334462</v>
      </c>
      <c r="D42" s="143">
        <v>17129511</v>
      </c>
      <c r="E42" s="345">
        <f>D42/$J$54*100</f>
        <v>0.82266708407094957</v>
      </c>
      <c r="F42" s="143">
        <v>21189938</v>
      </c>
      <c r="G42" s="345">
        <f>F42/$J$54*100</f>
        <v>1.0176743811369868</v>
      </c>
      <c r="H42" s="143"/>
      <c r="I42" s="345"/>
      <c r="J42" s="143">
        <f>SUM(F42,D42,B42,'- 12 -'!J42,'- 12 -'!H42,'- 12 -'!F42,'- 12 -'!D42,'- 12 -'!B42)</f>
        <v>81965912</v>
      </c>
      <c r="K42" s="345">
        <f>J42/$J$54*100</f>
        <v>3.936519718412046</v>
      </c>
    </row>
    <row r="43" spans="1:14">
      <c r="A43" s="142" t="s">
        <v>360</v>
      </c>
      <c r="B43" s="143">
        <v>2995647</v>
      </c>
      <c r="C43" s="345">
        <f>B43/$J$54*100</f>
        <v>0.14386985024825799</v>
      </c>
      <c r="D43" s="143">
        <v>20750</v>
      </c>
      <c r="E43" s="345">
        <f>D43/$J$54*100</f>
        <v>9.9654578548519007E-4</v>
      </c>
      <c r="F43" s="143">
        <v>16762</v>
      </c>
      <c r="G43" s="345">
        <f>F43/$J$54*100</f>
        <v>8.0501688946037371E-4</v>
      </c>
      <c r="H43" s="143"/>
      <c r="I43" s="345"/>
      <c r="J43" s="143">
        <f>SUM(F43,D43,B43,'- 12 -'!J43,'- 12 -'!H43,'- 12 -'!F43,'- 12 -'!D43,'- 12 -'!B43)</f>
        <v>16344102</v>
      </c>
      <c r="K43" s="345">
        <f>J43/$J$54*100</f>
        <v>0.78494679352482233</v>
      </c>
    </row>
    <row r="44" spans="1:14">
      <c r="A44" s="142" t="s">
        <v>361</v>
      </c>
      <c r="B44" s="143">
        <v>182915</v>
      </c>
      <c r="C44" s="345">
        <f>B44/$J$54*100</f>
        <v>8.7847311976878804E-3</v>
      </c>
      <c r="D44" s="143">
        <v>330300</v>
      </c>
      <c r="E44" s="345">
        <f>D44/$J$54*100</f>
        <v>1.5863087852807625E-2</v>
      </c>
      <c r="F44" s="143">
        <v>2998072</v>
      </c>
      <c r="G44" s="345">
        <f>F44/$J$54*100</f>
        <v>0.14398631403282672</v>
      </c>
      <c r="H44" s="143"/>
      <c r="I44" s="345"/>
      <c r="J44" s="143">
        <f>SUM(F44,D44,B44,'- 12 -'!J44,'- 12 -'!H44,'- 12 -'!F44,'- 12 -'!D44,'- 12 -'!B44)</f>
        <v>14647274</v>
      </c>
      <c r="K44" s="345">
        <f>J44/$J$54*100</f>
        <v>0.70345441800225539</v>
      </c>
    </row>
    <row r="45" spans="1:14">
      <c r="A45" s="150" t="s">
        <v>362</v>
      </c>
      <c r="B45" s="146">
        <v>595519</v>
      </c>
      <c r="C45" s="346">
        <f>B45/$J$54*100</f>
        <v>2.8600575885607465E-2</v>
      </c>
      <c r="D45" s="146">
        <v>43500</v>
      </c>
      <c r="E45" s="346">
        <f>D45/$J$54*100</f>
        <v>2.0891441768002778E-3</v>
      </c>
      <c r="F45" s="146">
        <v>112450</v>
      </c>
      <c r="G45" s="346">
        <f>F45/$J$54*100</f>
        <v>5.4005577627860056E-3</v>
      </c>
      <c r="H45" s="146"/>
      <c r="I45" s="346"/>
      <c r="J45" s="146">
        <f>SUM(F45,D45,B45,'- 12 -'!J45,'- 12 -'!H45,'- 12 -'!F45,'- 12 -'!D45,'- 12 -'!B45)</f>
        <v>20726937</v>
      </c>
      <c r="K45" s="346">
        <f>J45/$J$54*100</f>
        <v>0.99543815486106257</v>
      </c>
    </row>
    <row r="46" spans="1:14">
      <c r="A46" s="147" t="s">
        <v>363</v>
      </c>
      <c r="B46" s="153">
        <f>SUM(B42:B45)</f>
        <v>8276062</v>
      </c>
      <c r="C46" s="348">
        <f>B46/$J$54*100</f>
        <v>0.39746866055489799</v>
      </c>
      <c r="D46" s="153">
        <f>SUM(D42:D45)</f>
        <v>17524061</v>
      </c>
      <c r="E46" s="348">
        <f>D46/$J$54*100</f>
        <v>0.84161586188604265</v>
      </c>
      <c r="F46" s="153">
        <f>SUM(F42:F45)</f>
        <v>24317222</v>
      </c>
      <c r="G46" s="348">
        <f>F46/$J$54*100</f>
        <v>1.1678662698220599</v>
      </c>
      <c r="H46" s="153"/>
      <c r="I46" s="348"/>
      <c r="J46" s="153">
        <f>SUM(F46,D46,B46,'- 12 -'!J46,'- 12 -'!H46,'- 12 -'!F46,'- 12 -'!D46,'- 12 -'!B46)</f>
        <v>133684225</v>
      </c>
      <c r="K46" s="348">
        <f>J46/$J$54*100</f>
        <v>6.4203590848001868</v>
      </c>
    </row>
    <row r="47" spans="1:14">
      <c r="A47" s="371" t="s">
        <v>95</v>
      </c>
      <c r="B47" s="151"/>
      <c r="C47" s="349"/>
      <c r="D47" s="151"/>
      <c r="E47" s="349"/>
      <c r="F47" s="151"/>
      <c r="G47" s="349"/>
      <c r="H47" s="151"/>
      <c r="I47" s="349"/>
      <c r="J47" s="151"/>
      <c r="K47" s="349"/>
    </row>
    <row r="48" spans="1:14" hidden="1">
      <c r="A48" s="296" t="s">
        <v>548</v>
      </c>
      <c r="B48" s="506"/>
      <c r="C48" s="507"/>
      <c r="D48" s="506"/>
      <c r="E48" s="507"/>
      <c r="F48" s="143">
        <v>0</v>
      </c>
      <c r="G48" s="507"/>
      <c r="H48" s="506"/>
      <c r="I48" s="507"/>
      <c r="J48" s="506">
        <f>'- 12 -'!F48+'- 12 -'!J48+'- 13 -'!F48</f>
        <v>0</v>
      </c>
      <c r="K48" s="507"/>
    </row>
    <row r="49" spans="1:11">
      <c r="A49" s="142" t="s">
        <v>364</v>
      </c>
      <c r="B49" s="148"/>
      <c r="C49" s="345"/>
      <c r="D49" s="148"/>
      <c r="E49" s="345"/>
      <c r="F49" s="148"/>
      <c r="G49" s="345"/>
      <c r="H49" s="143">
        <f>'- 10 -'!G24</f>
        <v>2445713</v>
      </c>
      <c r="I49" s="345">
        <f>H49/$J$54*100</f>
        <v>0.11745855338102845</v>
      </c>
      <c r="J49" s="143">
        <f>H49</f>
        <v>2445713</v>
      </c>
      <c r="K49" s="345">
        <f>J49/$J$54*100</f>
        <v>0.11745855338102845</v>
      </c>
    </row>
    <row r="50" spans="1:11">
      <c r="A50" s="142" t="s">
        <v>481</v>
      </c>
      <c r="B50" s="148"/>
      <c r="C50" s="345"/>
      <c r="D50" s="148"/>
      <c r="E50" s="345"/>
      <c r="F50" s="148"/>
      <c r="G50" s="345"/>
      <c r="H50" s="143">
        <f>'- 10 -'!H24</f>
        <v>8000</v>
      </c>
      <c r="I50" s="345"/>
      <c r="J50" s="143">
        <f>H50</f>
        <v>8000</v>
      </c>
      <c r="K50" s="345"/>
    </row>
    <row r="51" spans="1:11">
      <c r="A51" s="142" t="s">
        <v>365</v>
      </c>
      <c r="B51" s="148"/>
      <c r="C51" s="345"/>
      <c r="D51" s="148"/>
      <c r="E51" s="345"/>
      <c r="F51" s="148"/>
      <c r="G51" s="345"/>
      <c r="H51" s="146">
        <f>'- 10 -'!I24</f>
        <v>33852850</v>
      </c>
      <c r="I51" s="346">
        <f>H51/$J$54*100</f>
        <v>1.6258272286343283</v>
      </c>
      <c r="J51" s="146">
        <f>H51</f>
        <v>33852850</v>
      </c>
      <c r="K51" s="346">
        <f>J51/$J$54*100</f>
        <v>1.6258272286343283</v>
      </c>
    </row>
    <row r="52" spans="1:11">
      <c r="A52" s="147" t="s">
        <v>366</v>
      </c>
      <c r="B52" s="147"/>
      <c r="C52" s="348"/>
      <c r="D52" s="147"/>
      <c r="E52" s="348"/>
      <c r="F52" s="153">
        <f>F48</f>
        <v>0</v>
      </c>
      <c r="G52" s="348"/>
      <c r="H52" s="153">
        <f>SUM(H49:H51)</f>
        <v>36306563</v>
      </c>
      <c r="I52" s="348">
        <f>H52/$J$54*100</f>
        <v>1.7436699924386765</v>
      </c>
      <c r="J52" s="153">
        <f>SUM(J48:J51)</f>
        <v>36306563</v>
      </c>
      <c r="K52" s="348">
        <f>J52/$J$54*100</f>
        <v>1.7436699924386765</v>
      </c>
    </row>
    <row r="53" spans="1:11" ht="5.0999999999999996" customHeight="1">
      <c r="A53" s="27"/>
      <c r="B53" s="31"/>
      <c r="C53" s="350"/>
      <c r="D53" s="92"/>
      <c r="E53" s="350"/>
      <c r="F53" s="92"/>
      <c r="G53" s="350"/>
      <c r="H53" s="92"/>
      <c r="I53" s="350"/>
      <c r="J53" s="92"/>
      <c r="K53" s="350"/>
    </row>
    <row r="54" spans="1:11">
      <c r="A54" s="372" t="s">
        <v>367</v>
      </c>
      <c r="B54" s="493">
        <f>SUM(B52,B46,B40,B23,B22)</f>
        <v>73814284</v>
      </c>
      <c r="C54" s="494">
        <f>B54/$J$54*100</f>
        <v>3.5450271628340668</v>
      </c>
      <c r="D54" s="493">
        <f>SUM(D52,D46,D40,D23,D22)</f>
        <v>89114776</v>
      </c>
      <c r="E54" s="494">
        <f>D54/$J$54*100</f>
        <v>4.2798532263738203</v>
      </c>
      <c r="F54" s="493">
        <f>SUM(F52,F46,F40,F23,F22)</f>
        <v>240880114</v>
      </c>
      <c r="G54" s="494">
        <f>F54/$J$54*100</f>
        <v>11.568581321151427</v>
      </c>
      <c r="H54" s="493">
        <f>SUM(H52,H46,H40,H23,H22)</f>
        <v>36306563</v>
      </c>
      <c r="I54" s="494">
        <f>H54/$J$54*100</f>
        <v>1.7436699924386765</v>
      </c>
      <c r="J54" s="493">
        <f>SUM(J52,J46,J40,J23,J22)</f>
        <v>2082192339</v>
      </c>
      <c r="K54" s="494">
        <f>J54/$J$54*100</f>
        <v>100</v>
      </c>
    </row>
    <row r="55" spans="1:11" ht="20.100000000000001" customHeight="1">
      <c r="A55" s="155"/>
    </row>
  </sheetData>
  <mergeCells count="1">
    <mergeCell ref="L25:L29"/>
  </mergeCells>
  <phoneticPr fontId="0" type="noConversion"/>
  <printOptions verticalCentered="1"/>
  <pageMargins left="0.75" right="0" top="0.3" bottom="0.3" header="0" footer="0"/>
  <pageSetup scale="88"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0">
    <pageSetUpPr fitToPage="1"/>
  </sheetPr>
  <dimension ref="A1:J59"/>
  <sheetViews>
    <sheetView showGridLines="0" showZeros="0" workbookViewId="0"/>
  </sheetViews>
  <sheetFormatPr defaultColWidth="15.83203125" defaultRowHeight="12"/>
  <cols>
    <col min="1" max="1" width="33.83203125" style="1" customWidth="1"/>
    <col min="2" max="2" width="15" style="1" bestFit="1" customWidth="1"/>
    <col min="3" max="3" width="6.33203125" style="1" customWidth="1"/>
    <col min="4" max="4" width="7.6640625" style="1" customWidth="1"/>
    <col min="5" max="5" width="13.33203125" style="1" bestFit="1" customWidth="1"/>
    <col min="6" max="6" width="6.33203125" style="1" customWidth="1"/>
    <col min="7" max="7" width="12" style="1" customWidth="1"/>
    <col min="8" max="8" width="11.5" style="1" customWidth="1"/>
    <col min="9" max="9" width="8.83203125" style="1" customWidth="1"/>
    <col min="10" max="16384" width="15.83203125" style="1"/>
  </cols>
  <sheetData>
    <row r="1" spans="1:9" ht="6.95" customHeight="1">
      <c r="A1" s="3"/>
      <c r="B1" s="4"/>
      <c r="C1" s="4"/>
      <c r="D1" s="4"/>
      <c r="E1" s="4"/>
      <c r="F1" s="4"/>
      <c r="G1" s="4"/>
      <c r="H1" s="4"/>
      <c r="I1" s="4"/>
    </row>
    <row r="2" spans="1:9" ht="15.95" customHeight="1">
      <c r="A2" s="161"/>
      <c r="B2" s="5" t="s">
        <v>487</v>
      </c>
      <c r="C2" s="6"/>
      <c r="D2" s="6"/>
      <c r="E2" s="6"/>
      <c r="F2" s="6"/>
      <c r="G2" s="6"/>
      <c r="H2" s="106"/>
      <c r="I2" s="184" t="s">
        <v>2</v>
      </c>
    </row>
    <row r="3" spans="1:9" ht="15.95" customHeight="1">
      <c r="A3" s="164"/>
      <c r="B3" s="7" t="str">
        <f>OPYEAR</f>
        <v>OPERATING FUND 2013/2014 BUDGET</v>
      </c>
      <c r="C3" s="8"/>
      <c r="D3" s="8"/>
      <c r="E3" s="8"/>
      <c r="F3" s="8"/>
      <c r="G3" s="8"/>
      <c r="H3" s="108"/>
      <c r="I3" s="101"/>
    </row>
    <row r="4" spans="1:9" ht="15.95" customHeight="1">
      <c r="B4" s="4"/>
      <c r="C4" s="4"/>
      <c r="D4" s="4"/>
      <c r="E4" s="4"/>
      <c r="F4" s="4"/>
      <c r="G4" s="4"/>
      <c r="H4" s="4"/>
      <c r="I4" s="4"/>
    </row>
    <row r="5" spans="1:9" ht="15.95" customHeight="1">
      <c r="B5" s="4"/>
      <c r="C5" s="4"/>
      <c r="D5" s="4"/>
      <c r="E5" s="4"/>
      <c r="F5" s="4"/>
      <c r="G5" s="4"/>
      <c r="H5" s="4"/>
      <c r="I5" s="4"/>
    </row>
    <row r="6" spans="1:9" ht="15.95" customHeight="1">
      <c r="B6" s="366"/>
      <c r="C6" s="355"/>
      <c r="D6" s="356"/>
      <c r="E6" s="354"/>
      <c r="F6" s="355"/>
      <c r="G6" s="356"/>
      <c r="H6" s="354" t="s">
        <v>211</v>
      </c>
      <c r="I6" s="356"/>
    </row>
    <row r="7" spans="1:9" ht="15.95" customHeight="1">
      <c r="B7" s="357" t="s">
        <v>49</v>
      </c>
      <c r="C7" s="358"/>
      <c r="D7" s="359"/>
      <c r="E7" s="357" t="s">
        <v>449</v>
      </c>
      <c r="F7" s="358"/>
      <c r="G7" s="359"/>
      <c r="H7" s="357" t="s">
        <v>326</v>
      </c>
      <c r="I7" s="359"/>
    </row>
    <row r="8" spans="1:9" ht="15.95" customHeight="1">
      <c r="A8" s="102"/>
      <c r="B8" s="170" t="s">
        <v>3</v>
      </c>
      <c r="C8" s="235"/>
      <c r="D8" s="169" t="s">
        <v>60</v>
      </c>
      <c r="E8" s="170"/>
      <c r="F8" s="169"/>
      <c r="G8" s="169" t="s">
        <v>60</v>
      </c>
      <c r="H8" s="170"/>
      <c r="I8" s="169"/>
    </row>
    <row r="9" spans="1:9" ht="15.95" customHeight="1">
      <c r="A9" s="35" t="s">
        <v>81</v>
      </c>
      <c r="B9" s="113" t="s">
        <v>82</v>
      </c>
      <c r="C9" s="113" t="s">
        <v>83</v>
      </c>
      <c r="D9" s="113" t="s">
        <v>84</v>
      </c>
      <c r="E9" s="113" t="s">
        <v>82</v>
      </c>
      <c r="F9" s="113" t="s">
        <v>83</v>
      </c>
      <c r="G9" s="113" t="s">
        <v>84</v>
      </c>
      <c r="H9" s="113" t="s">
        <v>82</v>
      </c>
      <c r="I9" s="113" t="s">
        <v>83</v>
      </c>
    </row>
    <row r="10" spans="1:9" ht="5.0999999999999996" customHeight="1">
      <c r="A10" s="37"/>
    </row>
    <row r="11" spans="1:9" ht="14.1" customHeight="1">
      <c r="A11" s="360" t="s">
        <v>230</v>
      </c>
      <c r="B11" s="361">
        <f>SUM('- 18 -'!B11,'- 18 -'!E11,'- 19 -'!B11,'- 19 -'!E11,'- 19 -'!H11,'- 20 -'!B11)</f>
        <v>10317359</v>
      </c>
      <c r="C11" s="362">
        <f>B11/'- 3 -'!D11*100</f>
        <v>61.572532957644746</v>
      </c>
      <c r="D11" s="361">
        <f>B11/'- 7 -'!C11</f>
        <v>6736.7672216780929</v>
      </c>
      <c r="E11" s="361">
        <f>SUM('- 21 -'!B11,'- 21 -'!E11,'- 21 -'!H11,'- 22 -'!B11,'- 22 -'!D11,'- 22 -'!G11,'- 23 -'!B11)</f>
        <v>2183860</v>
      </c>
      <c r="F11" s="362">
        <f>E11/'- 3 -'!D11*100</f>
        <v>13.032966268294244</v>
      </c>
      <c r="G11" s="361">
        <f>E11/'- 7 -'!F11</f>
        <v>1425.9614756774404</v>
      </c>
      <c r="H11" s="361">
        <f>SUM('- 24 -'!D11,'- 24 -'!B11)</f>
        <v>0</v>
      </c>
      <c r="I11" s="362">
        <f>H11/'- 3 -'!D11*100</f>
        <v>0</v>
      </c>
    </row>
    <row r="12" spans="1:9" ht="14.1" customHeight="1">
      <c r="A12" s="23" t="s">
        <v>231</v>
      </c>
      <c r="B12" s="24">
        <f>SUM('- 18 -'!B12,'- 18 -'!E12,'- 19 -'!B12,'- 19 -'!E12,'- 19 -'!H12,'- 20 -'!B12)</f>
        <v>17740358</v>
      </c>
      <c r="C12" s="353">
        <f>B12/'- 3 -'!D12*100</f>
        <v>57.277953450300686</v>
      </c>
      <c r="D12" s="24">
        <f>B12/'- 7 -'!C12</f>
        <v>7787.3482287871457</v>
      </c>
      <c r="E12" s="24">
        <f>SUM('- 21 -'!B12,'- 21 -'!E12,'- 21 -'!H12,'- 22 -'!B12,'- 22 -'!D12,'- 22 -'!G12,'- 23 -'!B12)</f>
        <v>4661827</v>
      </c>
      <c r="F12" s="353">
        <f>E12/'- 3 -'!D12*100</f>
        <v>15.051551377900882</v>
      </c>
      <c r="G12" s="24">
        <f>E12/'- 7 -'!F12</f>
        <v>2046.3662701373948</v>
      </c>
      <c r="H12" s="24">
        <f>SUM('- 24 -'!D12,'- 24 -'!B12)</f>
        <v>525141</v>
      </c>
      <c r="I12" s="353">
        <f>H12/'- 3 -'!D12*100</f>
        <v>1.6955126696340825</v>
      </c>
    </row>
    <row r="13" spans="1:9" ht="14.1" customHeight="1">
      <c r="A13" s="360" t="s">
        <v>232</v>
      </c>
      <c r="B13" s="361">
        <f>SUM('- 18 -'!B13,'- 18 -'!E13,'- 19 -'!B13,'- 19 -'!E13,'- 19 -'!H13,'- 20 -'!B13)</f>
        <v>51544600</v>
      </c>
      <c r="C13" s="362">
        <f>B13/'- 3 -'!D13*100</f>
        <v>59.681656764996369</v>
      </c>
      <c r="D13" s="361">
        <f>B13/'- 7 -'!C13</f>
        <v>6376.1020184239787</v>
      </c>
      <c r="E13" s="361">
        <f>SUM('- 21 -'!B13,'- 21 -'!E13,'- 21 -'!H13,'- 22 -'!B13,'- 22 -'!D13,'- 22 -'!G13,'- 23 -'!B13)</f>
        <v>18399100</v>
      </c>
      <c r="F13" s="362">
        <f>E13/'- 3 -'!D13*100</f>
        <v>21.303662672420483</v>
      </c>
      <c r="G13" s="361">
        <f>E13/'- 7 -'!F13</f>
        <v>2275.9811628606026</v>
      </c>
      <c r="H13" s="361">
        <f>SUM('- 24 -'!D13,'- 24 -'!B13)</f>
        <v>0</v>
      </c>
      <c r="I13" s="362">
        <f>H13/'- 3 -'!D13*100</f>
        <v>0</v>
      </c>
    </row>
    <row r="14" spans="1:9" ht="14.1" customHeight="1">
      <c r="A14" s="23" t="s">
        <v>578</v>
      </c>
      <c r="B14" s="24">
        <f>SUM('- 18 -'!B14,'- 18 -'!E14,'- 19 -'!B14,'- 19 -'!E14,'- 19 -'!H14,'- 20 -'!B14)</f>
        <v>41303303</v>
      </c>
      <c r="C14" s="353">
        <f>B14/'- 3 -'!D14*100</f>
        <v>55.094603408269116</v>
      </c>
      <c r="D14" s="24">
        <f>B14/'- 7 -'!C14</f>
        <v>7920.096452540748</v>
      </c>
      <c r="E14" s="24">
        <f>SUM('- 21 -'!B14,'- 21 -'!E14,'- 21 -'!H14,'- 22 -'!B14,'- 22 -'!D14,'- 22 -'!G14,'- 23 -'!B14)</f>
        <v>9586805</v>
      </c>
      <c r="F14" s="353">
        <f>E14/'- 3 -'!D14*100</f>
        <v>12.78786879168989</v>
      </c>
      <c r="G14" s="24">
        <f>E14/'- 7 -'!F14</f>
        <v>1838.313518696069</v>
      </c>
      <c r="H14" s="24">
        <f>SUM('- 24 -'!D14,'- 24 -'!B14)</f>
        <v>266146</v>
      </c>
      <c r="I14" s="353">
        <f>H14/'- 3 -'!D14*100</f>
        <v>0.35501297120710157</v>
      </c>
    </row>
    <row r="15" spans="1:9" ht="14.1" customHeight="1">
      <c r="A15" s="360" t="s">
        <v>233</v>
      </c>
      <c r="B15" s="361">
        <f>SUM('- 18 -'!B15,'- 18 -'!E15,'- 19 -'!B15,'- 19 -'!E15,'- 19 -'!H15,'- 20 -'!B15)</f>
        <v>10596168</v>
      </c>
      <c r="C15" s="362">
        <f>B15/'- 3 -'!D15*100</f>
        <v>54.226071231949113</v>
      </c>
      <c r="D15" s="361">
        <f>B15/'- 7 -'!C15</f>
        <v>6971.1631578947372</v>
      </c>
      <c r="E15" s="361">
        <f>SUM('- 21 -'!B15,'- 21 -'!E15,'- 21 -'!H15,'- 22 -'!B15,'- 22 -'!D15,'- 22 -'!G15,'- 23 -'!B15)</f>
        <v>3403900</v>
      </c>
      <c r="F15" s="362">
        <f>E15/'- 3 -'!D15*100</f>
        <v>17.419516552250926</v>
      </c>
      <c r="G15" s="361">
        <f>E15/'- 7 -'!F15</f>
        <v>2239.4078947368421</v>
      </c>
      <c r="H15" s="361">
        <f>SUM('- 24 -'!D15,'- 24 -'!B15)</f>
        <v>0</v>
      </c>
      <c r="I15" s="362">
        <f>H15/'- 3 -'!D15*100</f>
        <v>0</v>
      </c>
    </row>
    <row r="16" spans="1:9" ht="14.1" customHeight="1">
      <c r="A16" s="23" t="s">
        <v>234</v>
      </c>
      <c r="B16" s="24">
        <f>SUM('- 18 -'!B16,'- 18 -'!E16,'- 19 -'!B16,'- 19 -'!E16,'- 19 -'!H16,'- 20 -'!B16)</f>
        <v>6933650</v>
      </c>
      <c r="C16" s="353">
        <f>B16/'- 3 -'!D16*100</f>
        <v>52.946179027138541</v>
      </c>
      <c r="D16" s="24">
        <f>B16/'- 7 -'!C16</f>
        <v>6968.4924623115576</v>
      </c>
      <c r="E16" s="24">
        <f>SUM('- 21 -'!B16,'- 21 -'!E16,'- 21 -'!H16,'- 22 -'!B16,'- 22 -'!D16,'- 22 -'!G16,'- 23 -'!B16)</f>
        <v>2470107</v>
      </c>
      <c r="F16" s="353">
        <f>E16/'- 3 -'!D16*100</f>
        <v>18.862031893474303</v>
      </c>
      <c r="G16" s="24">
        <f>E16/'- 7 -'!F16</f>
        <v>2482.5195979899499</v>
      </c>
      <c r="H16" s="24">
        <f>SUM('- 24 -'!D16,'- 24 -'!B16)</f>
        <v>96290</v>
      </c>
      <c r="I16" s="353">
        <f>H16/'- 3 -'!D16*100</f>
        <v>0.73528193354483862</v>
      </c>
    </row>
    <row r="17" spans="1:9" ht="14.1" customHeight="1">
      <c r="A17" s="360" t="s">
        <v>235</v>
      </c>
      <c r="B17" s="361">
        <f>SUM('- 18 -'!B17,'- 18 -'!E17,'- 19 -'!B17,'- 19 -'!E17,'- 19 -'!H17,'- 20 -'!B17)</f>
        <v>9064073</v>
      </c>
      <c r="C17" s="362">
        <f>B17/'- 3 -'!D17*100</f>
        <v>54.981513039745899</v>
      </c>
      <c r="D17" s="361">
        <f>B17/'- 7 -'!C17</f>
        <v>6969.6831987697042</v>
      </c>
      <c r="E17" s="361">
        <f>SUM('- 21 -'!B17,'- 21 -'!E17,'- 21 -'!H17,'- 22 -'!B17,'- 22 -'!D17,'- 22 -'!G17,'- 23 -'!B17)</f>
        <v>2518339</v>
      </c>
      <c r="F17" s="362">
        <f>E17/'- 3 -'!D17*100</f>
        <v>15.27592381118297</v>
      </c>
      <c r="G17" s="361">
        <f>E17/'- 7 -'!F17</f>
        <v>1936.4390618992695</v>
      </c>
      <c r="H17" s="361">
        <f>SUM('- 24 -'!D17,'- 24 -'!B17)</f>
        <v>0</v>
      </c>
      <c r="I17" s="362">
        <f>H17/'- 3 -'!D17*100</f>
        <v>0</v>
      </c>
    </row>
    <row r="18" spans="1:9" ht="14.1" customHeight="1">
      <c r="A18" s="23" t="s">
        <v>236</v>
      </c>
      <c r="B18" s="24">
        <f>SUM('- 18 -'!B18,'- 18 -'!E18,'- 19 -'!B18,'- 19 -'!E18,'- 19 -'!H18,'- 20 -'!B18)</f>
        <v>50771852</v>
      </c>
      <c r="C18" s="353">
        <f>B18/'- 3 -'!D18*100</f>
        <v>42.598435987134749</v>
      </c>
      <c r="D18" s="24">
        <f>B18/'- 7 -'!C18</f>
        <v>8146.3059767348577</v>
      </c>
      <c r="E18" s="24">
        <f>SUM('- 21 -'!B18,'- 21 -'!E18,'- 21 -'!H18,'- 22 -'!B18,'- 22 -'!D18,'- 22 -'!G18,'- 23 -'!B18)</f>
        <v>18738304</v>
      </c>
      <c r="F18" s="353">
        <f>E18/'- 3 -'!D18*100</f>
        <v>15.721751561307457</v>
      </c>
      <c r="G18" s="24">
        <f>E18/'- 7 -'!F18</f>
        <v>3006.5469715202566</v>
      </c>
      <c r="H18" s="24">
        <f>SUM('- 24 -'!D18,'- 24 -'!B18)</f>
        <v>1819281</v>
      </c>
      <c r="I18" s="353">
        <f>H18/'- 3 -'!D18*100</f>
        <v>1.5264072939689199</v>
      </c>
    </row>
    <row r="19" spans="1:9" ht="14.1" customHeight="1">
      <c r="A19" s="360" t="s">
        <v>237</v>
      </c>
      <c r="B19" s="361">
        <f>SUM('- 18 -'!B19,'- 18 -'!E19,'- 19 -'!B19,'- 19 -'!E19,'- 19 -'!H19,'- 20 -'!B19)</f>
        <v>25970100</v>
      </c>
      <c r="C19" s="362">
        <f>B19/'- 3 -'!D19*100</f>
        <v>59.826540559162908</v>
      </c>
      <c r="D19" s="361">
        <f>B19/'- 7 -'!C19</f>
        <v>6170.1354240912333</v>
      </c>
      <c r="E19" s="361">
        <f>SUM('- 21 -'!B19,'- 21 -'!E19,'- 21 -'!H19,'- 22 -'!B19,'- 22 -'!D19,'- 22 -'!G19,'- 23 -'!B19)</f>
        <v>7649050</v>
      </c>
      <c r="F19" s="362">
        <f>E19/'- 3 -'!D19*100</f>
        <v>17.620887099551602</v>
      </c>
      <c r="G19" s="361">
        <f>E19/'- 7 -'!F19</f>
        <v>1817.3081492040865</v>
      </c>
      <c r="H19" s="361">
        <f>SUM('- 24 -'!D19,'- 24 -'!B19)</f>
        <v>0</v>
      </c>
      <c r="I19" s="362">
        <f>H19/'- 3 -'!D19*100</f>
        <v>0</v>
      </c>
    </row>
    <row r="20" spans="1:9" ht="14.1" customHeight="1">
      <c r="A20" s="23" t="s">
        <v>238</v>
      </c>
      <c r="B20" s="24">
        <f>SUM('- 18 -'!B20,'- 18 -'!E20,'- 19 -'!B20,'- 19 -'!E20,'- 19 -'!H20,'- 20 -'!B20)</f>
        <v>43425100</v>
      </c>
      <c r="C20" s="353">
        <f>B20/'- 3 -'!D20*100</f>
        <v>61.096541458322193</v>
      </c>
      <c r="D20" s="24">
        <f>B20/'- 7 -'!C20</f>
        <v>5759.6790238079448</v>
      </c>
      <c r="E20" s="24">
        <f>SUM('- 21 -'!B20,'- 21 -'!E20,'- 21 -'!H20,'- 22 -'!B20,'- 22 -'!D20,'- 22 -'!G20,'- 23 -'!B20)</f>
        <v>10518400</v>
      </c>
      <c r="F20" s="353">
        <f>E20/'- 3 -'!D20*100</f>
        <v>14.798765268824162</v>
      </c>
      <c r="G20" s="24">
        <f>E20/'- 7 -'!F20</f>
        <v>1395.1057762451092</v>
      </c>
      <c r="H20" s="24">
        <f>SUM('- 24 -'!D20,'- 24 -'!B20)</f>
        <v>0</v>
      </c>
      <c r="I20" s="353">
        <f>H20/'- 3 -'!D20*100</f>
        <v>0</v>
      </c>
    </row>
    <row r="21" spans="1:9" ht="14.1" customHeight="1">
      <c r="A21" s="360" t="s">
        <v>239</v>
      </c>
      <c r="B21" s="361">
        <f>SUM('- 18 -'!B21,'- 18 -'!E21,'- 19 -'!B21,'- 19 -'!E21,'- 19 -'!H21,'- 20 -'!B21)</f>
        <v>19143897</v>
      </c>
      <c r="C21" s="362">
        <f>B21/'- 3 -'!D21*100</f>
        <v>56.225958493424031</v>
      </c>
      <c r="D21" s="361">
        <f>B21/'- 7 -'!C21</f>
        <v>7116.6903345724904</v>
      </c>
      <c r="E21" s="361">
        <f>SUM('- 21 -'!B21,'- 21 -'!E21,'- 21 -'!H21,'- 22 -'!B21,'- 22 -'!D21,'- 22 -'!G21,'- 23 -'!B21)</f>
        <v>5592000</v>
      </c>
      <c r="F21" s="362">
        <f>E21/'- 3 -'!D21*100</f>
        <v>16.423801271769651</v>
      </c>
      <c r="G21" s="361">
        <f>E21/'- 7 -'!F21</f>
        <v>2078.8104089219332</v>
      </c>
      <c r="H21" s="361">
        <f>SUM('- 24 -'!D21,'- 24 -'!B21)</f>
        <v>0</v>
      </c>
      <c r="I21" s="362">
        <f>H21/'- 3 -'!D21*100</f>
        <v>0</v>
      </c>
    </row>
    <row r="22" spans="1:9" ht="14.1" customHeight="1">
      <c r="A22" s="23" t="s">
        <v>240</v>
      </c>
      <c r="B22" s="24">
        <f>SUM('- 18 -'!B22,'- 18 -'!E22,'- 19 -'!B22,'- 19 -'!E22,'- 19 -'!H22,'- 20 -'!B22)</f>
        <v>9863730</v>
      </c>
      <c r="C22" s="353">
        <f>B22/'- 3 -'!D22*100</f>
        <v>49.534118461897407</v>
      </c>
      <c r="D22" s="24">
        <f>B22/'- 7 -'!C22</f>
        <v>6092.4830142063001</v>
      </c>
      <c r="E22" s="24">
        <f>SUM('- 21 -'!B22,'- 21 -'!E22,'- 21 -'!H22,'- 22 -'!B22,'- 22 -'!D22,'- 22 -'!G22,'- 23 -'!B22)</f>
        <v>4510342</v>
      </c>
      <c r="F22" s="353">
        <f>E22/'- 3 -'!D22*100</f>
        <v>22.650236262719204</v>
      </c>
      <c r="G22" s="24">
        <f>E22/'- 7 -'!F22</f>
        <v>2785.881408276714</v>
      </c>
      <c r="H22" s="24">
        <f>SUM('- 24 -'!D22,'- 24 -'!B22)</f>
        <v>792200</v>
      </c>
      <c r="I22" s="353">
        <f>H22/'- 3 -'!D22*100</f>
        <v>3.9783052299196271</v>
      </c>
    </row>
    <row r="23" spans="1:9" ht="14.1" customHeight="1">
      <c r="A23" s="360" t="s">
        <v>241</v>
      </c>
      <c r="B23" s="361">
        <f>SUM('- 18 -'!B23,'- 18 -'!E23,'- 19 -'!B23,'- 19 -'!E23,'- 19 -'!H23,'- 20 -'!B23)</f>
        <v>8321008</v>
      </c>
      <c r="C23" s="362">
        <f>B23/'- 3 -'!D23*100</f>
        <v>51.928472202286827</v>
      </c>
      <c r="D23" s="361">
        <f>B23/'- 7 -'!C23</f>
        <v>7039.7698815566837</v>
      </c>
      <c r="E23" s="361">
        <f>SUM('- 21 -'!B23,'- 21 -'!E23,'- 21 -'!H23,'- 22 -'!B23,'- 22 -'!D23,'- 22 -'!G23,'- 23 -'!B23)</f>
        <v>3001400</v>
      </c>
      <c r="F23" s="362">
        <f>E23/'- 3 -'!D23*100</f>
        <v>18.730677397250869</v>
      </c>
      <c r="G23" s="361">
        <f>E23/'- 7 -'!F23</f>
        <v>2539.2554991539764</v>
      </c>
      <c r="H23" s="361">
        <f>SUM('- 24 -'!D23,'- 24 -'!B23)</f>
        <v>240000</v>
      </c>
      <c r="I23" s="362">
        <f>H23/'- 3 -'!D23*100</f>
        <v>1.4977552393350466</v>
      </c>
    </row>
    <row r="24" spans="1:9" ht="14.1" customHeight="1">
      <c r="A24" s="23" t="s">
        <v>242</v>
      </c>
      <c r="B24" s="24">
        <f>SUM('- 18 -'!B24,'- 18 -'!E24,'- 19 -'!B24,'- 19 -'!E24,'- 19 -'!H24,'- 20 -'!B24)</f>
        <v>30138290</v>
      </c>
      <c r="C24" s="353">
        <f>B24/'- 3 -'!D24*100</f>
        <v>57.115516052521585</v>
      </c>
      <c r="D24" s="24">
        <f>B24/'- 7 -'!C24</f>
        <v>7181.7681401167638</v>
      </c>
      <c r="E24" s="24">
        <f>SUM('- 21 -'!B24,'- 21 -'!E24,'- 21 -'!H24,'- 22 -'!B24,'- 22 -'!D24,'- 22 -'!G24,'- 23 -'!B24)</f>
        <v>9460360</v>
      </c>
      <c r="F24" s="353">
        <f>E24/'- 3 -'!D24*100</f>
        <v>17.928467190495319</v>
      </c>
      <c r="G24" s="24">
        <f>E24/'- 7 -'!F24</f>
        <v>2254.3452877397831</v>
      </c>
      <c r="H24" s="24">
        <f>SUM('- 24 -'!D24,'- 24 -'!B24)</f>
        <v>363525</v>
      </c>
      <c r="I24" s="353">
        <f>H24/'- 3 -'!D24*100</f>
        <v>0.68892156698316032</v>
      </c>
    </row>
    <row r="25" spans="1:9" ht="14.1" customHeight="1">
      <c r="A25" s="360" t="s">
        <v>243</v>
      </c>
      <c r="B25" s="361">
        <f>SUM('- 18 -'!B25,'- 18 -'!E25,'- 19 -'!B25,'- 19 -'!E25,'- 19 -'!H25,'- 20 -'!B25)</f>
        <v>88990659</v>
      </c>
      <c r="C25" s="362">
        <f>B25/'- 3 -'!D25*100</f>
        <v>57.46810290440375</v>
      </c>
      <c r="D25" s="361">
        <f>B25/'- 7 -'!C25</f>
        <v>6445.3291084232633</v>
      </c>
      <c r="E25" s="361">
        <f>SUM('- 21 -'!B25,'- 21 -'!E25,'- 21 -'!H25,'- 22 -'!B25,'- 22 -'!D25,'- 22 -'!G25,'- 23 -'!B25)</f>
        <v>30250242</v>
      </c>
      <c r="F25" s="362">
        <f>E25/'- 3 -'!D25*100</f>
        <v>19.534904445860061</v>
      </c>
      <c r="G25" s="361">
        <f>E25/'- 7 -'!F25</f>
        <v>2190.9351778083583</v>
      </c>
      <c r="H25" s="361">
        <f>SUM('- 24 -'!D25,'- 24 -'!B25)</f>
        <v>0</v>
      </c>
      <c r="I25" s="362">
        <f>H25/'- 3 -'!D25*100</f>
        <v>0</v>
      </c>
    </row>
    <row r="26" spans="1:9" ht="14.1" customHeight="1">
      <c r="A26" s="23" t="s">
        <v>244</v>
      </c>
      <c r="B26" s="24">
        <f>SUM('- 18 -'!B26,'- 18 -'!E26,'- 19 -'!B26,'- 19 -'!E26,'- 19 -'!H26,'- 20 -'!B26)</f>
        <v>21521735</v>
      </c>
      <c r="C26" s="353">
        <f>B26/'- 3 -'!D26*100</f>
        <v>56.721287867928268</v>
      </c>
      <c r="D26" s="24">
        <f>B26/'- 7 -'!C26</f>
        <v>6968.3454751497493</v>
      </c>
      <c r="E26" s="24">
        <f>SUM('- 21 -'!B26,'- 21 -'!E26,'- 21 -'!H26,'- 22 -'!B26,'- 22 -'!D26,'- 22 -'!G26,'- 23 -'!B26)</f>
        <v>5583170</v>
      </c>
      <c r="F26" s="353">
        <f>E26/'- 3 -'!D26*100</f>
        <v>14.714640468604465</v>
      </c>
      <c r="G26" s="24">
        <f>E26/'- 7 -'!F26</f>
        <v>1807.7286708758297</v>
      </c>
      <c r="H26" s="24">
        <f>SUM('- 24 -'!D26,'- 24 -'!B26)</f>
        <v>0</v>
      </c>
      <c r="I26" s="353">
        <f>H26/'- 3 -'!D26*100</f>
        <v>0</v>
      </c>
    </row>
    <row r="27" spans="1:9" ht="14.1" customHeight="1">
      <c r="A27" s="360" t="s">
        <v>245</v>
      </c>
      <c r="B27" s="361">
        <f>SUM('- 18 -'!B27,'- 18 -'!E27,'- 19 -'!B27,'- 19 -'!E27,'- 19 -'!H27,'- 20 -'!B27)</f>
        <v>21510058</v>
      </c>
      <c r="C27" s="362">
        <f>B27/'- 3 -'!D27*100</f>
        <v>55.903103627467502</v>
      </c>
      <c r="D27" s="361">
        <f>B27/'- 7 -'!C27</f>
        <v>7818.9960014540166</v>
      </c>
      <c r="E27" s="361">
        <f>SUM('- 21 -'!B27,'- 21 -'!E27,'- 21 -'!H27,'- 22 -'!B27,'- 22 -'!D27,'- 22 -'!G27,'- 23 -'!B27)</f>
        <v>6958964</v>
      </c>
      <c r="F27" s="362">
        <f>E27/'- 3 -'!D27*100</f>
        <v>18.085850146560077</v>
      </c>
      <c r="G27" s="361">
        <f>E27/'- 7 -'!F27</f>
        <v>2529.6125045438021</v>
      </c>
      <c r="H27" s="361">
        <f>SUM('- 24 -'!D27,'- 24 -'!B27)</f>
        <v>0</v>
      </c>
      <c r="I27" s="362">
        <f>H27/'- 3 -'!D27*100</f>
        <v>0</v>
      </c>
    </row>
    <row r="28" spans="1:9" ht="14.1" customHeight="1">
      <c r="A28" s="23" t="s">
        <v>246</v>
      </c>
      <c r="B28" s="24">
        <f>SUM('- 18 -'!B28,'- 18 -'!E28,'- 19 -'!B28,'- 19 -'!E28,'- 19 -'!H28,'- 20 -'!B28)</f>
        <v>15182456</v>
      </c>
      <c r="C28" s="353">
        <f>B28/'- 3 -'!D28*100</f>
        <v>58.230447419009678</v>
      </c>
      <c r="D28" s="24">
        <f>B28/'- 7 -'!C28</f>
        <v>7687.319493670886</v>
      </c>
      <c r="E28" s="24">
        <f>SUM('- 21 -'!B28,'- 21 -'!E28,'- 21 -'!H28,'- 22 -'!B28,'- 22 -'!D28,'- 22 -'!G28,'- 23 -'!B28)</f>
        <v>3368358</v>
      </c>
      <c r="F28" s="353">
        <f>E28/'- 3 -'!D28*100</f>
        <v>12.91892388210449</v>
      </c>
      <c r="G28" s="24">
        <f>E28/'- 7 -'!F28</f>
        <v>1705.4977215189874</v>
      </c>
      <c r="H28" s="24">
        <f>SUM('- 24 -'!D28,'- 24 -'!B28)</f>
        <v>142342</v>
      </c>
      <c r="I28" s="353">
        <f>H28/'- 3 -'!D28*100</f>
        <v>0.54593527862136904</v>
      </c>
    </row>
    <row r="29" spans="1:9" ht="14.1" customHeight="1">
      <c r="A29" s="360" t="s">
        <v>247</v>
      </c>
      <c r="B29" s="361">
        <f>SUM('- 18 -'!B29,'- 18 -'!E29,'- 19 -'!B29,'- 19 -'!E29,'- 19 -'!H29,'- 20 -'!B29)</f>
        <v>80477423</v>
      </c>
      <c r="C29" s="362">
        <f>B29/'- 3 -'!D29*100</f>
        <v>56.667484151344119</v>
      </c>
      <c r="D29" s="361">
        <f>B29/'- 7 -'!C29</f>
        <v>6657.9046949327821</v>
      </c>
      <c r="E29" s="361">
        <f>SUM('- 21 -'!B29,'- 21 -'!E29,'- 21 -'!H29,'- 22 -'!B29,'- 22 -'!D29,'- 22 -'!G29,'- 23 -'!B29)</f>
        <v>28074986</v>
      </c>
      <c r="F29" s="362">
        <f>E29/'- 3 -'!D29*100</f>
        <v>19.768759546440844</v>
      </c>
      <c r="G29" s="361">
        <f>E29/'- 7 -'!F29</f>
        <v>2322.6462047569803</v>
      </c>
      <c r="H29" s="361">
        <f>SUM('- 24 -'!D29,'- 24 -'!B29)</f>
        <v>0</v>
      </c>
      <c r="I29" s="362">
        <f>H29/'- 3 -'!D29*100</f>
        <v>0</v>
      </c>
    </row>
    <row r="30" spans="1:9" ht="14.1" customHeight="1">
      <c r="A30" s="23" t="s">
        <v>248</v>
      </c>
      <c r="B30" s="24">
        <f>SUM('- 18 -'!B30,'- 18 -'!E30,'- 19 -'!B30,'- 19 -'!E30,'- 19 -'!H30,'- 20 -'!B30)</f>
        <v>8050793</v>
      </c>
      <c r="C30" s="353">
        <f>B30/'- 3 -'!D30*100</f>
        <v>59.833757318415557</v>
      </c>
      <c r="D30" s="24">
        <f>B30/'- 7 -'!C30</f>
        <v>7524.1056074766357</v>
      </c>
      <c r="E30" s="24">
        <f>SUM('- 21 -'!B30,'- 21 -'!E30,'- 21 -'!H30,'- 22 -'!B30,'- 22 -'!D30,'- 22 -'!G30,'- 23 -'!B30)</f>
        <v>1445901</v>
      </c>
      <c r="F30" s="353">
        <f>E30/'- 3 -'!D30*100</f>
        <v>10.745983599436029</v>
      </c>
      <c r="G30" s="24">
        <f>E30/'- 7 -'!F30</f>
        <v>1351.3093457943926</v>
      </c>
      <c r="H30" s="24">
        <f>SUM('- 24 -'!D30,'- 24 -'!B30)</f>
        <v>0</v>
      </c>
      <c r="I30" s="353">
        <f>H30/'- 3 -'!D30*100</f>
        <v>0</v>
      </c>
    </row>
    <row r="31" spans="1:9" ht="14.1" customHeight="1">
      <c r="A31" s="360" t="s">
        <v>249</v>
      </c>
      <c r="B31" s="361">
        <f>SUM('- 18 -'!B31,'- 18 -'!E31,'- 19 -'!B31,'- 19 -'!E31,'- 19 -'!H31,'- 20 -'!B31)</f>
        <v>19134406</v>
      </c>
      <c r="C31" s="362">
        <f>B31/'- 3 -'!D31*100</f>
        <v>56.904733107029749</v>
      </c>
      <c r="D31" s="361">
        <f>B31/'- 7 -'!C31</f>
        <v>5998.2463949843259</v>
      </c>
      <c r="E31" s="361">
        <f>SUM('- 21 -'!B31,'- 21 -'!E31,'- 21 -'!H31,'- 22 -'!B31,'- 22 -'!D31,'- 22 -'!G31,'- 23 -'!B31)</f>
        <v>6706829</v>
      </c>
      <c r="F31" s="362">
        <f>E31/'- 3 -'!D31*100</f>
        <v>19.945762321521098</v>
      </c>
      <c r="G31" s="361">
        <f>E31/'- 7 -'!F31</f>
        <v>2102.4542319749216</v>
      </c>
      <c r="H31" s="361">
        <f>SUM('- 24 -'!D31,'- 24 -'!B31)</f>
        <v>0</v>
      </c>
      <c r="I31" s="362">
        <f>H31/'- 3 -'!D31*100</f>
        <v>0</v>
      </c>
    </row>
    <row r="32" spans="1:9" ht="14.1" customHeight="1">
      <c r="A32" s="23" t="s">
        <v>250</v>
      </c>
      <c r="B32" s="24">
        <f>SUM('- 18 -'!B32,'- 18 -'!E32,'- 19 -'!B32,'- 19 -'!E32,'- 19 -'!H32,'- 20 -'!B32)</f>
        <v>14727208</v>
      </c>
      <c r="C32" s="353">
        <f>B32/'- 3 -'!D32*100</f>
        <v>57.656040049456571</v>
      </c>
      <c r="D32" s="24">
        <f>B32/'- 7 -'!C32</f>
        <v>7199.8083598142266</v>
      </c>
      <c r="E32" s="24">
        <f>SUM('- 21 -'!B32,'- 21 -'!E32,'- 21 -'!H32,'- 22 -'!B32,'- 22 -'!D32,'- 22 -'!G32,'- 23 -'!B32)</f>
        <v>3688465</v>
      </c>
      <c r="F32" s="353">
        <f>E32/'- 3 -'!D32*100</f>
        <v>14.440095214314812</v>
      </c>
      <c r="G32" s="24">
        <f>E32/'- 7 -'!F32</f>
        <v>1803.2094842336837</v>
      </c>
      <c r="H32" s="24">
        <f>SUM('- 24 -'!D32,'- 24 -'!B32)</f>
        <v>255950</v>
      </c>
      <c r="I32" s="353">
        <f>H32/'- 3 -'!D32*100</f>
        <v>1.002027230868092</v>
      </c>
    </row>
    <row r="33" spans="1:10" ht="14.1" customHeight="1">
      <c r="A33" s="360" t="s">
        <v>251</v>
      </c>
      <c r="B33" s="361">
        <f>SUM('- 18 -'!B33,'- 18 -'!E33,'- 19 -'!B33,'- 19 -'!E33,'- 19 -'!H33,'- 20 -'!B33)</f>
        <v>14927300</v>
      </c>
      <c r="C33" s="362">
        <f>B33/'- 3 -'!D33*100</f>
        <v>56.837107294209034</v>
      </c>
      <c r="D33" s="361">
        <f>B33/'- 7 -'!C33</f>
        <v>7367.8677196446197</v>
      </c>
      <c r="E33" s="361">
        <f>SUM('- 21 -'!B33,'- 21 -'!E33,'- 21 -'!H33,'- 22 -'!B33,'- 22 -'!D33,'- 22 -'!G33,'- 23 -'!B33)</f>
        <v>3617500</v>
      </c>
      <c r="F33" s="362">
        <f>E33/'- 3 -'!D33*100</f>
        <v>13.773973567678091</v>
      </c>
      <c r="G33" s="361">
        <f>E33/'- 7 -'!F33</f>
        <v>1785.538005923001</v>
      </c>
      <c r="H33" s="361">
        <f>SUM('- 24 -'!D33,'- 24 -'!B33)</f>
        <v>0</v>
      </c>
      <c r="I33" s="362">
        <f>H33/'- 3 -'!D33*100</f>
        <v>0</v>
      </c>
    </row>
    <row r="34" spans="1:10" ht="14.1" customHeight="1">
      <c r="A34" s="23" t="s">
        <v>252</v>
      </c>
      <c r="B34" s="24">
        <f>SUM('- 18 -'!B34,'- 18 -'!E34,'- 19 -'!B34,'- 19 -'!E34,'- 19 -'!H34,'- 20 -'!B34)</f>
        <v>14530854</v>
      </c>
      <c r="C34" s="353">
        <f>B34/'- 3 -'!D34*100</f>
        <v>56.887576632223194</v>
      </c>
      <c r="D34" s="24">
        <f>B34/'- 7 -'!C34</f>
        <v>7213.5973033752489</v>
      </c>
      <c r="E34" s="24">
        <f>SUM('- 21 -'!B34,'- 21 -'!E34,'- 21 -'!H34,'- 22 -'!B34,'- 22 -'!D34,'- 22 -'!G34,'- 23 -'!B34)</f>
        <v>3790676</v>
      </c>
      <c r="F34" s="353">
        <f>E34/'- 3 -'!D34*100</f>
        <v>14.840309553583655</v>
      </c>
      <c r="G34" s="24">
        <f>E34/'- 7 -'!F34</f>
        <v>1881.8171438216416</v>
      </c>
      <c r="H34" s="24">
        <f>SUM('- 24 -'!D34,'- 24 -'!B34)</f>
        <v>0</v>
      </c>
      <c r="I34" s="353">
        <f>H34/'- 3 -'!D34*100</f>
        <v>0</v>
      </c>
    </row>
    <row r="35" spans="1:10" ht="14.1" customHeight="1">
      <c r="A35" s="360" t="s">
        <v>253</v>
      </c>
      <c r="B35" s="361">
        <f>SUM('- 18 -'!B35,'- 18 -'!E35,'- 19 -'!B35,'- 19 -'!E35,'- 19 -'!H35,'- 20 -'!B35)</f>
        <v>96029343</v>
      </c>
      <c r="C35" s="362">
        <f>B35/'- 3 -'!D35*100</f>
        <v>57.314640837790009</v>
      </c>
      <c r="D35" s="361">
        <f>B35/'- 7 -'!C35</f>
        <v>6083.3893763263759</v>
      </c>
      <c r="E35" s="361">
        <f>SUM('- 21 -'!B35,'- 21 -'!E35,'- 21 -'!H35,'- 22 -'!B35,'- 22 -'!D35,'- 22 -'!G35,'- 23 -'!B35)</f>
        <v>32203801</v>
      </c>
      <c r="F35" s="362">
        <f>E35/'- 3 -'!D35*100</f>
        <v>19.220680161548774</v>
      </c>
      <c r="G35" s="361">
        <f>E35/'- 7 -'!F35</f>
        <v>2040.0874853504799</v>
      </c>
      <c r="H35" s="361">
        <f>SUM('- 24 -'!D35,'- 24 -'!B35)</f>
        <v>0</v>
      </c>
      <c r="I35" s="362">
        <f>H35/'- 3 -'!D35*100</f>
        <v>0</v>
      </c>
    </row>
    <row r="36" spans="1:10" ht="14.1" customHeight="1">
      <c r="A36" s="23" t="s">
        <v>254</v>
      </c>
      <c r="B36" s="24">
        <f>SUM('- 18 -'!B36,'- 18 -'!E36,'- 19 -'!B36,'- 19 -'!E36,'- 19 -'!H36,'- 20 -'!B36)</f>
        <v>12491705</v>
      </c>
      <c r="C36" s="353">
        <f>B36/'- 3 -'!D36*100</f>
        <v>57.916724428666214</v>
      </c>
      <c r="D36" s="24">
        <f>B36/'- 7 -'!C36</f>
        <v>7442.1834971700928</v>
      </c>
      <c r="E36" s="24">
        <f>SUM('- 21 -'!B36,'- 21 -'!E36,'- 21 -'!H36,'- 22 -'!B36,'- 22 -'!D36,'- 22 -'!G36,'- 23 -'!B36)</f>
        <v>2924255</v>
      </c>
      <c r="F36" s="353">
        <f>E36/'- 3 -'!D36*100</f>
        <v>13.558058807356508</v>
      </c>
      <c r="G36" s="24">
        <f>E36/'- 7 -'!F36</f>
        <v>1742.1834971700923</v>
      </c>
      <c r="H36" s="24">
        <f>SUM('- 24 -'!D36,'- 24 -'!B36)</f>
        <v>0</v>
      </c>
      <c r="I36" s="353">
        <f>H36/'- 3 -'!D36*100</f>
        <v>0</v>
      </c>
    </row>
    <row r="37" spans="1:10" ht="14.1" customHeight="1">
      <c r="A37" s="360" t="s">
        <v>255</v>
      </c>
      <c r="B37" s="361">
        <f>SUM('- 18 -'!B37,'- 18 -'!E37,'- 19 -'!B37,'- 19 -'!E37,'- 19 -'!H37,'- 20 -'!B37)</f>
        <v>22991685</v>
      </c>
      <c r="C37" s="362">
        <f>B37/'- 3 -'!D37*100</f>
        <v>55.182185068780662</v>
      </c>
      <c r="D37" s="361">
        <f>B37/'- 7 -'!C37</f>
        <v>6166.4704304680163</v>
      </c>
      <c r="E37" s="361">
        <f>SUM('- 21 -'!B37,'- 21 -'!E37,'- 21 -'!H37,'- 22 -'!B37,'- 22 -'!D37,'- 22 -'!G37,'- 23 -'!B37)</f>
        <v>7682945</v>
      </c>
      <c r="F37" s="362">
        <f>E37/'- 3 -'!D37*100</f>
        <v>18.439783463598388</v>
      </c>
      <c r="G37" s="361">
        <f>E37/'- 7 -'!F37</f>
        <v>2060.5994367708195</v>
      </c>
      <c r="H37" s="361">
        <f>SUM('- 24 -'!D37,'- 24 -'!B37)</f>
        <v>0</v>
      </c>
      <c r="I37" s="362">
        <f>H37/'- 3 -'!D37*100</f>
        <v>0</v>
      </c>
    </row>
    <row r="38" spans="1:10" ht="14.1" customHeight="1">
      <c r="A38" s="23" t="s">
        <v>256</v>
      </c>
      <c r="B38" s="24">
        <f>SUM('- 18 -'!B38,'- 18 -'!E38,'- 19 -'!B38,'- 19 -'!E38,'- 19 -'!H38,'- 20 -'!B38)</f>
        <v>69278142</v>
      </c>
      <c r="C38" s="353">
        <f>B38/'- 3 -'!D38*100</f>
        <v>59.061727127843596</v>
      </c>
      <c r="D38" s="24">
        <f>B38/'- 7 -'!C38</f>
        <v>6565.4039044730853</v>
      </c>
      <c r="E38" s="24">
        <f>SUM('- 21 -'!B38,'- 21 -'!E38,'- 21 -'!H38,'- 22 -'!B38,'- 22 -'!D38,'- 22 -'!G38,'- 23 -'!B38)</f>
        <v>20046250</v>
      </c>
      <c r="F38" s="353">
        <f>E38/'- 3 -'!D38*100</f>
        <v>17.09003898280838</v>
      </c>
      <c r="G38" s="24">
        <f>E38/'- 7 -'!F38</f>
        <v>1899.7583396512509</v>
      </c>
      <c r="H38" s="24">
        <f>SUM('- 24 -'!D38,'- 24 -'!B38)</f>
        <v>609300</v>
      </c>
      <c r="I38" s="353">
        <f>H38/'- 3 -'!D38*100</f>
        <v>0.51944681684729799</v>
      </c>
    </row>
    <row r="39" spans="1:10" ht="14.1" customHeight="1">
      <c r="A39" s="360" t="s">
        <v>257</v>
      </c>
      <c r="B39" s="361">
        <f>SUM('- 18 -'!B39,'- 18 -'!E39,'- 19 -'!B39,'- 19 -'!E39,'- 19 -'!H39,'- 20 -'!B39)</f>
        <v>11500054</v>
      </c>
      <c r="C39" s="362">
        <f>B39/'- 3 -'!D39*100</f>
        <v>55.964127454733259</v>
      </c>
      <c r="D39" s="361">
        <f>B39/'- 7 -'!C39</f>
        <v>7264.7214150347445</v>
      </c>
      <c r="E39" s="361">
        <f>SUM('- 21 -'!B39,'- 21 -'!E39,'- 21 -'!H39,'- 22 -'!B39,'- 22 -'!D39,'- 22 -'!G39,'- 23 -'!B39)</f>
        <v>2710374</v>
      </c>
      <c r="F39" s="362">
        <f>E39/'- 3 -'!D39*100</f>
        <v>13.189826411771216</v>
      </c>
      <c r="G39" s="361">
        <f>E39/'- 7 -'!F39</f>
        <v>1712.1756159191409</v>
      </c>
      <c r="H39" s="361">
        <f>SUM('- 24 -'!D39,'- 24 -'!B39)</f>
        <v>0</v>
      </c>
      <c r="I39" s="362">
        <f>H39/'- 3 -'!D39*100</f>
        <v>0</v>
      </c>
    </row>
    <row r="40" spans="1:10" ht="14.1" customHeight="1">
      <c r="A40" s="23" t="s">
        <v>258</v>
      </c>
      <c r="B40" s="24">
        <f>SUM('- 18 -'!B40,'- 18 -'!E40,'- 19 -'!B40,'- 19 -'!E40,'- 19 -'!H40,'- 20 -'!B40)</f>
        <v>55121997</v>
      </c>
      <c r="C40" s="353">
        <f>B40/'- 3 -'!D40*100</f>
        <v>56.696805193173375</v>
      </c>
      <c r="D40" s="24">
        <f>B40/'- 7 -'!C40</f>
        <v>6905.1820812507058</v>
      </c>
      <c r="E40" s="24">
        <f>SUM('- 21 -'!B40,'- 21 -'!E40,'- 21 -'!H40,'- 22 -'!B40,'- 22 -'!D40,'- 22 -'!G40,'- 23 -'!B40)</f>
        <v>20508718</v>
      </c>
      <c r="F40" s="353">
        <f>E40/'- 3 -'!D40*100</f>
        <v>21.094641930475202</v>
      </c>
      <c r="G40" s="24">
        <f>E40/'- 7 -'!F40</f>
        <v>2569.145527202576</v>
      </c>
      <c r="H40" s="24">
        <f>SUM('- 24 -'!D40,'- 24 -'!B40)</f>
        <v>0</v>
      </c>
      <c r="I40" s="353">
        <f>H40/'- 3 -'!D40*100</f>
        <v>0</v>
      </c>
    </row>
    <row r="41" spans="1:10" ht="14.1" customHeight="1">
      <c r="A41" s="360" t="s">
        <v>259</v>
      </c>
      <c r="B41" s="361">
        <f>SUM('- 18 -'!B41,'- 18 -'!E41,'- 19 -'!B41,'- 19 -'!E41,'- 19 -'!H41,'- 20 -'!B41)</f>
        <v>30755030</v>
      </c>
      <c r="C41" s="362">
        <f>B41/'- 3 -'!D41*100</f>
        <v>53.320823915584135</v>
      </c>
      <c r="D41" s="361">
        <f>B41/'- 7 -'!C41</f>
        <v>6915.9051045648748</v>
      </c>
      <c r="E41" s="361">
        <f>SUM('- 21 -'!B41,'- 21 -'!E41,'- 21 -'!H41,'- 22 -'!B41,'- 22 -'!D41,'- 22 -'!G41,'- 23 -'!B41)</f>
        <v>11049712</v>
      </c>
      <c r="F41" s="362">
        <f>E41/'- 3 -'!D41*100</f>
        <v>19.157183324806287</v>
      </c>
      <c r="G41" s="361">
        <f>E41/'- 7 -'!F41</f>
        <v>2484.7564650326062</v>
      </c>
      <c r="H41" s="361">
        <f>SUM('- 24 -'!D41,'- 24 -'!B41)</f>
        <v>991435</v>
      </c>
      <c r="I41" s="362">
        <f>H41/'- 3 -'!D41*100</f>
        <v>1.7188775643771821</v>
      </c>
    </row>
    <row r="42" spans="1:10" ht="14.1" customHeight="1">
      <c r="A42" s="23" t="s">
        <v>260</v>
      </c>
      <c r="B42" s="24">
        <f>SUM('- 18 -'!B42,'- 18 -'!E42,'- 19 -'!B42,'- 19 -'!E42,'- 19 -'!H42,'- 20 -'!B42)</f>
        <v>11046281</v>
      </c>
      <c r="C42" s="353">
        <f>B42/'- 3 -'!D42*100</f>
        <v>54.750582645676538</v>
      </c>
      <c r="D42" s="24">
        <f>B42/'- 7 -'!C42</f>
        <v>7895.8406004288781</v>
      </c>
      <c r="E42" s="24">
        <f>SUM('- 21 -'!B42,'- 21 -'!E42,'- 21 -'!H42,'- 22 -'!B42,'- 22 -'!D42,'- 22 -'!G42,'- 23 -'!B42)</f>
        <v>3508543</v>
      </c>
      <c r="F42" s="353">
        <f>E42/'- 3 -'!D42*100</f>
        <v>17.389995192717791</v>
      </c>
      <c r="G42" s="24">
        <f>E42/'- 7 -'!F42</f>
        <v>2507.8934953538242</v>
      </c>
      <c r="H42" s="24">
        <f>SUM('- 24 -'!D42,'- 24 -'!B42)</f>
        <v>0</v>
      </c>
      <c r="I42" s="353">
        <f>H42/'- 3 -'!D42*100</f>
        <v>0</v>
      </c>
    </row>
    <row r="43" spans="1:10" ht="14.1" customHeight="1">
      <c r="A43" s="360" t="s">
        <v>261</v>
      </c>
      <c r="B43" s="361">
        <f>SUM('- 18 -'!B43,'- 18 -'!E43,'- 19 -'!B43,'- 19 -'!E43,'- 19 -'!H43,'- 20 -'!B43)</f>
        <v>6400876</v>
      </c>
      <c r="C43" s="362">
        <f>B43/'- 3 -'!D43*100</f>
        <v>53.537069765146619</v>
      </c>
      <c r="D43" s="361">
        <f>B43/'- 7 -'!C43</f>
        <v>6629.5970999482133</v>
      </c>
      <c r="E43" s="361">
        <f>SUM('- 21 -'!B43,'- 21 -'!E43,'- 21 -'!H43,'- 22 -'!B43,'- 22 -'!D43,'- 22 -'!G43,'- 23 -'!B43)</f>
        <v>2153301</v>
      </c>
      <c r="F43" s="362">
        <f>E43/'- 3 -'!D43*100</f>
        <v>18.010257636979684</v>
      </c>
      <c r="G43" s="361">
        <f>E43/'- 7 -'!F43</f>
        <v>2230.2444329363025</v>
      </c>
      <c r="H43" s="361">
        <f>SUM('- 24 -'!D43,'- 24 -'!B43)</f>
        <v>251762</v>
      </c>
      <c r="I43" s="362">
        <f>H43/'- 3 -'!D43*100</f>
        <v>2.1057429886491854</v>
      </c>
    </row>
    <row r="44" spans="1:10" ht="14.1" customHeight="1">
      <c r="A44" s="23" t="s">
        <v>262</v>
      </c>
      <c r="B44" s="24">
        <f>SUM('- 18 -'!B44,'- 18 -'!E44,'- 19 -'!B44,'- 19 -'!E44,'- 19 -'!H44,'- 20 -'!B44)</f>
        <v>5729031</v>
      </c>
      <c r="C44" s="353">
        <f>B44/'- 3 -'!D44*100</f>
        <v>54.362575445575715</v>
      </c>
      <c r="D44" s="24">
        <f>B44/'- 7 -'!C44</f>
        <v>7608.2749003984063</v>
      </c>
      <c r="E44" s="24">
        <f>SUM('- 21 -'!B44,'- 21 -'!E44,'- 21 -'!H44,'- 22 -'!B44,'- 22 -'!D44,'- 22 -'!G44,'- 23 -'!B44)</f>
        <v>1866196</v>
      </c>
      <c r="F44" s="353">
        <f>E44/'- 3 -'!D44*100</f>
        <v>17.708268788601703</v>
      </c>
      <c r="G44" s="24">
        <f>E44/'- 7 -'!F44</f>
        <v>2478.3479415670649</v>
      </c>
      <c r="H44" s="24">
        <f>SUM('- 24 -'!D44,'- 24 -'!B44)</f>
        <v>0</v>
      </c>
      <c r="I44" s="353">
        <f>H44/'- 3 -'!D44*100</f>
        <v>0</v>
      </c>
    </row>
    <row r="45" spans="1:10" ht="14.1" customHeight="1">
      <c r="A45" s="360" t="s">
        <v>263</v>
      </c>
      <c r="B45" s="361">
        <f>SUM('- 18 -'!B45,'- 18 -'!E45,'- 19 -'!B45,'- 19 -'!E45,'- 19 -'!H45,'- 20 -'!B45)</f>
        <v>9962970</v>
      </c>
      <c r="C45" s="362">
        <f>B45/'- 3 -'!D45*100</f>
        <v>58.840639248803036</v>
      </c>
      <c r="D45" s="361">
        <f>B45/'- 7 -'!C45</f>
        <v>5912.7418397626116</v>
      </c>
      <c r="E45" s="361">
        <f>SUM('- 21 -'!B45,'- 21 -'!E45,'- 21 -'!H45,'- 22 -'!B45,'- 22 -'!D45,'- 22 -'!G45,'- 23 -'!B45)</f>
        <v>2692243</v>
      </c>
      <c r="F45" s="362">
        <f>E45/'- 3 -'!D45*100</f>
        <v>15.900208384961037</v>
      </c>
      <c r="G45" s="361">
        <f>E45/'- 7 -'!F45</f>
        <v>1597.7703264094955</v>
      </c>
      <c r="H45" s="361">
        <f>SUM('- 24 -'!D45,'- 24 -'!B45)</f>
        <v>385501</v>
      </c>
      <c r="I45" s="362">
        <f>H45/'- 3 -'!D45*100</f>
        <v>2.2767433075732257</v>
      </c>
    </row>
    <row r="46" spans="1:10" ht="14.1" customHeight="1">
      <c r="A46" s="23" t="s">
        <v>264</v>
      </c>
      <c r="B46" s="24">
        <f>SUM('- 18 -'!B46,'- 18 -'!E46,'- 19 -'!B46,'- 19 -'!E46,'- 19 -'!H46,'- 20 -'!B46)</f>
        <v>187239700</v>
      </c>
      <c r="C46" s="353">
        <f>B46/'- 3 -'!D46*100</f>
        <v>51.916107827300195</v>
      </c>
      <c r="D46" s="24">
        <f>B46/'- 7 -'!C46</f>
        <v>6171.3810151615025</v>
      </c>
      <c r="E46" s="24">
        <f>SUM('- 21 -'!B46,'- 21 -'!E46,'- 21 -'!H46,'- 22 -'!B46,'- 22 -'!D46,'- 22 -'!G46,'- 23 -'!B46)</f>
        <v>86774400</v>
      </c>
      <c r="F46" s="353">
        <f>E46/'- 3 -'!D46*100</f>
        <v>24.060010281202533</v>
      </c>
      <c r="G46" s="24">
        <f>E46/'- 7 -'!F46</f>
        <v>2860.0659195781145</v>
      </c>
      <c r="H46" s="24">
        <f>SUM('- 24 -'!D46,'- 24 -'!B46)</f>
        <v>756700</v>
      </c>
      <c r="I46" s="353">
        <f>H46/'- 3 -'!D46*100</f>
        <v>0.20981084029144492</v>
      </c>
    </row>
    <row r="47" spans="1:10" ht="5.0999999999999996" customHeight="1">
      <c r="A47"/>
      <c r="B47"/>
      <c r="C47"/>
      <c r="D47"/>
      <c r="E47"/>
      <c r="F47"/>
      <c r="G47"/>
      <c r="H47"/>
      <c r="I47"/>
      <c r="J47"/>
    </row>
    <row r="48" spans="1:10" ht="14.1" customHeight="1">
      <c r="A48" s="363" t="s">
        <v>265</v>
      </c>
      <c r="B48" s="364">
        <f>SUM(B11:B46)</f>
        <v>1152733194</v>
      </c>
      <c r="C48" s="365">
        <f>B48/'- 3 -'!D48*100</f>
        <v>55.36151355516057</v>
      </c>
      <c r="D48" s="364">
        <f>B48/'- 7 -'!C48</f>
        <v>6642.188372961361</v>
      </c>
      <c r="E48" s="364">
        <f>SUM(E11:E46)</f>
        <v>390299623</v>
      </c>
      <c r="F48" s="365">
        <f>E48/'- 3 -'!D48*100</f>
        <v>18.744647921788363</v>
      </c>
      <c r="G48" s="364">
        <f>E48/'- 7 -'!F48</f>
        <v>2248.9537313192031</v>
      </c>
      <c r="H48" s="364">
        <f>SUM(H11:H46)</f>
        <v>7495573</v>
      </c>
      <c r="I48" s="365">
        <f>H48/'- 3 -'!D48*100</f>
        <v>0.3599846594191124</v>
      </c>
    </row>
    <row r="49" spans="1:9" ht="5.0999999999999996" customHeight="1">
      <c r="A49" s="25" t="s">
        <v>3</v>
      </c>
      <c r="B49" s="26"/>
      <c r="C49" s="351"/>
      <c r="D49" s="26"/>
      <c r="E49" s="26"/>
      <c r="F49" s="351"/>
      <c r="H49" s="26"/>
      <c r="I49" s="351"/>
    </row>
    <row r="50" spans="1:9" ht="14.1" customHeight="1">
      <c r="A50" s="23" t="s">
        <v>266</v>
      </c>
      <c r="B50" s="24">
        <f>SUM('- 18 -'!B50,'- 18 -'!E50,'- 19 -'!B50,'- 19 -'!E50,'- 19 -'!H50,'- 20 -'!B50)</f>
        <v>1818251</v>
      </c>
      <c r="C50" s="353">
        <f>B50/'- 3 -'!D50*100</f>
        <v>55.404904272140087</v>
      </c>
      <c r="D50" s="24">
        <f>B50/'- 7 -'!C50</f>
        <v>10887.730538922156</v>
      </c>
      <c r="E50" s="24">
        <f>SUM('- 21 -'!B50,'- 21 -'!E50,'- 21 -'!H50,'- 22 -'!B50,'- 22 -'!D50,'- 22 -'!G50,'- 23 -'!B50)</f>
        <v>517859</v>
      </c>
      <c r="F50" s="353">
        <f>E50/'- 3 -'!D50*100</f>
        <v>15.779960149322726</v>
      </c>
      <c r="G50" s="24">
        <f>E50/'- 7 -'!F50</f>
        <v>3100.9520958083831</v>
      </c>
      <c r="H50" s="24">
        <f>SUM('- 24 -'!D50,'- 24 -'!B50)</f>
        <v>0</v>
      </c>
      <c r="I50" s="353">
        <f>H50/'- 3 -'!D50*100</f>
        <v>0</v>
      </c>
    </row>
    <row r="51" spans="1:9" ht="14.1" customHeight="1">
      <c r="A51" s="360" t="s">
        <v>267</v>
      </c>
      <c r="B51" s="361">
        <f>SUM('- 18 -'!B51,'- 18 -'!E51,'- 19 -'!B51,'- 19 -'!E51,'- 19 -'!H51,'- 20 -'!B51)</f>
        <v>4970585</v>
      </c>
      <c r="C51" s="362">
        <f>B51/'- 3 -'!D51*100</f>
        <v>23.915057746383191</v>
      </c>
      <c r="D51" s="361">
        <f>B51/'- 7 -'!C51</f>
        <v>8004.1626409017717</v>
      </c>
      <c r="E51" s="361">
        <f>SUM('- 21 -'!B51,'- 21 -'!E51,'- 21 -'!H51,'- 22 -'!B51,'- 22 -'!D51,'- 22 -'!G51,'- 23 -'!B51)</f>
        <v>993250</v>
      </c>
      <c r="F51" s="362">
        <f>E51/'- 3 -'!D51*100</f>
        <v>4.7788401378499916</v>
      </c>
      <c r="G51" s="361">
        <f>E51/'- 7 -'!F51</f>
        <v>1599.4363929146539</v>
      </c>
      <c r="H51" s="361">
        <f>SUM('- 24 -'!D51,'- 24 -'!B51)</f>
        <v>2748342</v>
      </c>
      <c r="I51" s="362">
        <f>H51/'- 3 -'!D51*100</f>
        <v>13.223143279274021</v>
      </c>
    </row>
    <row r="52" spans="1:9" ht="50.1" customHeight="1">
      <c r="A52"/>
      <c r="B52"/>
      <c r="C52"/>
      <c r="D52"/>
      <c r="E52"/>
      <c r="F52"/>
      <c r="G52"/>
      <c r="H52"/>
      <c r="I52"/>
    </row>
    <row r="53" spans="1:9" ht="15" customHeight="1">
      <c r="A53" s="608"/>
      <c r="B53" s="608"/>
      <c r="C53" s="608"/>
      <c r="D53" s="608"/>
      <c r="E53" s="608"/>
      <c r="F53" s="608"/>
      <c r="G53" s="608"/>
      <c r="H53" s="608"/>
      <c r="I53" s="608"/>
    </row>
    <row r="54" spans="1:9" ht="14.45" customHeight="1">
      <c r="B54" s="92"/>
      <c r="C54" s="92"/>
      <c r="E54" s="92"/>
      <c r="F54" s="92"/>
      <c r="H54" s="92"/>
      <c r="I54" s="92"/>
    </row>
    <row r="55" spans="1:9" ht="14.45" customHeight="1"/>
    <row r="56" spans="1:9" ht="14.45" customHeight="1"/>
    <row r="57" spans="1:9" ht="14.45" customHeight="1"/>
    <row r="58" spans="1:9" ht="14.45" customHeight="1"/>
    <row r="59" spans="1:9" ht="14.45" customHeight="1"/>
  </sheetData>
  <phoneticPr fontId="0" type="noConversion"/>
  <printOptions horizontalCentered="1"/>
  <pageMargins left="0.51181102362204722" right="0.51181102362204722" top="0.59055118110236227" bottom="0" header="0.31496062992125984" footer="0"/>
  <pageSetup scale="90" firstPageNumber="14" orientation="portrait" r:id="rId1"/>
  <headerFooter alignWithMargins="0">
    <oddHeader>&amp;C&amp;"Arial,Bold"&amp;10&amp;A</oddHeader>
  </headerFooter>
</worksheet>
</file>

<file path=xl/worksheets/sheet12.xml><?xml version="1.0" encoding="utf-8"?>
<worksheet xmlns="http://schemas.openxmlformats.org/spreadsheetml/2006/main" xmlns:r="http://schemas.openxmlformats.org/officeDocument/2006/relationships">
  <sheetPr codeName="Sheet11">
    <pageSetUpPr fitToPage="1"/>
  </sheetPr>
  <dimension ref="A1:J59"/>
  <sheetViews>
    <sheetView showGridLines="0" showZeros="0" workbookViewId="0"/>
  </sheetViews>
  <sheetFormatPr defaultColWidth="15.83203125" defaultRowHeight="12"/>
  <cols>
    <col min="1" max="1" width="30" style="1" customWidth="1"/>
    <col min="2" max="2" width="16.1640625" style="1" customWidth="1"/>
    <col min="3" max="3" width="10.1640625" style="1" customWidth="1"/>
    <col min="4" max="4" width="16.33203125" style="1" customWidth="1"/>
    <col min="5" max="5" width="8.83203125" style="1" customWidth="1"/>
    <col min="6" max="6" width="9.83203125" style="1" customWidth="1"/>
    <col min="7" max="7" width="12" style="1" bestFit="1" customWidth="1"/>
    <col min="8" max="8" width="8.83203125" style="1" customWidth="1"/>
    <col min="9" max="9" width="9.83203125" style="1" customWidth="1"/>
    <col min="10" max="16384" width="15.83203125" style="1"/>
  </cols>
  <sheetData>
    <row r="1" spans="1:9" ht="6.95" customHeight="1">
      <c r="A1" s="3"/>
      <c r="B1" s="4"/>
      <c r="C1" s="4"/>
      <c r="D1" s="4"/>
      <c r="E1" s="4"/>
      <c r="F1" s="4"/>
      <c r="G1" s="4"/>
      <c r="H1" s="4"/>
      <c r="I1" s="4"/>
    </row>
    <row r="2" spans="1:9" ht="15.95" customHeight="1">
      <c r="A2" s="161"/>
      <c r="B2" s="5" t="s">
        <v>487</v>
      </c>
      <c r="C2" s="6"/>
      <c r="D2" s="6"/>
      <c r="E2" s="6"/>
      <c r="F2" s="6"/>
      <c r="G2" s="106"/>
      <c r="H2" s="117"/>
      <c r="I2" s="184" t="s">
        <v>4</v>
      </c>
    </row>
    <row r="3" spans="1:9" ht="15.95" customHeight="1">
      <c r="A3" s="164"/>
      <c r="B3" s="7" t="str">
        <f>OPYEAR</f>
        <v>OPERATING FUND 2013/2014 BUDGET</v>
      </c>
      <c r="C3" s="8"/>
      <c r="D3" s="8"/>
      <c r="E3" s="8"/>
      <c r="F3" s="8"/>
      <c r="G3" s="108"/>
      <c r="H3" s="101"/>
      <c r="I3" s="101"/>
    </row>
    <row r="4" spans="1:9" ht="15.95" customHeight="1">
      <c r="B4" s="4"/>
      <c r="C4" s="4"/>
      <c r="D4" s="4"/>
      <c r="E4" s="4"/>
      <c r="F4" s="4"/>
      <c r="G4" s="4"/>
      <c r="H4" s="4"/>
      <c r="I4" s="4"/>
    </row>
    <row r="5" spans="1:9" ht="15.95" customHeight="1">
      <c r="B5" s="4"/>
      <c r="C5" s="4"/>
      <c r="D5" s="4"/>
      <c r="E5" s="4"/>
      <c r="F5" s="4"/>
      <c r="G5" s="4"/>
      <c r="H5" s="4"/>
      <c r="I5" s="4"/>
    </row>
    <row r="6" spans="1:9" ht="15.95" customHeight="1">
      <c r="B6" s="354" t="s">
        <v>50</v>
      </c>
      <c r="C6" s="355"/>
      <c r="D6" s="354" t="s">
        <v>180</v>
      </c>
      <c r="E6" s="355"/>
      <c r="F6" s="356"/>
      <c r="G6" s="354" t="s">
        <v>469</v>
      </c>
      <c r="H6" s="355"/>
      <c r="I6" s="356"/>
    </row>
    <row r="7" spans="1:9" ht="15.95" customHeight="1">
      <c r="B7" s="357" t="s">
        <v>210</v>
      </c>
      <c r="C7" s="358"/>
      <c r="D7" s="357" t="s">
        <v>30</v>
      </c>
      <c r="E7" s="358"/>
      <c r="F7" s="359"/>
      <c r="G7" s="357" t="s">
        <v>36</v>
      </c>
      <c r="H7" s="358"/>
      <c r="I7" s="359"/>
    </row>
    <row r="8" spans="1:9" ht="15.95" customHeight="1">
      <c r="A8" s="102"/>
      <c r="B8" s="10" t="s">
        <v>3</v>
      </c>
      <c r="C8" s="235"/>
      <c r="D8" s="170"/>
      <c r="E8" s="169"/>
      <c r="F8" s="169" t="s">
        <v>60</v>
      </c>
      <c r="G8" s="170"/>
      <c r="H8" s="169"/>
      <c r="I8" s="169" t="s">
        <v>60</v>
      </c>
    </row>
    <row r="9" spans="1:9" ht="15.95" customHeight="1">
      <c r="A9" s="35" t="s">
        <v>81</v>
      </c>
      <c r="B9" s="113" t="s">
        <v>82</v>
      </c>
      <c r="C9" s="113" t="s">
        <v>83</v>
      </c>
      <c r="D9" s="113" t="s">
        <v>82</v>
      </c>
      <c r="E9" s="113" t="s">
        <v>83</v>
      </c>
      <c r="F9" s="113" t="s">
        <v>84</v>
      </c>
      <c r="G9" s="113" t="s">
        <v>82</v>
      </c>
      <c r="H9" s="113" t="s">
        <v>83</v>
      </c>
      <c r="I9" s="113" t="s">
        <v>84</v>
      </c>
    </row>
    <row r="10" spans="1:9" ht="5.0999999999999996" customHeight="1">
      <c r="A10" s="37"/>
    </row>
    <row r="11" spans="1:9" ht="14.1" customHeight="1">
      <c r="A11" s="360" t="s">
        <v>230</v>
      </c>
      <c r="B11" s="361">
        <f>SUM('- 25 -'!H11,'- 25 -'!F11,'- 25 -'!D11,'- 25 -'!B11)</f>
        <v>21450</v>
      </c>
      <c r="C11" s="362">
        <f>B11/'- 3 -'!D11*100</f>
        <v>0.12801055308257467</v>
      </c>
      <c r="D11" s="361">
        <f>SUM('- 26 -'!B11,'- 26 -'!E11,'- 26 -'!H11,'- 27 -'!B11)</f>
        <v>608860</v>
      </c>
      <c r="E11" s="362">
        <f>D11/'- 3 -'!D11*100</f>
        <v>3.6335899930002995</v>
      </c>
      <c r="F11" s="361">
        <f>D11/'- 7 -'!F11</f>
        <v>397.5579497224943</v>
      </c>
      <c r="G11" s="361">
        <f>SUM('- 28 -'!B11,'- 28 -'!E11,'- 28 -'!H11,'- 29 -'!B11,'- 29 -'!E11)</f>
        <v>360637</v>
      </c>
      <c r="H11" s="362">
        <f>G11/'- 3 -'!D11*100</f>
        <v>2.1522303884401159</v>
      </c>
      <c r="I11" s="361">
        <f>G11/'- 7 -'!F11</f>
        <v>235.4795951681358</v>
      </c>
    </row>
    <row r="12" spans="1:9" ht="14.1" customHeight="1">
      <c r="A12" s="23" t="s">
        <v>231</v>
      </c>
      <c r="B12" s="24">
        <f>SUM('- 25 -'!H12,'- 25 -'!F12,'- 25 -'!D12,'- 25 -'!B12)</f>
        <v>46500</v>
      </c>
      <c r="C12" s="353">
        <f>B12/'- 3 -'!D12*100</f>
        <v>0.1501336576995223</v>
      </c>
      <c r="D12" s="24">
        <f>SUM('- 26 -'!B12,'- 26 -'!E12,'- 26 -'!H12,'- 27 -'!B12)</f>
        <v>1035692</v>
      </c>
      <c r="E12" s="353">
        <f>D12/'- 3 -'!D12*100</f>
        <v>3.3439188862394333</v>
      </c>
      <c r="F12" s="24">
        <f>D12/'- 7 -'!F12</f>
        <v>454.62973530573714</v>
      </c>
      <c r="G12" s="24">
        <f>SUM('- 28 -'!B12,'- 28 -'!E12,'- 28 -'!H12,'- 29 -'!B12,'- 29 -'!E12)</f>
        <v>785007</v>
      </c>
      <c r="H12" s="353">
        <f>G12/'- 3 -'!D12*100</f>
        <v>2.5345370371984708</v>
      </c>
      <c r="I12" s="24">
        <f>G12/'- 7 -'!F12</f>
        <v>344.58847285018209</v>
      </c>
    </row>
    <row r="13" spans="1:9" ht="14.1" customHeight="1">
      <c r="A13" s="360" t="s">
        <v>232</v>
      </c>
      <c r="B13" s="361">
        <f>SUM('- 25 -'!H13,'- 25 -'!F13,'- 25 -'!D13,'- 25 -'!B13)</f>
        <v>293200</v>
      </c>
      <c r="C13" s="362">
        <f>B13/'- 3 -'!D13*100</f>
        <v>0.33948583873959515</v>
      </c>
      <c r="D13" s="361">
        <f>SUM('- 26 -'!B13,'- 26 -'!E13,'- 26 -'!H13,'- 27 -'!B13)</f>
        <v>2732600</v>
      </c>
      <c r="E13" s="362">
        <f>D13/'- 3 -'!D13*100</f>
        <v>3.1639802283077003</v>
      </c>
      <c r="F13" s="361">
        <f>D13/'- 7 -'!F13</f>
        <v>338.02447541634552</v>
      </c>
      <c r="G13" s="361">
        <f>SUM('- 28 -'!B13,'- 28 -'!E13,'- 28 -'!H13,'- 29 -'!B13,'- 29 -'!E13)</f>
        <v>2523000</v>
      </c>
      <c r="H13" s="362">
        <f>G13/'- 3 -'!D13*100</f>
        <v>2.9212918524556564</v>
      </c>
      <c r="I13" s="361">
        <f>G13/'- 7 -'!F13</f>
        <v>312.09681309940709</v>
      </c>
    </row>
    <row r="14" spans="1:9" ht="14.1" customHeight="1">
      <c r="A14" s="23" t="s">
        <v>578</v>
      </c>
      <c r="B14" s="24">
        <f>SUM('- 25 -'!H14,'- 25 -'!F14,'- 25 -'!D14,'- 25 -'!B14)</f>
        <v>925583</v>
      </c>
      <c r="C14" s="353">
        <f>B14/'- 3 -'!D14*100</f>
        <v>1.2346380217203441</v>
      </c>
      <c r="D14" s="24">
        <f>SUM('- 26 -'!B14,'- 26 -'!E14,'- 26 -'!H14,'- 27 -'!B14)</f>
        <v>3101056</v>
      </c>
      <c r="E14" s="353">
        <f>D14/'- 3 -'!D14*100</f>
        <v>4.1365081738579939</v>
      </c>
      <c r="F14" s="24">
        <f>D14/'- 7 -'!F14</f>
        <v>594.64161073825505</v>
      </c>
      <c r="G14" s="24">
        <f>SUM('- 28 -'!B14,'- 28 -'!E14,'- 28 -'!H14,'- 29 -'!B14,'- 29 -'!E14)</f>
        <v>2864863</v>
      </c>
      <c r="H14" s="353">
        <f>G14/'- 3 -'!D14*100</f>
        <v>3.8214496018399324</v>
      </c>
      <c r="I14" s="24">
        <f>G14/'- 7 -'!F14</f>
        <v>549.35052732502402</v>
      </c>
    </row>
    <row r="15" spans="1:9" ht="14.1" customHeight="1">
      <c r="A15" s="360" t="s">
        <v>233</v>
      </c>
      <c r="B15" s="361">
        <f>SUM('- 25 -'!H15,'- 25 -'!F15,'- 25 -'!D15,'- 25 -'!B15)</f>
        <v>47500</v>
      </c>
      <c r="C15" s="362">
        <f>B15/'- 3 -'!D15*100</f>
        <v>0.2430820635835127</v>
      </c>
      <c r="D15" s="361">
        <f>SUM('- 26 -'!B15,'- 26 -'!E15,'- 26 -'!H15,'- 27 -'!B15)</f>
        <v>815845</v>
      </c>
      <c r="E15" s="362">
        <f>D15/'- 3 -'!D15*100</f>
        <v>4.1751007613534927</v>
      </c>
      <c r="F15" s="361">
        <f>D15/'- 7 -'!F15</f>
        <v>536.7401315789474</v>
      </c>
      <c r="G15" s="361">
        <f>SUM('- 28 -'!B15,'- 28 -'!E15,'- 28 -'!H15,'- 29 -'!B15,'- 29 -'!E15)</f>
        <v>600278</v>
      </c>
      <c r="H15" s="362">
        <f>G15/'- 3 -'!D15*100</f>
        <v>3.0719329466059757</v>
      </c>
      <c r="I15" s="361">
        <f>G15/'- 7 -'!F15</f>
        <v>394.91973684210524</v>
      </c>
    </row>
    <row r="16" spans="1:9" ht="14.1" customHeight="1">
      <c r="A16" s="23" t="s">
        <v>234</v>
      </c>
      <c r="B16" s="24">
        <f>SUM('- 25 -'!H16,'- 25 -'!F16,'- 25 -'!D16,'- 25 -'!B16)</f>
        <v>14000</v>
      </c>
      <c r="C16" s="353">
        <f>B16/'- 3 -'!D16*100</f>
        <v>0.10690567109385958</v>
      </c>
      <c r="D16" s="24">
        <f>SUM('- 26 -'!B16,'- 26 -'!E16,'- 26 -'!H16,'- 27 -'!B16)</f>
        <v>684712</v>
      </c>
      <c r="E16" s="353">
        <f>D16/'- 3 -'!D16*100</f>
        <v>5.2285425618584842</v>
      </c>
      <c r="F16" s="24">
        <f>D16/'- 7 -'!F16</f>
        <v>688.15276381909553</v>
      </c>
      <c r="G16" s="24">
        <f>SUM('- 28 -'!B16,'- 28 -'!E16,'- 28 -'!H16,'- 29 -'!B16,'- 29 -'!E16)</f>
        <v>342938</v>
      </c>
      <c r="H16" s="353">
        <f>G16/'- 3 -'!D16*100</f>
        <v>2.6187155023990014</v>
      </c>
      <c r="I16" s="24">
        <f>G16/'- 7 -'!F16</f>
        <v>344.66130653266333</v>
      </c>
    </row>
    <row r="17" spans="1:9" ht="14.1" customHeight="1">
      <c r="A17" s="360" t="s">
        <v>235</v>
      </c>
      <c r="B17" s="361">
        <f>SUM('- 25 -'!H17,'- 25 -'!F17,'- 25 -'!D17,'- 25 -'!B17)</f>
        <v>235500</v>
      </c>
      <c r="C17" s="362">
        <f>B17/'- 3 -'!D17*100</f>
        <v>1.4285130228827769</v>
      </c>
      <c r="D17" s="361">
        <f>SUM('- 26 -'!B17,'- 26 -'!E17,'- 26 -'!H17,'- 27 -'!B17)</f>
        <v>732750</v>
      </c>
      <c r="E17" s="362">
        <f>D17/'- 3 -'!D17*100</f>
        <v>4.4447682272499147</v>
      </c>
      <c r="F17" s="361">
        <f>D17/'- 7 -'!F17</f>
        <v>563.437139561707</v>
      </c>
      <c r="G17" s="361">
        <f>SUM('- 28 -'!B17,'- 28 -'!E17,'- 28 -'!H17,'- 29 -'!B17,'- 29 -'!E17)</f>
        <v>434257</v>
      </c>
      <c r="H17" s="362">
        <f>G17/'- 3 -'!D17*100</f>
        <v>2.6341476848322976</v>
      </c>
      <c r="I17" s="361">
        <f>G17/'- 7 -'!F17</f>
        <v>333.91541714725105</v>
      </c>
    </row>
    <row r="18" spans="1:9" ht="14.1" customHeight="1">
      <c r="A18" s="23" t="s">
        <v>236</v>
      </c>
      <c r="B18" s="24">
        <f>SUM('- 25 -'!H18,'- 25 -'!F18,'- 25 -'!D18,'- 25 -'!B18)</f>
        <v>2372249</v>
      </c>
      <c r="C18" s="353">
        <f>B18/'- 3 -'!D18*100</f>
        <v>1.9903567270314351</v>
      </c>
      <c r="D18" s="24">
        <f>SUM('- 26 -'!B18,'- 26 -'!E18,'- 26 -'!H18,'- 27 -'!B18)</f>
        <v>6200363</v>
      </c>
      <c r="E18" s="353">
        <f>D18/'- 3 -'!D18*100</f>
        <v>5.202208624426361</v>
      </c>
      <c r="F18" s="24">
        <f>D18/'- 7 -'!F18</f>
        <v>994.84364219815484</v>
      </c>
      <c r="G18" s="24">
        <f>SUM('- 28 -'!B18,'- 28 -'!E18,'- 28 -'!H18,'- 29 -'!B18,'- 29 -'!E18)</f>
        <v>6555772</v>
      </c>
      <c r="H18" s="353">
        <f>G18/'- 3 -'!D18*100</f>
        <v>5.5004027406416132</v>
      </c>
      <c r="I18" s="24">
        <f>G18/'- 7 -'!F18</f>
        <v>1051.8687525070197</v>
      </c>
    </row>
    <row r="19" spans="1:9" ht="14.1" customHeight="1">
      <c r="A19" s="360" t="s">
        <v>237</v>
      </c>
      <c r="B19" s="361">
        <f>SUM('- 25 -'!H19,'- 25 -'!F19,'- 25 -'!D19,'- 25 -'!B19)</f>
        <v>71800</v>
      </c>
      <c r="C19" s="362">
        <f>B19/'- 3 -'!D19*100</f>
        <v>0.16540350680774801</v>
      </c>
      <c r="D19" s="361">
        <f>SUM('- 26 -'!B19,'- 26 -'!E19,'- 26 -'!H19,'- 27 -'!B19)</f>
        <v>1362920</v>
      </c>
      <c r="E19" s="362">
        <f>D19/'- 3 -'!D19*100</f>
        <v>3.1397179317328128</v>
      </c>
      <c r="F19" s="361">
        <f>D19/'- 7 -'!F19</f>
        <v>323.81088144452366</v>
      </c>
      <c r="G19" s="361">
        <f>SUM('- 28 -'!B19,'- 28 -'!E19,'- 28 -'!H19,'- 29 -'!B19,'- 29 -'!E19)</f>
        <v>1067500</v>
      </c>
      <c r="H19" s="362">
        <f>G19/'- 3 -'!D19*100</f>
        <v>2.4591677370093454</v>
      </c>
      <c r="I19" s="361">
        <f>G19/'- 7 -'!F19</f>
        <v>253.62318840579709</v>
      </c>
    </row>
    <row r="20" spans="1:9" ht="14.1" customHeight="1">
      <c r="A20" s="23" t="s">
        <v>238</v>
      </c>
      <c r="B20" s="24">
        <f>SUM('- 25 -'!H20,'- 25 -'!F20,'- 25 -'!D20,'- 25 -'!B20)</f>
        <v>124700</v>
      </c>
      <c r="C20" s="353">
        <f>B20/'- 3 -'!D20*100</f>
        <v>0.17544550777897522</v>
      </c>
      <c r="D20" s="24">
        <f>SUM('- 26 -'!B20,'- 26 -'!E20,'- 26 -'!H20,'- 27 -'!B20)</f>
        <v>1983400</v>
      </c>
      <c r="E20" s="353">
        <f>D20/'- 3 -'!D20*100</f>
        <v>2.7905262239680795</v>
      </c>
      <c r="F20" s="24">
        <f>D20/'- 7 -'!F20</f>
        <v>263.06784269513895</v>
      </c>
      <c r="G20" s="24">
        <f>SUM('- 28 -'!B20,'- 28 -'!E20,'- 28 -'!H20,'- 29 -'!B20,'- 29 -'!E20)</f>
        <v>2225100</v>
      </c>
      <c r="H20" s="353">
        <f>G20/'- 3 -'!D20*100</f>
        <v>3.1305837959823397</v>
      </c>
      <c r="I20" s="24">
        <f>G20/'- 7 -'!F20</f>
        <v>295.12567146362488</v>
      </c>
    </row>
    <row r="21" spans="1:9" ht="14.1" customHeight="1">
      <c r="A21" s="360" t="s">
        <v>239</v>
      </c>
      <c r="B21" s="361">
        <f>SUM('- 25 -'!H21,'- 25 -'!F21,'- 25 -'!D21,'- 25 -'!B21)</f>
        <v>240000</v>
      </c>
      <c r="C21" s="362">
        <f>B21/'- 3 -'!D21*100</f>
        <v>0.70488417475406229</v>
      </c>
      <c r="D21" s="361">
        <f>SUM('- 26 -'!B21,'- 26 -'!E21,'- 26 -'!H21,'- 27 -'!B21)</f>
        <v>1281600</v>
      </c>
      <c r="E21" s="362">
        <f>D21/'- 3 -'!D21*100</f>
        <v>3.7640814931866924</v>
      </c>
      <c r="F21" s="361">
        <f>D21/'- 7 -'!F21</f>
        <v>476.43122676579924</v>
      </c>
      <c r="G21" s="361">
        <f>SUM('- 28 -'!B21,'- 28 -'!E21,'- 28 -'!H21,'- 29 -'!B21,'- 29 -'!E21)</f>
        <v>1551150</v>
      </c>
      <c r="H21" s="362">
        <f>G21/'- 3 -'!D21*100</f>
        <v>4.5557545319573487</v>
      </c>
      <c r="I21" s="361">
        <f>G21/'- 7 -'!F21</f>
        <v>576.63568773234203</v>
      </c>
    </row>
    <row r="22" spans="1:9" ht="14.1" customHeight="1">
      <c r="A22" s="23" t="s">
        <v>240</v>
      </c>
      <c r="B22" s="24">
        <f>SUM('- 25 -'!H22,'- 25 -'!F22,'- 25 -'!D22,'- 25 -'!B22)</f>
        <v>82350</v>
      </c>
      <c r="C22" s="353">
        <f>B22/'- 3 -'!D22*100</f>
        <v>0.41354889634420766</v>
      </c>
      <c r="D22" s="24">
        <f>SUM('- 26 -'!B22,'- 26 -'!E22,'- 26 -'!H22,'- 27 -'!B22)</f>
        <v>780575</v>
      </c>
      <c r="E22" s="353">
        <f>D22/'- 3 -'!D22*100</f>
        <v>3.9199262873573759</v>
      </c>
      <c r="F22" s="24">
        <f>D22/'- 7 -'!F22</f>
        <v>482.13403335392218</v>
      </c>
      <c r="G22" s="24">
        <f>SUM('- 28 -'!B22,'- 28 -'!E22,'- 28 -'!H22,'- 29 -'!B22,'- 29 -'!E22)</f>
        <v>523485</v>
      </c>
      <c r="H22" s="353">
        <f>G22/'- 3 -'!D22*100</f>
        <v>2.6288602793290536</v>
      </c>
      <c r="I22" s="24">
        <f>G22/'- 7 -'!F22</f>
        <v>323.33848054354542</v>
      </c>
    </row>
    <row r="23" spans="1:9" ht="14.1" customHeight="1">
      <c r="A23" s="360" t="s">
        <v>241</v>
      </c>
      <c r="B23" s="361">
        <f>SUM('- 25 -'!H23,'- 25 -'!F23,'- 25 -'!D23,'- 25 -'!B23)</f>
        <v>272000</v>
      </c>
      <c r="C23" s="362">
        <f>B23/'- 3 -'!D23*100</f>
        <v>1.6974559379130529</v>
      </c>
      <c r="D23" s="361">
        <f>SUM('- 26 -'!B23,'- 26 -'!E23,'- 26 -'!H23,'- 27 -'!B23)</f>
        <v>594600</v>
      </c>
      <c r="E23" s="362">
        <f>D23/'- 3 -'!D23*100</f>
        <v>3.7106886054525781</v>
      </c>
      <c r="F23" s="361">
        <f>D23/'- 7 -'!F23</f>
        <v>503.04568527918781</v>
      </c>
      <c r="G23" s="361">
        <f>SUM('- 28 -'!B23,'- 28 -'!E23,'- 28 -'!H23,'- 29 -'!B23,'- 29 -'!E23)</f>
        <v>376800</v>
      </c>
      <c r="H23" s="362">
        <f>G23/'- 3 -'!D23*100</f>
        <v>2.351475725756023</v>
      </c>
      <c r="I23" s="361">
        <f>G23/'- 7 -'!F23</f>
        <v>318.7817258883249</v>
      </c>
    </row>
    <row r="24" spans="1:9" ht="14.1" customHeight="1">
      <c r="A24" s="23" t="s">
        <v>242</v>
      </c>
      <c r="B24" s="24">
        <f>SUM('- 25 -'!H24,'- 25 -'!F24,'- 25 -'!D24,'- 25 -'!B24)</f>
        <v>393445</v>
      </c>
      <c r="C24" s="353">
        <f>B24/'- 3 -'!D24*100</f>
        <v>0.74562339845042158</v>
      </c>
      <c r="D24" s="24">
        <f>SUM('- 26 -'!B24,'- 26 -'!E24,'- 26 -'!H24,'- 27 -'!B24)</f>
        <v>1815235</v>
      </c>
      <c r="E24" s="353">
        <f>D24/'- 3 -'!D24*100</f>
        <v>3.4400785108112975</v>
      </c>
      <c r="F24" s="24">
        <f>D24/'- 7 -'!F24</f>
        <v>432.55927558679855</v>
      </c>
      <c r="G24" s="24">
        <f>SUM('- 28 -'!B24,'- 28 -'!E24,'- 28 -'!H24,'- 29 -'!B24,'- 29 -'!E24)</f>
        <v>1444990</v>
      </c>
      <c r="H24" s="353">
        <f>G24/'- 3 -'!D24*100</f>
        <v>2.7384217731242604</v>
      </c>
      <c r="I24" s="24">
        <f>G24/'- 7 -'!F24</f>
        <v>344.33218157988802</v>
      </c>
    </row>
    <row r="25" spans="1:9" ht="14.1" customHeight="1">
      <c r="A25" s="360" t="s">
        <v>243</v>
      </c>
      <c r="B25" s="361">
        <f>SUM('- 25 -'!H25,'- 25 -'!F25,'- 25 -'!D25,'- 25 -'!B25)</f>
        <v>990932</v>
      </c>
      <c r="C25" s="362">
        <f>B25/'- 3 -'!D25*100</f>
        <v>0.63992089492523729</v>
      </c>
      <c r="D25" s="361">
        <f>SUM('- 26 -'!B25,'- 26 -'!E25,'- 26 -'!H25,'- 27 -'!B25)</f>
        <v>4857296</v>
      </c>
      <c r="E25" s="362">
        <f>D25/'- 3 -'!D25*100</f>
        <v>3.136729062374386</v>
      </c>
      <c r="F25" s="361">
        <f>D25/'- 7 -'!F25</f>
        <v>351.79952198160356</v>
      </c>
      <c r="G25" s="361">
        <f>SUM('- 28 -'!B25,'- 28 -'!E25,'- 28 -'!H25,'- 29 -'!B25,'- 29 -'!E25)</f>
        <v>7285912</v>
      </c>
      <c r="H25" s="362">
        <f>G25/'- 3 -'!D25*100</f>
        <v>4.7050729287040136</v>
      </c>
      <c r="I25" s="361">
        <f>G25/'- 7 -'!F25</f>
        <v>527.69696530745273</v>
      </c>
    </row>
    <row r="26" spans="1:9" ht="14.1" customHeight="1">
      <c r="A26" s="23" t="s">
        <v>244</v>
      </c>
      <c r="B26" s="24">
        <f>SUM('- 25 -'!H26,'- 25 -'!F26,'- 25 -'!D26,'- 25 -'!B26)</f>
        <v>101005</v>
      </c>
      <c r="C26" s="353">
        <f>B26/'- 3 -'!D26*100</f>
        <v>0.2662022221303299</v>
      </c>
      <c r="D26" s="24">
        <f>SUM('- 26 -'!B26,'- 26 -'!E26,'- 26 -'!H26,'- 27 -'!B26)</f>
        <v>1223840</v>
      </c>
      <c r="E26" s="353">
        <f>D26/'- 3 -'!D26*100</f>
        <v>3.2254732689667138</v>
      </c>
      <c r="F26" s="24">
        <f>D26/'- 7 -'!F26</f>
        <v>396.25708272624252</v>
      </c>
      <c r="G26" s="24">
        <f>SUM('- 28 -'!B26,'- 28 -'!E26,'- 28 -'!H26,'- 29 -'!B26,'- 29 -'!E26)</f>
        <v>1291983</v>
      </c>
      <c r="H26" s="353">
        <f>G26/'- 3 -'!D26*100</f>
        <v>3.4050665368507502</v>
      </c>
      <c r="I26" s="24">
        <f>G26/'- 7 -'!F26</f>
        <v>418.32054395337542</v>
      </c>
    </row>
    <row r="27" spans="1:9" ht="14.1" customHeight="1">
      <c r="A27" s="360" t="s">
        <v>245</v>
      </c>
      <c r="B27" s="361">
        <f>SUM('- 25 -'!H27,'- 25 -'!F27,'- 25 -'!D27,'- 25 -'!B27)</f>
        <v>49981</v>
      </c>
      <c r="C27" s="362">
        <f>B27/'- 3 -'!D27*100</f>
        <v>0.12989704734429139</v>
      </c>
      <c r="D27" s="361">
        <f>SUM('- 26 -'!B27,'- 26 -'!E27,'- 26 -'!H27,'- 27 -'!B27)</f>
        <v>1787545</v>
      </c>
      <c r="E27" s="362">
        <f>D27/'- 3 -'!D27*100</f>
        <v>4.645701716553317</v>
      </c>
      <c r="F27" s="361">
        <f>D27/'- 7 -'!F27</f>
        <v>649.7800799709197</v>
      </c>
      <c r="G27" s="361">
        <f>SUM('- 28 -'!B27,'- 28 -'!E27,'- 28 -'!H27,'- 29 -'!B27,'- 29 -'!E27)</f>
        <v>2250501</v>
      </c>
      <c r="H27" s="362">
        <f>G27/'- 3 -'!D27*100</f>
        <v>5.8488912775929869</v>
      </c>
      <c r="I27" s="361">
        <f>G27/'- 7 -'!F27</f>
        <v>818.06652126499455</v>
      </c>
    </row>
    <row r="28" spans="1:9" ht="14.1" customHeight="1">
      <c r="A28" s="23" t="s">
        <v>246</v>
      </c>
      <c r="B28" s="24">
        <f>SUM('- 25 -'!H28,'- 25 -'!F28,'- 25 -'!D28,'- 25 -'!B28)</f>
        <v>80302</v>
      </c>
      <c r="C28" s="353">
        <f>B28/'- 3 -'!D28*100</f>
        <v>0.30798846962845239</v>
      </c>
      <c r="D28" s="24">
        <f>SUM('- 26 -'!B28,'- 26 -'!E28,'- 26 -'!H28,'- 27 -'!B28)</f>
        <v>1088081</v>
      </c>
      <c r="E28" s="353">
        <f>D28/'- 3 -'!D28*100</f>
        <v>4.1732011907772675</v>
      </c>
      <c r="F28" s="24">
        <f>D28/'- 7 -'!F28</f>
        <v>550.9270886075949</v>
      </c>
      <c r="G28" s="24">
        <f>SUM('- 28 -'!B28,'- 28 -'!E28,'- 28 -'!H28,'- 29 -'!B28,'- 29 -'!E28)</f>
        <v>680486</v>
      </c>
      <c r="H28" s="353">
        <f>G28/'- 3 -'!D28*100</f>
        <v>2.6099205716369092</v>
      </c>
      <c r="I28" s="24">
        <f>G28/'- 7 -'!F28</f>
        <v>344.54987341772153</v>
      </c>
    </row>
    <row r="29" spans="1:9" ht="14.1" customHeight="1">
      <c r="A29" s="360" t="s">
        <v>247</v>
      </c>
      <c r="B29" s="361">
        <f>SUM('- 25 -'!H29,'- 25 -'!F29,'- 25 -'!D29,'- 25 -'!B29)</f>
        <v>591074</v>
      </c>
      <c r="C29" s="362">
        <f>B29/'- 3 -'!D29*100</f>
        <v>0.41619966543003711</v>
      </c>
      <c r="D29" s="361">
        <f>SUM('- 26 -'!B29,'- 26 -'!E29,'- 26 -'!H29,'- 27 -'!B29)</f>
        <v>4840863</v>
      </c>
      <c r="E29" s="362">
        <f>D29/'- 3 -'!D29*100</f>
        <v>3.4086519809577922</v>
      </c>
      <c r="F29" s="361">
        <f>D29/'- 7 -'!F29</f>
        <v>400.48504653567733</v>
      </c>
      <c r="G29" s="361">
        <f>SUM('- 28 -'!B29,'- 28 -'!E29,'- 28 -'!H29,'- 29 -'!B29,'- 29 -'!E29)</f>
        <v>6074870</v>
      </c>
      <c r="H29" s="362">
        <f>G29/'- 3 -'!D29*100</f>
        <v>4.2775673799405309</v>
      </c>
      <c r="I29" s="361">
        <f>G29/'- 7 -'!F29</f>
        <v>502.57456049638057</v>
      </c>
    </row>
    <row r="30" spans="1:9" ht="14.1" customHeight="1">
      <c r="A30" s="23" t="s">
        <v>248</v>
      </c>
      <c r="B30" s="24">
        <f>SUM('- 25 -'!H30,'- 25 -'!F30,'- 25 -'!D30,'- 25 -'!B30)</f>
        <v>13108</v>
      </c>
      <c r="C30" s="353">
        <f>B30/'- 3 -'!D30*100</f>
        <v>9.7419085415534984E-2</v>
      </c>
      <c r="D30" s="24">
        <f>SUM('- 26 -'!B30,'- 26 -'!E30,'- 26 -'!H30,'- 27 -'!B30)</f>
        <v>542337</v>
      </c>
      <c r="E30" s="353">
        <f>D30/'- 3 -'!D30*100</f>
        <v>4.0306663508548208</v>
      </c>
      <c r="F30" s="24">
        <f>D30/'- 7 -'!F30</f>
        <v>506.85700934579438</v>
      </c>
      <c r="G30" s="24">
        <f>SUM('- 28 -'!B30,'- 28 -'!E30,'- 28 -'!H30,'- 29 -'!B30,'- 29 -'!E30)</f>
        <v>489314</v>
      </c>
      <c r="H30" s="353">
        <f>G30/'- 3 -'!D30*100</f>
        <v>3.6365976778316362</v>
      </c>
      <c r="I30" s="24">
        <f>G30/'- 7 -'!F30</f>
        <v>457.30280373831778</v>
      </c>
    </row>
    <row r="31" spans="1:9" ht="14.1" customHeight="1">
      <c r="A31" s="360" t="s">
        <v>249</v>
      </c>
      <c r="B31" s="361">
        <f>SUM('- 25 -'!H31,'- 25 -'!F31,'- 25 -'!D31,'- 25 -'!B31)</f>
        <v>48719</v>
      </c>
      <c r="C31" s="362">
        <f>B31/'- 3 -'!D31*100</f>
        <v>0.14488778445703421</v>
      </c>
      <c r="D31" s="361">
        <f>SUM('- 26 -'!B31,'- 26 -'!E31,'- 26 -'!H31,'- 27 -'!B31)</f>
        <v>1138322</v>
      </c>
      <c r="E31" s="362">
        <f>D31/'- 3 -'!D31*100</f>
        <v>3.3853107120158481</v>
      </c>
      <c r="F31" s="361">
        <f>D31/'- 7 -'!F31</f>
        <v>356.84075235109719</v>
      </c>
      <c r="G31" s="361">
        <f>SUM('- 28 -'!B31,'- 28 -'!E31,'- 28 -'!H31,'- 29 -'!B31,'- 29 -'!E31)</f>
        <v>1212659</v>
      </c>
      <c r="H31" s="362">
        <f>G31/'- 3 -'!D31*100</f>
        <v>3.6063851025653784</v>
      </c>
      <c r="I31" s="361">
        <f>G31/'- 7 -'!F31</f>
        <v>380.14388714733542</v>
      </c>
    </row>
    <row r="32" spans="1:9" ht="14.1" customHeight="1">
      <c r="A32" s="23" t="s">
        <v>250</v>
      </c>
      <c r="B32" s="24">
        <f>SUM('- 25 -'!H32,'- 25 -'!F32,'- 25 -'!D32,'- 25 -'!B32)</f>
        <v>30800</v>
      </c>
      <c r="C32" s="353">
        <f>B32/'- 3 -'!D32*100</f>
        <v>0.12057995198568952</v>
      </c>
      <c r="D32" s="24">
        <f>SUM('- 26 -'!B32,'- 26 -'!E32,'- 26 -'!H32,'- 27 -'!B32)</f>
        <v>1030170</v>
      </c>
      <c r="E32" s="353">
        <f>D32/'- 3 -'!D32*100</f>
        <v>4.0330470499057709</v>
      </c>
      <c r="F32" s="24">
        <f>D32/'- 7 -'!F32</f>
        <v>503.62747494500121</v>
      </c>
      <c r="G32" s="24">
        <f>SUM('- 28 -'!B32,'- 28 -'!E32,'- 28 -'!H32,'- 29 -'!B32,'- 29 -'!E32)</f>
        <v>654450</v>
      </c>
      <c r="H32" s="353">
        <f>G32/'- 3 -'!D32*100</f>
        <v>2.5621282330206006</v>
      </c>
      <c r="I32" s="24">
        <f>G32/'- 7 -'!F32</f>
        <v>319.94622341725739</v>
      </c>
    </row>
    <row r="33" spans="1:10" ht="14.1" customHeight="1">
      <c r="A33" s="360" t="s">
        <v>251</v>
      </c>
      <c r="B33" s="361">
        <f>SUM('- 25 -'!H33,'- 25 -'!F33,'- 25 -'!D33,'- 25 -'!B33)</f>
        <v>30000</v>
      </c>
      <c r="C33" s="362">
        <f>B33/'- 3 -'!D33*100</f>
        <v>0.11422783884736495</v>
      </c>
      <c r="D33" s="361">
        <f>SUM('- 26 -'!B33,'- 26 -'!E33,'- 26 -'!H33,'- 27 -'!B33)</f>
        <v>878000</v>
      </c>
      <c r="E33" s="362">
        <f>D33/'- 3 -'!D33*100</f>
        <v>3.3430680835995479</v>
      </c>
      <c r="F33" s="361">
        <f>D33/'- 7 -'!F33</f>
        <v>433.36623889437317</v>
      </c>
      <c r="G33" s="361">
        <f>SUM('- 28 -'!B33,'- 28 -'!E33,'- 28 -'!H33,'- 29 -'!B33,'- 29 -'!E33)</f>
        <v>733900</v>
      </c>
      <c r="H33" s="362">
        <f>G33/'- 3 -'!D33*100</f>
        <v>2.7943936976693715</v>
      </c>
      <c r="I33" s="361">
        <f>G33/'- 7 -'!F33</f>
        <v>362.24086870681145</v>
      </c>
    </row>
    <row r="34" spans="1:10" ht="14.1" customHeight="1">
      <c r="A34" s="23" t="s">
        <v>252</v>
      </c>
      <c r="B34" s="24">
        <f>SUM('- 25 -'!H34,'- 25 -'!F34,'- 25 -'!D34,'- 25 -'!B34)</f>
        <v>29917</v>
      </c>
      <c r="C34" s="353">
        <f>B34/'- 3 -'!D34*100</f>
        <v>0.11712357925461375</v>
      </c>
      <c r="D34" s="24">
        <f>SUM('- 26 -'!B34,'- 26 -'!E34,'- 26 -'!H34,'- 27 -'!B34)</f>
        <v>988240</v>
      </c>
      <c r="E34" s="353">
        <f>D34/'- 3 -'!D34*100</f>
        <v>3.8689108521101545</v>
      </c>
      <c r="F34" s="24">
        <f>D34/'- 7 -'!F34</f>
        <v>490.59507439050424</v>
      </c>
      <c r="G34" s="24">
        <f>SUM('- 28 -'!B34,'- 28 -'!E34,'- 28 -'!H34,'- 29 -'!B34,'- 29 -'!E34)</f>
        <v>499506</v>
      </c>
      <c r="H34" s="353">
        <f>G34/'- 3 -'!D34*100</f>
        <v>1.9555413503745394</v>
      </c>
      <c r="I34" s="24">
        <f>G34/'- 7 -'!F34</f>
        <v>247.97132602252816</v>
      </c>
    </row>
    <row r="35" spans="1:10" ht="14.1" customHeight="1">
      <c r="A35" s="360" t="s">
        <v>253</v>
      </c>
      <c r="B35" s="361">
        <f>SUM('- 25 -'!H35,'- 25 -'!F35,'- 25 -'!D35,'- 25 -'!B35)</f>
        <v>609998</v>
      </c>
      <c r="C35" s="362">
        <f>B35/'- 3 -'!D35*100</f>
        <v>0.36407430468174951</v>
      </c>
      <c r="D35" s="361">
        <f>SUM('- 26 -'!B35,'- 26 -'!E35,'- 26 -'!H35,'- 27 -'!B35)</f>
        <v>5029160</v>
      </c>
      <c r="E35" s="362">
        <f>D35/'- 3 -'!D35*100</f>
        <v>3.0016293990033858</v>
      </c>
      <c r="F35" s="361">
        <f>D35/'- 7 -'!F35</f>
        <v>318.59364606759368</v>
      </c>
      <c r="G35" s="361">
        <f>SUM('- 28 -'!B35,'- 28 -'!E35,'- 28 -'!H35,'- 29 -'!B35,'- 29 -'!E35)</f>
        <v>7164364</v>
      </c>
      <c r="H35" s="362">
        <f>G35/'- 3 -'!D35*100</f>
        <v>4.2760153997012402</v>
      </c>
      <c r="I35" s="361">
        <f>G35/'- 7 -'!F35</f>
        <v>453.85727408064361</v>
      </c>
    </row>
    <row r="36" spans="1:10" ht="14.1" customHeight="1">
      <c r="A36" s="23" t="s">
        <v>254</v>
      </c>
      <c r="B36" s="24">
        <f>SUM('- 25 -'!H36,'- 25 -'!F36,'- 25 -'!D36,'- 25 -'!B36)</f>
        <v>28500</v>
      </c>
      <c r="C36" s="353">
        <f>B36/'- 3 -'!D36*100</f>
        <v>0.13213781835361843</v>
      </c>
      <c r="D36" s="24">
        <f>SUM('- 26 -'!B36,'- 26 -'!E36,'- 26 -'!H36,'- 27 -'!B36)</f>
        <v>952200</v>
      </c>
      <c r="E36" s="353">
        <f>D36/'- 3 -'!D36*100</f>
        <v>4.4147940574145776</v>
      </c>
      <c r="F36" s="24">
        <f>D36/'- 7 -'!F36</f>
        <v>567.29222520107237</v>
      </c>
      <c r="G36" s="24">
        <f>SUM('- 28 -'!B36,'- 28 -'!E36,'- 28 -'!H36,'- 29 -'!B36,'- 29 -'!E36)</f>
        <v>691590</v>
      </c>
      <c r="H36" s="353">
        <f>G36/'- 3 -'!D36*100</f>
        <v>3.206498027901016</v>
      </c>
      <c r="I36" s="24">
        <f>G36/'- 7 -'!F36</f>
        <v>412.02859696157282</v>
      </c>
    </row>
    <row r="37" spans="1:10" ht="14.1" customHeight="1">
      <c r="A37" s="360" t="s">
        <v>255</v>
      </c>
      <c r="B37" s="361">
        <f>SUM('- 25 -'!H37,'- 25 -'!F37,'- 25 -'!D37,'- 25 -'!B37)</f>
        <v>172473</v>
      </c>
      <c r="C37" s="362">
        <f>B37/'- 3 -'!D37*100</f>
        <v>0.41395126130893878</v>
      </c>
      <c r="D37" s="361">
        <f>SUM('- 26 -'!B37,'- 26 -'!E37,'- 26 -'!H37,'- 27 -'!B37)</f>
        <v>1479026</v>
      </c>
      <c r="E37" s="362">
        <f>D37/'- 3 -'!D37*100</f>
        <v>3.5498001322451311</v>
      </c>
      <c r="F37" s="361">
        <f>D37/'- 7 -'!F37</f>
        <v>396.6812391041974</v>
      </c>
      <c r="G37" s="361">
        <f>SUM('- 28 -'!B37,'- 28 -'!E37,'- 28 -'!H37,'- 29 -'!B37,'- 29 -'!E37)</f>
        <v>1377091</v>
      </c>
      <c r="H37" s="362">
        <f>G37/'- 3 -'!D37*100</f>
        <v>3.3051466396896196</v>
      </c>
      <c r="I37" s="361">
        <f>G37/'- 7 -'!F37</f>
        <v>369.34182647177147</v>
      </c>
    </row>
    <row r="38" spans="1:10" ht="14.1" customHeight="1">
      <c r="A38" s="23" t="s">
        <v>256</v>
      </c>
      <c r="B38" s="24">
        <f>SUM('- 25 -'!H38,'- 25 -'!F38,'- 25 -'!D38,'- 25 -'!B38)</f>
        <v>1376420</v>
      </c>
      <c r="C38" s="353">
        <f>B38/'- 3 -'!D38*100</f>
        <v>1.1734399928523847</v>
      </c>
      <c r="D38" s="24">
        <f>SUM('- 26 -'!B38,'- 26 -'!E38,'- 26 -'!H38,'- 27 -'!B38)</f>
        <v>3482000</v>
      </c>
      <c r="E38" s="353">
        <f>D38/'- 3 -'!D38*100</f>
        <v>2.968511104976681</v>
      </c>
      <c r="F38" s="24">
        <f>D38/'- 7 -'!F38</f>
        <v>329.98483699772555</v>
      </c>
      <c r="G38" s="24">
        <f>SUM('- 28 -'!B38,'- 28 -'!E38,'- 28 -'!H38,'- 29 -'!B38,'- 29 -'!E38)</f>
        <v>4607068</v>
      </c>
      <c r="H38" s="353">
        <f>G38/'- 3 -'!D38*100</f>
        <v>3.9276658585246143</v>
      </c>
      <c r="I38" s="24">
        <f>G38/'- 7 -'!F38</f>
        <v>436.60614101592114</v>
      </c>
    </row>
    <row r="39" spans="1:10" ht="14.1" customHeight="1">
      <c r="A39" s="360" t="s">
        <v>257</v>
      </c>
      <c r="B39" s="361">
        <f>SUM('- 25 -'!H39,'- 25 -'!F39,'- 25 -'!D39,'- 25 -'!B39)</f>
        <v>173114</v>
      </c>
      <c r="C39" s="362">
        <f>B39/'- 3 -'!D39*100</f>
        <v>0.84244595374932096</v>
      </c>
      <c r="D39" s="361">
        <f>SUM('- 26 -'!B39,'- 26 -'!E39,'- 26 -'!H39,'- 27 -'!B39)</f>
        <v>845342</v>
      </c>
      <c r="E39" s="362">
        <f>D39/'- 3 -'!D39*100</f>
        <v>4.113791764007293</v>
      </c>
      <c r="F39" s="361">
        <f>D39/'- 7 -'!F39</f>
        <v>534.01263423878709</v>
      </c>
      <c r="G39" s="361">
        <f>SUM('- 28 -'!B39,'- 28 -'!E39,'- 28 -'!H39,'- 29 -'!B39,'- 29 -'!E39)</f>
        <v>674762</v>
      </c>
      <c r="H39" s="362">
        <f>G39/'- 3 -'!D39*100</f>
        <v>3.2836773261769663</v>
      </c>
      <c r="I39" s="361">
        <f>G39/'- 7 -'!F39</f>
        <v>426.25521162349969</v>
      </c>
    </row>
    <row r="40" spans="1:10" ht="14.1" customHeight="1">
      <c r="A40" s="23" t="s">
        <v>258</v>
      </c>
      <c r="B40" s="24">
        <f>SUM('- 25 -'!H40,'- 25 -'!F40,'- 25 -'!D40,'- 25 -'!B40)</f>
        <v>1031026</v>
      </c>
      <c r="C40" s="353">
        <f>B40/'- 3 -'!D40*100</f>
        <v>1.0604819029161221</v>
      </c>
      <c r="D40" s="24">
        <f>SUM('- 26 -'!B40,'- 26 -'!E40,'- 26 -'!H40,'- 27 -'!B40)</f>
        <v>3315731</v>
      </c>
      <c r="E40" s="353">
        <f>D40/'- 3 -'!D40*100</f>
        <v>3.4104597948431721</v>
      </c>
      <c r="F40" s="24">
        <f>D40/'- 7 -'!F40</f>
        <v>415.36460094955345</v>
      </c>
      <c r="G40" s="24">
        <f>SUM('- 28 -'!B40,'- 28 -'!E40,'- 28 -'!H40,'- 29 -'!B40,'- 29 -'!E40)</f>
        <v>3459714</v>
      </c>
      <c r="H40" s="353">
        <f>G40/'- 3 -'!D40*100</f>
        <v>3.5585563179449871</v>
      </c>
      <c r="I40" s="24">
        <f>G40/'- 7 -'!F40</f>
        <v>433.40148070201815</v>
      </c>
    </row>
    <row r="41" spans="1:10" ht="14.1" customHeight="1">
      <c r="A41" s="360" t="s">
        <v>259</v>
      </c>
      <c r="B41" s="361">
        <f>SUM('- 25 -'!H41,'- 25 -'!F41,'- 25 -'!D41,'- 25 -'!B41)</f>
        <v>308301</v>
      </c>
      <c r="C41" s="362">
        <f>B41/'- 3 -'!D41*100</f>
        <v>0.53450974796638162</v>
      </c>
      <c r="D41" s="361">
        <f>SUM('- 26 -'!B41,'- 26 -'!E41,'- 26 -'!H41,'- 27 -'!B41)</f>
        <v>1922984</v>
      </c>
      <c r="E41" s="362">
        <f>D41/'- 3 -'!D41*100</f>
        <v>3.3339291574901946</v>
      </c>
      <c r="F41" s="361">
        <f>D41/'- 7 -'!F41</f>
        <v>432.42275691477403</v>
      </c>
      <c r="G41" s="361">
        <f>SUM('- 28 -'!B41,'- 28 -'!E41,'- 28 -'!H41,'- 29 -'!B41,'- 29 -'!E41)</f>
        <v>1804069</v>
      </c>
      <c r="H41" s="362">
        <f>G41/'- 3 -'!D41*100</f>
        <v>3.127763018945648</v>
      </c>
      <c r="I41" s="361">
        <f>G41/'- 7 -'!F41</f>
        <v>405.68225770182147</v>
      </c>
    </row>
    <row r="42" spans="1:10" ht="14.1" customHeight="1">
      <c r="A42" s="23" t="s">
        <v>260</v>
      </c>
      <c r="B42" s="24">
        <f>SUM('- 25 -'!H42,'- 25 -'!F42,'- 25 -'!D42,'- 25 -'!B42)</f>
        <v>224973</v>
      </c>
      <c r="C42" s="353">
        <f>B42/'- 3 -'!D42*100</f>
        <v>1.1150723786173635</v>
      </c>
      <c r="D42" s="24">
        <f>SUM('- 26 -'!B42,'- 26 -'!E42,'- 26 -'!H42,'- 27 -'!B42)</f>
        <v>820433</v>
      </c>
      <c r="E42" s="353">
        <f>D42/'- 3 -'!D42*100</f>
        <v>4.0664532046342421</v>
      </c>
      <c r="F42" s="24">
        <f>D42/'- 7 -'!F42</f>
        <v>586.44245889921376</v>
      </c>
      <c r="G42" s="24">
        <f>SUM('- 28 -'!B42,'- 28 -'!E42,'- 28 -'!H42,'- 29 -'!B42,'- 29 -'!E42)</f>
        <v>446385</v>
      </c>
      <c r="H42" s="353">
        <f>G42/'- 3 -'!D42*100</f>
        <v>2.2124947603895211</v>
      </c>
      <c r="I42" s="24">
        <f>G42/'- 7 -'!F42</f>
        <v>319.07433881343815</v>
      </c>
    </row>
    <row r="43" spans="1:10" ht="14.1" customHeight="1">
      <c r="A43" s="360" t="s">
        <v>261</v>
      </c>
      <c r="B43" s="361">
        <f>SUM('- 25 -'!H43,'- 25 -'!F43,'- 25 -'!D43,'- 25 -'!B43)</f>
        <v>15447</v>
      </c>
      <c r="C43" s="362">
        <f>B43/'- 3 -'!D43*100</f>
        <v>0.12919905285811187</v>
      </c>
      <c r="D43" s="361">
        <f>SUM('- 26 -'!B43,'- 26 -'!E43,'- 26 -'!H43,'- 27 -'!B43)</f>
        <v>520987</v>
      </c>
      <c r="E43" s="362">
        <f>D43/'- 3 -'!D43*100</f>
        <v>4.3575468991641833</v>
      </c>
      <c r="F43" s="361">
        <f>D43/'- 7 -'!F43</f>
        <v>539.60331434489899</v>
      </c>
      <c r="G43" s="361">
        <f>SUM('- 28 -'!B43,'- 28 -'!E43,'- 28 -'!H43,'- 29 -'!B43,'- 29 -'!E43)</f>
        <v>402703</v>
      </c>
      <c r="H43" s="362">
        <f>G43/'- 3 -'!D43*100</f>
        <v>3.3682168824445027</v>
      </c>
      <c r="I43" s="361">
        <f>G43/'- 7 -'!F43</f>
        <v>417.09269808389433</v>
      </c>
    </row>
    <row r="44" spans="1:10" ht="14.1" customHeight="1">
      <c r="A44" s="23" t="s">
        <v>262</v>
      </c>
      <c r="B44" s="24">
        <f>SUM('- 25 -'!H44,'- 25 -'!F44,'- 25 -'!D44,'- 25 -'!B44)</f>
        <v>9578</v>
      </c>
      <c r="C44" s="353">
        <f>B44/'- 3 -'!D44*100</f>
        <v>9.0885308111917029E-2</v>
      </c>
      <c r="D44" s="24">
        <f>SUM('- 26 -'!B44,'- 26 -'!E44,'- 26 -'!H44,'- 27 -'!B44)</f>
        <v>395654</v>
      </c>
      <c r="E44" s="353">
        <f>D44/'- 3 -'!D44*100</f>
        <v>3.7543470135427457</v>
      </c>
      <c r="F44" s="24">
        <f>D44/'- 7 -'!F44</f>
        <v>525.43691899070382</v>
      </c>
      <c r="G44" s="24">
        <f>SUM('- 28 -'!B44,'- 28 -'!E44,'- 28 -'!H44,'- 29 -'!B44,'- 29 -'!E44)</f>
        <v>168154</v>
      </c>
      <c r="H44" s="353">
        <f>G44/'- 3 -'!D44*100</f>
        <v>1.5956074441690644</v>
      </c>
      <c r="I44" s="24">
        <f>G44/'- 7 -'!F44</f>
        <v>223.31208499335989</v>
      </c>
    </row>
    <row r="45" spans="1:10" ht="14.1" customHeight="1">
      <c r="A45" s="360" t="s">
        <v>263</v>
      </c>
      <c r="B45" s="361">
        <f>SUM('- 25 -'!H45,'- 25 -'!F45,'- 25 -'!D45,'- 25 -'!B45)</f>
        <v>47758</v>
      </c>
      <c r="C45" s="362">
        <f>B45/'- 3 -'!D45*100</f>
        <v>0.28205557672504644</v>
      </c>
      <c r="D45" s="361">
        <f>SUM('- 26 -'!B45,'- 26 -'!E45,'- 26 -'!H45,'- 27 -'!B45)</f>
        <v>676090</v>
      </c>
      <c r="E45" s="362">
        <f>D45/'- 3 -'!D45*100</f>
        <v>3.9929426455889407</v>
      </c>
      <c r="F45" s="361">
        <f>D45/'- 7 -'!F45</f>
        <v>401.24035608308606</v>
      </c>
      <c r="G45" s="361">
        <f>SUM('- 28 -'!B45,'- 28 -'!E45,'- 28 -'!H45,'- 29 -'!B45,'- 29 -'!E45)</f>
        <v>508426</v>
      </c>
      <c r="H45" s="362">
        <f>G45/'- 3 -'!D45*100</f>
        <v>3.0027301949832164</v>
      </c>
      <c r="I45" s="361">
        <f>G45/'- 7 -'!F45</f>
        <v>301.73649851632047</v>
      </c>
    </row>
    <row r="46" spans="1:10" ht="14.1" customHeight="1">
      <c r="A46" s="23" t="s">
        <v>264</v>
      </c>
      <c r="B46" s="24">
        <f>SUM('- 25 -'!H46,'- 25 -'!F46,'- 25 -'!D46,'- 25 -'!B46)</f>
        <v>8640100</v>
      </c>
      <c r="C46" s="353">
        <f>B46/'- 3 -'!D46*100</f>
        <v>2.3956477351686445</v>
      </c>
      <c r="D46" s="24">
        <f>SUM('- 26 -'!B46,'- 26 -'!E46,'- 26 -'!H46,'- 27 -'!B46)</f>
        <v>10259900</v>
      </c>
      <c r="E46" s="353">
        <f>D46/'- 3 -'!D46*100</f>
        <v>2.8447710325177686</v>
      </c>
      <c r="F46" s="24">
        <f>D46/'- 7 -'!F46</f>
        <v>338.16413974950558</v>
      </c>
      <c r="G46" s="24">
        <f>SUM('- 28 -'!B46,'- 28 -'!E46,'- 28 -'!H46,'- 29 -'!B46,'- 29 -'!E46)</f>
        <v>9680600</v>
      </c>
      <c r="H46" s="353">
        <f>G46/'- 3 -'!D46*100</f>
        <v>2.6841480382256662</v>
      </c>
      <c r="I46" s="24">
        <f>G46/'- 7 -'!F46</f>
        <v>319.07053394858275</v>
      </c>
    </row>
    <row r="47" spans="1:10" ht="5.0999999999999996" customHeight="1">
      <c r="A47"/>
      <c r="B47"/>
      <c r="C47"/>
      <c r="D47"/>
      <c r="E47"/>
      <c r="F47"/>
      <c r="G47"/>
      <c r="H47"/>
      <c r="I47"/>
      <c r="J47"/>
    </row>
    <row r="48" spans="1:10" ht="14.1" customHeight="1">
      <c r="A48" s="363" t="s">
        <v>265</v>
      </c>
      <c r="B48" s="364">
        <f>SUM(B11:B46)</f>
        <v>19743803</v>
      </c>
      <c r="C48" s="365">
        <f>B48/'- 3 -'!D48*100</f>
        <v>0.94822186357107707</v>
      </c>
      <c r="D48" s="364">
        <f>SUM(D11:D46)</f>
        <v>71804409</v>
      </c>
      <c r="E48" s="365">
        <f>D48/'- 3 -'!D48*100</f>
        <v>3.4485002972628838</v>
      </c>
      <c r="F48" s="364">
        <f>D48/'- 7 -'!F48</f>
        <v>413.74570721970736</v>
      </c>
      <c r="G48" s="364">
        <f>SUM(G11:G46)</f>
        <v>73814284</v>
      </c>
      <c r="H48" s="365">
        <f>G48/'- 3 -'!D48*100</f>
        <v>3.5450271628340668</v>
      </c>
      <c r="I48" s="364">
        <f>G48/'- 7 -'!F48</f>
        <v>425.32685056284396</v>
      </c>
    </row>
    <row r="49" spans="1:9" ht="5.0999999999999996" customHeight="1">
      <c r="A49" s="25" t="s">
        <v>3</v>
      </c>
      <c r="B49" s="26"/>
      <c r="C49" s="351"/>
      <c r="D49" s="26"/>
      <c r="E49" s="351"/>
      <c r="G49" s="26"/>
      <c r="H49" s="351"/>
      <c r="I49" s="26"/>
    </row>
    <row r="50" spans="1:9" ht="14.1" customHeight="1">
      <c r="A50" s="23" t="s">
        <v>266</v>
      </c>
      <c r="B50" s="24">
        <f>SUM('- 25 -'!H50,'- 25 -'!F50,'- 25 -'!D50,'- 25 -'!B50)</f>
        <v>30000</v>
      </c>
      <c r="C50" s="353">
        <f>B50/'- 3 -'!D50*100</f>
        <v>0.91414613722978988</v>
      </c>
      <c r="D50" s="24">
        <f>SUM('- 26 -'!B50,'- 26 -'!E50,'- 26 -'!H50,'- 27 -'!B50)</f>
        <v>257212</v>
      </c>
      <c r="E50" s="353">
        <f>D50/'- 3 -'!D50*100</f>
        <v>7.8376452083049566</v>
      </c>
      <c r="F50" s="24">
        <f>D50/'- 7 -'!F50</f>
        <v>1540.1916167664672</v>
      </c>
      <c r="G50" s="24">
        <f>SUM('- 28 -'!B50,'- 28 -'!E50,'- 28 -'!H50,'- 29 -'!B50,'- 29 -'!E50)</f>
        <v>69891</v>
      </c>
      <c r="H50" s="353">
        <f>G50/'- 3 -'!D50*100</f>
        <v>2.1296862559042413</v>
      </c>
      <c r="I50" s="24">
        <f>G50/'- 7 -'!F50</f>
        <v>418.50898203592817</v>
      </c>
    </row>
    <row r="51" spans="1:9" ht="14.1" customHeight="1">
      <c r="A51" s="360" t="s">
        <v>267</v>
      </c>
      <c r="B51" s="361">
        <f>SUM('- 25 -'!H51,'- 25 -'!F51,'- 25 -'!D51,'- 25 -'!B51)</f>
        <v>7246498</v>
      </c>
      <c r="C51" s="362">
        <f>B51/'- 3 -'!D51*100</f>
        <v>34.865195571356345</v>
      </c>
      <c r="D51" s="361">
        <f>SUM('- 26 -'!B51,'- 26 -'!E51,'- 26 -'!H51,'- 27 -'!B51)</f>
        <v>2176513</v>
      </c>
      <c r="E51" s="362">
        <f>D51/'- 3 -'!D51*100</f>
        <v>10.47189296244883</v>
      </c>
      <c r="F51" s="361">
        <f>D51/'- 7 -'!F51</f>
        <v>3504.8518518518517</v>
      </c>
      <c r="G51" s="361">
        <f>SUM('- 28 -'!B51,'- 28 -'!E51,'- 28 -'!H51,'- 29 -'!B51,'- 29 -'!E51)</f>
        <v>329616</v>
      </c>
      <c r="H51" s="362">
        <f>G51/'- 3 -'!D51*100</f>
        <v>1.5858869075032096</v>
      </c>
      <c r="I51" s="361">
        <f>G51/'- 7 -'!F51</f>
        <v>530.78260869565213</v>
      </c>
    </row>
    <row r="52" spans="1:9" ht="50.1" customHeight="1"/>
    <row r="53" spans="1:9" ht="15" customHeight="1">
      <c r="E53" s="154"/>
    </row>
    <row r="54" spans="1:9" ht="14.45" customHeight="1">
      <c r="B54" s="92"/>
      <c r="C54" s="92"/>
      <c r="D54" s="92"/>
      <c r="E54" s="92"/>
      <c r="F54" s="92"/>
      <c r="G54" s="92"/>
      <c r="H54" s="92"/>
    </row>
    <row r="55" spans="1:9" ht="14.45" customHeight="1"/>
    <row r="56" spans="1:9" ht="14.45" customHeight="1"/>
    <row r="57" spans="1:9" ht="14.45" customHeight="1"/>
    <row r="58" spans="1:9" ht="14.45" customHeight="1"/>
    <row r="59" spans="1:9" ht="14.45" customHeight="1"/>
  </sheetData>
  <phoneticPr fontId="0" type="noConversion"/>
  <printOptions horizontalCentered="1"/>
  <pageMargins left="0.5" right="0.5" top="0.6" bottom="0" header="0.3" footer="0"/>
  <pageSetup scale="90" orientation="portrait" r:id="rId1"/>
  <headerFooter alignWithMargins="0">
    <oddHeader>&amp;C&amp;"Arial,Bold"&amp;10&amp;A</oddHeader>
  </headerFooter>
</worksheet>
</file>

<file path=xl/worksheets/sheet13.xml><?xml version="1.0" encoding="utf-8"?>
<worksheet xmlns="http://schemas.openxmlformats.org/spreadsheetml/2006/main" xmlns:r="http://schemas.openxmlformats.org/officeDocument/2006/relationships">
  <sheetPr codeName="Sheet12">
    <pageSetUpPr fitToPage="1"/>
  </sheetPr>
  <dimension ref="A1:K59"/>
  <sheetViews>
    <sheetView showGridLines="0" showZeros="0" workbookViewId="0"/>
  </sheetViews>
  <sheetFormatPr defaultColWidth="15.83203125" defaultRowHeight="12"/>
  <cols>
    <col min="1" max="1" width="32.83203125" style="1" customWidth="1"/>
    <col min="2" max="2" width="12" style="1" bestFit="1" customWidth="1"/>
    <col min="3" max="3" width="7.83203125" style="1" customWidth="1"/>
    <col min="4" max="4" width="9.83203125" style="1" customWidth="1"/>
    <col min="5" max="5" width="13.33203125" style="1" bestFit="1" customWidth="1"/>
    <col min="6" max="6" width="7.83203125" style="1" customWidth="1"/>
    <col min="7" max="7" width="9.83203125" style="1" customWidth="1"/>
    <col min="8" max="8" width="12" style="1" bestFit="1" customWidth="1"/>
    <col min="9" max="9" width="7.83203125" style="1" customWidth="1"/>
    <col min="10" max="10" width="9.83203125" style="1" customWidth="1"/>
    <col min="11" max="16384" width="15.83203125" style="1"/>
  </cols>
  <sheetData>
    <row r="1" spans="1:10" ht="6.95" customHeight="1">
      <c r="A1" s="3"/>
      <c r="B1" s="4"/>
      <c r="C1" s="4"/>
      <c r="D1" s="4"/>
      <c r="E1" s="4"/>
      <c r="F1" s="4"/>
      <c r="G1" s="4"/>
      <c r="H1" s="4"/>
      <c r="I1" s="4"/>
      <c r="J1" s="4"/>
    </row>
    <row r="2" spans="1:10" ht="15.95" customHeight="1">
      <c r="A2" s="161"/>
      <c r="B2" s="5" t="s">
        <v>487</v>
      </c>
      <c r="C2" s="6"/>
      <c r="D2" s="6"/>
      <c r="E2" s="6"/>
      <c r="F2" s="6"/>
      <c r="G2" s="6"/>
      <c r="H2" s="106"/>
      <c r="I2" s="106"/>
      <c r="J2" s="184" t="s">
        <v>5</v>
      </c>
    </row>
    <row r="3" spans="1:10" ht="15.95" customHeight="1">
      <c r="A3" s="164"/>
      <c r="B3" s="7" t="str">
        <f>OPYEAR</f>
        <v>OPERATING FUND 2013/2014 BUDGET</v>
      </c>
      <c r="C3" s="8"/>
      <c r="D3" s="8"/>
      <c r="E3" s="8"/>
      <c r="F3" s="8"/>
      <c r="G3" s="8"/>
      <c r="H3" s="108"/>
      <c r="I3" s="108"/>
      <c r="J3" s="101"/>
    </row>
    <row r="4" spans="1:10" ht="15.95" customHeight="1">
      <c r="B4" s="4"/>
      <c r="C4" s="4"/>
      <c r="D4" s="4"/>
      <c r="E4" s="4"/>
      <c r="F4" s="4"/>
      <c r="G4" s="4"/>
      <c r="H4" s="4"/>
      <c r="I4" s="4"/>
      <c r="J4" s="4"/>
    </row>
    <row r="5" spans="1:10" ht="15.95" customHeight="1">
      <c r="B5" s="4"/>
      <c r="C5" s="4"/>
      <c r="D5" s="4"/>
      <c r="E5" s="4"/>
      <c r="F5" s="4"/>
      <c r="G5" s="4"/>
      <c r="H5" s="4"/>
      <c r="I5" s="4"/>
      <c r="J5" s="4"/>
    </row>
    <row r="6" spans="1:10" ht="15.95" customHeight="1">
      <c r="B6" s="354" t="s">
        <v>23</v>
      </c>
      <c r="C6" s="355"/>
      <c r="D6" s="356"/>
      <c r="E6" s="354" t="s">
        <v>24</v>
      </c>
      <c r="F6" s="355"/>
      <c r="G6" s="356"/>
      <c r="H6" s="354" t="s">
        <v>3</v>
      </c>
      <c r="I6" s="355"/>
      <c r="J6" s="356"/>
    </row>
    <row r="7" spans="1:10" ht="15.95" customHeight="1">
      <c r="B7" s="357" t="s">
        <v>51</v>
      </c>
      <c r="C7" s="358"/>
      <c r="D7" s="359"/>
      <c r="E7" s="357" t="s">
        <v>52</v>
      </c>
      <c r="F7" s="358"/>
      <c r="G7" s="359"/>
      <c r="H7" s="357" t="s">
        <v>53</v>
      </c>
      <c r="I7" s="358"/>
      <c r="J7" s="359"/>
    </row>
    <row r="8" spans="1:10" ht="15.95" customHeight="1">
      <c r="A8" s="102"/>
      <c r="B8" s="170"/>
      <c r="C8" s="169"/>
      <c r="D8" s="169" t="s">
        <v>60</v>
      </c>
      <c r="E8" s="170"/>
      <c r="F8" s="169"/>
      <c r="G8" s="169" t="s">
        <v>60</v>
      </c>
      <c r="H8" s="170"/>
      <c r="I8" s="169"/>
      <c r="J8" s="169" t="s">
        <v>60</v>
      </c>
    </row>
    <row r="9" spans="1:10" ht="15.95" customHeight="1">
      <c r="A9" s="35" t="s">
        <v>81</v>
      </c>
      <c r="B9" s="113" t="s">
        <v>82</v>
      </c>
      <c r="C9" s="113" t="s">
        <v>83</v>
      </c>
      <c r="D9" s="113" t="s">
        <v>84</v>
      </c>
      <c r="E9" s="113" t="s">
        <v>82</v>
      </c>
      <c r="F9" s="113" t="s">
        <v>83</v>
      </c>
      <c r="G9" s="113" t="s">
        <v>84</v>
      </c>
      <c r="H9" s="113" t="s">
        <v>82</v>
      </c>
      <c r="I9" s="113" t="s">
        <v>83</v>
      </c>
      <c r="J9" s="113" t="s">
        <v>84</v>
      </c>
    </row>
    <row r="10" spans="1:10" ht="5.0999999999999996" customHeight="1">
      <c r="A10" s="37"/>
    </row>
    <row r="11" spans="1:10" ht="14.1" customHeight="1">
      <c r="A11" s="360" t="s">
        <v>230</v>
      </c>
      <c r="B11" s="361">
        <f>SUM('- 31 -'!D11,'- 31 -'!B11,'- 30 -'!F11,'- 30 -'!D11,'- 30 -'!B11)</f>
        <v>1178020</v>
      </c>
      <c r="C11" s="362">
        <f>B11/'- 3 -'!D11*100</f>
        <v>7.0302560252836654</v>
      </c>
      <c r="D11" s="361">
        <f>B11/'- 7 -'!F11</f>
        <v>769.19360104472742</v>
      </c>
      <c r="E11" s="361">
        <f>SUM('- 33 -'!D11,'- 33 -'!B11,'- 32 -'!F11,'- 32 -'!D11,'- 32 -'!B11)</f>
        <v>1803245</v>
      </c>
      <c r="F11" s="362">
        <f>E11/'- 3 -'!D11*100</f>
        <v>10.761510013677732</v>
      </c>
      <c r="G11" s="361">
        <f>E11/'- 7 -'!F11</f>
        <v>1177.4371531178583</v>
      </c>
      <c r="H11" s="361">
        <f>SUM('- 34 -'!B11,'- 34 -'!D11)</f>
        <v>283000</v>
      </c>
      <c r="I11" s="362">
        <f>H11/'- 3 -'!D11*100</f>
        <v>1.6889038005766264</v>
      </c>
      <c r="J11" s="361">
        <f>H11/'- 7 -'!F11</f>
        <v>184.78615736206334</v>
      </c>
    </row>
    <row r="12" spans="1:10" ht="14.1" customHeight="1">
      <c r="A12" s="23" t="s">
        <v>231</v>
      </c>
      <c r="B12" s="24">
        <f>SUM('- 31 -'!D12,'- 31 -'!B12,'- 30 -'!F12,'- 30 -'!D12,'- 30 -'!B12)</f>
        <v>2344940</v>
      </c>
      <c r="C12" s="353">
        <f>B12/'- 3 -'!D12*100</f>
        <v>7.5710627803423192</v>
      </c>
      <c r="D12" s="24">
        <f>B12/'- 7 -'!F12</f>
        <v>1029.3402396734118</v>
      </c>
      <c r="E12" s="24">
        <f>SUM('- 33 -'!D12,'- 33 -'!B12,'- 32 -'!F12,'- 32 -'!D12,'- 32 -'!B12)</f>
        <v>3323083</v>
      </c>
      <c r="F12" s="353">
        <f>E12/'- 3 -'!D12*100</f>
        <v>10.729174314604336</v>
      </c>
      <c r="G12" s="24">
        <f>E12/'- 7 -'!F12</f>
        <v>1458.7081339712915</v>
      </c>
      <c r="H12" s="24">
        <f>SUM('- 34 -'!B12,'- 34 -'!D12)</f>
        <v>509854</v>
      </c>
      <c r="I12" s="353">
        <f>H12/'- 3 -'!D12*100</f>
        <v>1.6461558260802633</v>
      </c>
      <c r="J12" s="24">
        <f>H12/'- 7 -'!F12</f>
        <v>223.80668100610154</v>
      </c>
    </row>
    <row r="13" spans="1:10" ht="14.1" customHeight="1">
      <c r="A13" s="360" t="s">
        <v>232</v>
      </c>
      <c r="B13" s="361">
        <f>SUM('- 31 -'!D13,'- 31 -'!B13,'- 30 -'!F13,'- 30 -'!D13,'- 30 -'!B13)</f>
        <v>2041300</v>
      </c>
      <c r="C13" s="362">
        <f>B13/'- 3 -'!D13*100</f>
        <v>2.3635485764636277</v>
      </c>
      <c r="D13" s="361">
        <f>B13/'- 7 -'!F13</f>
        <v>252.51019602846597</v>
      </c>
      <c r="E13" s="361">
        <f>SUM('- 33 -'!D13,'- 33 -'!B13,'- 32 -'!F13,'- 32 -'!D13,'- 32 -'!B13)</f>
        <v>7330400</v>
      </c>
      <c r="F13" s="362">
        <f>E13/'- 3 -'!D13*100</f>
        <v>8.4876091142453216</v>
      </c>
      <c r="G13" s="361">
        <f>E13/'- 7 -'!F13</f>
        <v>906.77545729048495</v>
      </c>
      <c r="H13" s="361">
        <f>SUM('- 34 -'!B13,'- 34 -'!D13)</f>
        <v>1501700</v>
      </c>
      <c r="I13" s="362">
        <f>H13/'- 3 -'!D13*100</f>
        <v>1.7387649523712485</v>
      </c>
      <c r="J13" s="361">
        <f>H13/'- 7 -'!F13</f>
        <v>185.76130964382861</v>
      </c>
    </row>
    <row r="14" spans="1:10" ht="14.1" customHeight="1">
      <c r="A14" s="23" t="s">
        <v>578</v>
      </c>
      <c r="B14" s="24">
        <f>SUM('- 31 -'!D14,'- 31 -'!B14,'- 30 -'!F14,'- 30 -'!D14,'- 30 -'!B14)</f>
        <v>8221202</v>
      </c>
      <c r="C14" s="353">
        <f>B14/'- 3 -'!D14*100</f>
        <v>10.966286733273339</v>
      </c>
      <c r="D14" s="24">
        <f>B14/'- 7 -'!F14</f>
        <v>1576.4529242569511</v>
      </c>
      <c r="E14" s="24">
        <f>SUM('- 33 -'!D14,'- 33 -'!B14,'- 32 -'!F14,'- 32 -'!D14,'- 32 -'!B14)</f>
        <v>7571654</v>
      </c>
      <c r="F14" s="353">
        <f>E14/'- 3 -'!D14*100</f>
        <v>10.099852650395405</v>
      </c>
      <c r="G14" s="24">
        <f>E14/'- 7 -'!F14</f>
        <v>1451.8991371045063</v>
      </c>
      <c r="H14" s="24">
        <f>SUM('- 34 -'!B14,'- 34 -'!D14)</f>
        <v>1127353</v>
      </c>
      <c r="I14" s="353">
        <f>H14/'- 3 -'!D14*100</f>
        <v>1.5037796477468743</v>
      </c>
      <c r="J14" s="24">
        <f>H14/'- 7 -'!F14</f>
        <v>216.1750719079578</v>
      </c>
    </row>
    <row r="15" spans="1:10" ht="14.1" customHeight="1">
      <c r="A15" s="360" t="s">
        <v>233</v>
      </c>
      <c r="B15" s="361">
        <f>SUM('- 31 -'!D15,'- 31 -'!B15,'- 30 -'!F15,'- 30 -'!D15,'- 30 -'!B15)</f>
        <v>1289255</v>
      </c>
      <c r="C15" s="362">
        <f>B15/'- 3 -'!D15*100</f>
        <v>6.5977845449549823</v>
      </c>
      <c r="D15" s="361">
        <f>B15/'- 7 -'!F15</f>
        <v>848.19407894736844</v>
      </c>
      <c r="E15" s="361">
        <f>SUM('- 33 -'!D15,'- 33 -'!B15,'- 32 -'!F15,'- 32 -'!D15,'- 32 -'!B15)</f>
        <v>2477780</v>
      </c>
      <c r="F15" s="362">
        <f>E15/'- 3 -'!D15*100</f>
        <v>12.680081589599077</v>
      </c>
      <c r="G15" s="361">
        <f>E15/'- 7 -'!F15</f>
        <v>1630.1184210526317</v>
      </c>
      <c r="H15" s="361">
        <f>SUM('- 34 -'!B15,'- 34 -'!D15)</f>
        <v>310000</v>
      </c>
      <c r="I15" s="362">
        <f>H15/'- 3 -'!D15*100</f>
        <v>1.5864303097029249</v>
      </c>
      <c r="J15" s="361">
        <f>H15/'- 7 -'!F15</f>
        <v>203.94736842105263</v>
      </c>
    </row>
    <row r="16" spans="1:10" ht="14.1" customHeight="1">
      <c r="A16" s="23" t="s">
        <v>234</v>
      </c>
      <c r="B16" s="24">
        <f>SUM('- 31 -'!D16,'- 31 -'!B16,'- 30 -'!F16,'- 30 -'!D16,'- 30 -'!B16)</f>
        <v>443445</v>
      </c>
      <c r="C16" s="353">
        <f>B16/'- 3 -'!D16*100</f>
        <v>3.386198951301183</v>
      </c>
      <c r="D16" s="24">
        <f>B16/'- 7 -'!F16</f>
        <v>445.67336683417085</v>
      </c>
      <c r="E16" s="24">
        <f>SUM('- 33 -'!D16,'- 33 -'!B16,'- 32 -'!F16,'- 32 -'!D16,'- 32 -'!B16)</f>
        <v>1904002</v>
      </c>
      <c r="F16" s="353">
        <f>E16/'- 3 -'!D16*100</f>
        <v>14.539186541003632</v>
      </c>
      <c r="G16" s="24">
        <f>E16/'- 7 -'!F16</f>
        <v>1913.5698492462311</v>
      </c>
      <c r="H16" s="24">
        <f>SUM('- 34 -'!B16,'- 34 -'!D16)</f>
        <v>206513</v>
      </c>
      <c r="I16" s="353">
        <f>H16/'- 3 -'!D16*100</f>
        <v>1.576957918186159</v>
      </c>
      <c r="J16" s="24">
        <f>H16/'- 7 -'!F16</f>
        <v>207.55075376884423</v>
      </c>
    </row>
    <row r="17" spans="1:10" ht="14.1" customHeight="1">
      <c r="A17" s="360" t="s">
        <v>235</v>
      </c>
      <c r="B17" s="361">
        <f>SUM('- 31 -'!D17,'- 31 -'!B17,'- 30 -'!F17,'- 30 -'!D17,'- 30 -'!B17)</f>
        <v>1339840</v>
      </c>
      <c r="C17" s="362">
        <f>B17/'- 3 -'!D17*100</f>
        <v>8.1272988899331633</v>
      </c>
      <c r="D17" s="361">
        <f>B17/'- 7 -'!F17</f>
        <v>1030.249903883122</v>
      </c>
      <c r="E17" s="361">
        <f>SUM('- 33 -'!D17,'- 33 -'!B17,'- 32 -'!F17,'- 32 -'!D17,'- 32 -'!B17)</f>
        <v>1832915</v>
      </c>
      <c r="F17" s="362">
        <f>E17/'- 3 -'!D17*100</f>
        <v>11.118229075741763</v>
      </c>
      <c r="G17" s="361">
        <f>E17/'- 7 -'!F17</f>
        <v>1409.3925413302577</v>
      </c>
      <c r="H17" s="361">
        <f>SUM('- 34 -'!B17,'- 34 -'!D17)</f>
        <v>328000</v>
      </c>
      <c r="I17" s="362">
        <f>H17/'- 3 -'!D17*100</f>
        <v>1.9896062484312138</v>
      </c>
      <c r="J17" s="361">
        <f>H17/'- 7 -'!F17</f>
        <v>252.21068819684737</v>
      </c>
    </row>
    <row r="18" spans="1:10" ht="14.1" customHeight="1">
      <c r="A18" s="23" t="s">
        <v>236</v>
      </c>
      <c r="B18" s="24">
        <f>SUM('- 31 -'!D18,'- 31 -'!B18,'- 30 -'!F18,'- 30 -'!D18,'- 30 -'!B18)</f>
        <v>9940718</v>
      </c>
      <c r="C18" s="353">
        <f>B18/'- 3 -'!D18*100</f>
        <v>8.3404292478666768</v>
      </c>
      <c r="D18" s="24">
        <f>B18/'- 7 -'!F18</f>
        <v>1594.9808263136783</v>
      </c>
      <c r="E18" s="24">
        <f>SUM('- 33 -'!D18,'- 33 -'!B18,'- 32 -'!F18,'- 32 -'!D18,'- 32 -'!B18)</f>
        <v>20763588</v>
      </c>
      <c r="F18" s="353">
        <f>E18/'- 3 -'!D18*100</f>
        <v>17.420998829848461</v>
      </c>
      <c r="G18" s="24">
        <f>E18/'- 7 -'!F18</f>
        <v>3331.5022864019252</v>
      </c>
      <c r="H18" s="24">
        <f>SUM('- 34 -'!B18,'- 34 -'!D18)</f>
        <v>2025000</v>
      </c>
      <c r="I18" s="353">
        <f>H18/'- 3 -'!D18*100</f>
        <v>1.6990089877743257</v>
      </c>
      <c r="J18" s="24">
        <f>H18/'- 7 -'!F18</f>
        <v>324.90974729241879</v>
      </c>
    </row>
    <row r="19" spans="1:10" ht="14.1" customHeight="1">
      <c r="A19" s="360" t="s">
        <v>237</v>
      </c>
      <c r="B19" s="361">
        <f>SUM('- 31 -'!D19,'- 31 -'!B19,'- 30 -'!F19,'- 30 -'!D19,'- 30 -'!B19)</f>
        <v>2604000</v>
      </c>
      <c r="C19" s="362">
        <f>B19/'- 3 -'!D19*100</f>
        <v>5.9987567092949288</v>
      </c>
      <c r="D19" s="361">
        <f>B19/'- 7 -'!F19</f>
        <v>618.6742694226657</v>
      </c>
      <c r="E19" s="361">
        <f>SUM('- 33 -'!D19,'- 33 -'!B19,'- 32 -'!F19,'- 32 -'!D19,'- 32 -'!B19)</f>
        <v>3990625</v>
      </c>
      <c r="F19" s="362">
        <f>E19/'- 3 -'!D19*100</f>
        <v>9.1930831386444218</v>
      </c>
      <c r="G19" s="361">
        <f>E19/'- 7 -'!F19</f>
        <v>948.11712995961034</v>
      </c>
      <c r="H19" s="361">
        <f>SUM('- 34 -'!B19,'- 34 -'!D19)</f>
        <v>693000</v>
      </c>
      <c r="I19" s="362">
        <f>H19/'- 3 -'!D19*100</f>
        <v>1.5964433177962307</v>
      </c>
      <c r="J19" s="361">
        <f>H19/'- 7 -'!F19</f>
        <v>164.6471846044191</v>
      </c>
    </row>
    <row r="20" spans="1:10" ht="14.1" customHeight="1">
      <c r="A20" s="23" t="s">
        <v>238</v>
      </c>
      <c r="B20" s="24">
        <f>SUM('- 31 -'!D20,'- 31 -'!B20,'- 30 -'!F20,'- 30 -'!D20,'- 30 -'!B20)</f>
        <v>3701600</v>
      </c>
      <c r="C20" s="353">
        <f>B20/'- 3 -'!D20*100</f>
        <v>5.2079317690028448</v>
      </c>
      <c r="D20" s="24">
        <f>B20/'- 7 -'!F20</f>
        <v>490.96093905431394</v>
      </c>
      <c r="E20" s="24">
        <f>SUM('- 33 -'!D20,'- 33 -'!B20,'- 32 -'!F20,'- 32 -'!D20,'- 32 -'!B20)</f>
        <v>7847700</v>
      </c>
      <c r="F20" s="353">
        <f>E20/'- 3 -'!D20*100</f>
        <v>11.041248688027778</v>
      </c>
      <c r="G20" s="24">
        <f>E20/'- 7 -'!F20</f>
        <v>1040.8780423104981</v>
      </c>
      <c r="H20" s="24">
        <f>SUM('- 34 -'!B20,'- 34 -'!D20)</f>
        <v>1250200</v>
      </c>
      <c r="I20" s="353">
        <f>H20/'- 3 -'!D20*100</f>
        <v>1.7589572880936235</v>
      </c>
      <c r="J20" s="24">
        <f>H20/'- 7 -'!F20</f>
        <v>165.82001458982691</v>
      </c>
    </row>
    <row r="21" spans="1:10" ht="14.1" customHeight="1">
      <c r="A21" s="360" t="s">
        <v>239</v>
      </c>
      <c r="B21" s="361">
        <f>SUM('- 31 -'!D21,'- 31 -'!B21,'- 30 -'!F21,'- 30 -'!D21,'- 30 -'!B21)</f>
        <v>2092000</v>
      </c>
      <c r="C21" s="362">
        <f>B21/'- 3 -'!D21*100</f>
        <v>6.1442403899395757</v>
      </c>
      <c r="D21" s="361">
        <f>B21/'- 7 -'!F21</f>
        <v>777.69516728624535</v>
      </c>
      <c r="E21" s="361">
        <f>SUM('- 33 -'!D21,'- 33 -'!B21,'- 32 -'!F21,'- 32 -'!D21,'- 32 -'!B21)</f>
        <v>3547500</v>
      </c>
      <c r="F21" s="362">
        <f>E21/'- 3 -'!D21*100</f>
        <v>10.419069208083483</v>
      </c>
      <c r="G21" s="361">
        <f>E21/'- 7 -'!F21</f>
        <v>1318.7732342007434</v>
      </c>
      <c r="H21" s="361">
        <f>SUM('- 34 -'!B21,'- 34 -'!D21)</f>
        <v>600000</v>
      </c>
      <c r="I21" s="362">
        <f>H21/'- 3 -'!D21*100</f>
        <v>1.7622104368851557</v>
      </c>
      <c r="J21" s="361">
        <f>H21/'- 7 -'!F21</f>
        <v>223.04832713754647</v>
      </c>
    </row>
    <row r="22" spans="1:10" ht="14.1" customHeight="1">
      <c r="A22" s="23" t="s">
        <v>240</v>
      </c>
      <c r="B22" s="24">
        <f>SUM('- 31 -'!D22,'- 31 -'!B22,'- 30 -'!F22,'- 30 -'!D22,'- 30 -'!B22)</f>
        <v>608540</v>
      </c>
      <c r="C22" s="353">
        <f>B22/'- 3 -'!D22*100</f>
        <v>3.0559932651038753</v>
      </c>
      <c r="D22" s="24">
        <f>B22/'- 7 -'!F22</f>
        <v>375.87399629400863</v>
      </c>
      <c r="E22" s="24">
        <f>SUM('- 33 -'!D22,'- 33 -'!B22,'- 32 -'!F22,'- 32 -'!D22,'- 32 -'!B22)</f>
        <v>2396780</v>
      </c>
      <c r="F22" s="353">
        <f>E22/'- 3 -'!D22*100</f>
        <v>12.03625651220243</v>
      </c>
      <c r="G22" s="24">
        <f>E22/'- 7 -'!F22</f>
        <v>1480.4076590487955</v>
      </c>
      <c r="H22" s="24">
        <f>SUM('- 34 -'!B22,'- 34 -'!D22)</f>
        <v>355000</v>
      </c>
      <c r="I22" s="353">
        <f>H22/'- 3 -'!D22*100</f>
        <v>1.7827548051268209</v>
      </c>
      <c r="J22" s="24">
        <f>H22/'- 7 -'!F22</f>
        <v>219.27115503397158</v>
      </c>
    </row>
    <row r="23" spans="1:10" ht="14.1" customHeight="1">
      <c r="A23" s="360" t="s">
        <v>241</v>
      </c>
      <c r="B23" s="361">
        <f>SUM('- 31 -'!D23,'- 31 -'!B23,'- 30 -'!F23,'- 30 -'!D23,'- 30 -'!B23)</f>
        <v>1577840</v>
      </c>
      <c r="C23" s="362">
        <f>B23/'- 3 -'!D23*100</f>
        <v>9.8467421951350413</v>
      </c>
      <c r="D23" s="361">
        <f>B23/'- 7 -'!F23</f>
        <v>1334.8900169204737</v>
      </c>
      <c r="E23" s="361">
        <f>SUM('- 33 -'!D23,'- 33 -'!B23,'- 32 -'!F23,'- 32 -'!D23,'- 32 -'!B23)</f>
        <v>1390332</v>
      </c>
      <c r="F23" s="362">
        <f>E23/'- 3 -'!D23*100</f>
        <v>8.6765709892298908</v>
      </c>
      <c r="G23" s="361">
        <f>E23/'- 7 -'!F23</f>
        <v>1176.253807106599</v>
      </c>
      <c r="H23" s="361">
        <f>SUM('- 34 -'!B23,'- 34 -'!D23)</f>
        <v>250000</v>
      </c>
      <c r="I23" s="362">
        <f>H23/'- 3 -'!D23*100</f>
        <v>1.5601617076406735</v>
      </c>
      <c r="J23" s="361">
        <f>H23/'- 7 -'!F23</f>
        <v>211.50592216582064</v>
      </c>
    </row>
    <row r="24" spans="1:10" ht="14.1" customHeight="1">
      <c r="A24" s="23" t="s">
        <v>242</v>
      </c>
      <c r="B24" s="24">
        <f>SUM('- 31 -'!D24,'- 31 -'!B24,'- 30 -'!F24,'- 30 -'!D24,'- 30 -'!B24)</f>
        <v>2501160</v>
      </c>
      <c r="C24" s="353">
        <f>B24/'- 3 -'!D24*100</f>
        <v>4.7399850532304546</v>
      </c>
      <c r="D24" s="24">
        <f>B24/'- 7 -'!F24</f>
        <v>596.01096151554862</v>
      </c>
      <c r="E24" s="24">
        <f>SUM('- 33 -'!D24,'- 33 -'!B24,'- 32 -'!F24,'- 32 -'!D24,'- 32 -'!B24)</f>
        <v>5754315</v>
      </c>
      <c r="F24" s="353">
        <f>E24/'- 3 -'!D24*100</f>
        <v>10.90508687632131</v>
      </c>
      <c r="G24" s="24">
        <f>E24/'- 7 -'!F24</f>
        <v>1371.2176814011677</v>
      </c>
      <c r="H24" s="24">
        <f>SUM('- 34 -'!B24,'- 34 -'!D24)</f>
        <v>895935</v>
      </c>
      <c r="I24" s="353">
        <f>H24/'- 3 -'!D24*100</f>
        <v>1.6978995780621904</v>
      </c>
      <c r="J24" s="24">
        <f>H24/'- 7 -'!F24</f>
        <v>213.49577028476111</v>
      </c>
    </row>
    <row r="25" spans="1:10" ht="14.1" customHeight="1">
      <c r="A25" s="360" t="s">
        <v>243</v>
      </c>
      <c r="B25" s="361">
        <f>SUM('- 31 -'!D25,'- 31 -'!B25,'- 30 -'!F25,'- 30 -'!D25,'- 30 -'!B25)</f>
        <v>3648972</v>
      </c>
      <c r="C25" s="362">
        <f>B25/'- 3 -'!D25*100</f>
        <v>2.356421457574418</v>
      </c>
      <c r="D25" s="361">
        <f>B25/'- 7 -'!F25</f>
        <v>264.28420366480771</v>
      </c>
      <c r="E25" s="361">
        <f>SUM('- 33 -'!D25,'- 33 -'!B25,'- 32 -'!F25,'- 32 -'!D25,'- 32 -'!B25)</f>
        <v>16202730</v>
      </c>
      <c r="F25" s="362">
        <f>E25/'- 3 -'!D25*100</f>
        <v>10.463347113456816</v>
      </c>
      <c r="G25" s="361">
        <f>E25/'- 7 -'!F25</f>
        <v>1173.5156080249149</v>
      </c>
      <c r="H25" s="361">
        <f>SUM('- 34 -'!B25,'- 34 -'!D25)</f>
        <v>2625522</v>
      </c>
      <c r="I25" s="362">
        <f>H25/'- 3 -'!D25*100</f>
        <v>1.6955011927013142</v>
      </c>
      <c r="J25" s="361">
        <f>H25/'- 7 -'!F25</f>
        <v>190.15876004925039</v>
      </c>
    </row>
    <row r="26" spans="1:10" ht="14.1" customHeight="1">
      <c r="A26" s="23" t="s">
        <v>244</v>
      </c>
      <c r="B26" s="24">
        <f>SUM('- 31 -'!D26,'- 31 -'!B26,'- 30 -'!F26,'- 30 -'!D26,'- 30 -'!B26)</f>
        <v>2915698</v>
      </c>
      <c r="C26" s="353">
        <f>B26/'- 3 -'!D26*100</f>
        <v>7.6844244013757601</v>
      </c>
      <c r="D26" s="24">
        <f>B26/'- 7 -'!F26</f>
        <v>944.04986239274729</v>
      </c>
      <c r="E26" s="24">
        <f>SUM('- 33 -'!D26,'- 33 -'!B26,'- 32 -'!F26,'- 32 -'!D26,'- 32 -'!B26)</f>
        <v>4633234</v>
      </c>
      <c r="F26" s="353">
        <f>E26/'- 3 -'!D26*100</f>
        <v>12.211050803918587</v>
      </c>
      <c r="G26" s="24">
        <f>E26/'- 7 -'!F26</f>
        <v>1500.1567103772059</v>
      </c>
      <c r="H26" s="24">
        <f>SUM('- 34 -'!B26,'- 34 -'!D26)</f>
        <v>672294</v>
      </c>
      <c r="I26" s="353">
        <f>H26/'- 3 -'!D26*100</f>
        <v>1.7718544302251178</v>
      </c>
      <c r="J26" s="24">
        <f>H26/'- 7 -'!F26</f>
        <v>217.67654201068481</v>
      </c>
    </row>
    <row r="27" spans="1:10" ht="14.1" customHeight="1">
      <c r="A27" s="360" t="s">
        <v>245</v>
      </c>
      <c r="B27" s="361">
        <f>SUM('- 31 -'!D27,'- 31 -'!B27,'- 30 -'!F27,'- 30 -'!D27,'- 30 -'!B27)</f>
        <v>226000</v>
      </c>
      <c r="C27" s="362">
        <f>B27/'- 3 -'!D27*100</f>
        <v>0.58735784997918905</v>
      </c>
      <c r="D27" s="361">
        <f>B27/'- 7 -'!F27</f>
        <v>82.151944747364595</v>
      </c>
      <c r="E27" s="361">
        <f>SUM('- 33 -'!D27,'- 33 -'!B27,'- 32 -'!F27,'- 32 -'!D27,'- 32 -'!B27)</f>
        <v>5038446</v>
      </c>
      <c r="F27" s="362">
        <f>E27/'- 3 -'!D27*100</f>
        <v>13.094561105293121</v>
      </c>
      <c r="G27" s="361">
        <f>E27/'- 7 -'!F27</f>
        <v>1831.4961832061069</v>
      </c>
      <c r="H27" s="361">
        <f>SUM('- 34 -'!B27,'- 34 -'!D27)</f>
        <v>655900</v>
      </c>
      <c r="I27" s="362">
        <f>H27/'- 3 -'!D27*100</f>
        <v>1.7046372292095138</v>
      </c>
      <c r="J27" s="361">
        <f>H27/'- 7 -'!F27</f>
        <v>238.42239185750637</v>
      </c>
    </row>
    <row r="28" spans="1:10" ht="14.1" customHeight="1">
      <c r="A28" s="23" t="s">
        <v>246</v>
      </c>
      <c r="B28" s="24">
        <f>SUM('- 31 -'!D28,'- 31 -'!B28,'- 30 -'!F28,'- 30 -'!D28,'- 30 -'!B28)</f>
        <v>2146801</v>
      </c>
      <c r="C28" s="353">
        <f>B28/'- 3 -'!D28*100</f>
        <v>8.2337918680335651</v>
      </c>
      <c r="D28" s="24">
        <f>B28/'- 7 -'!F28</f>
        <v>1086.9878481012659</v>
      </c>
      <c r="E28" s="24">
        <f>SUM('- 33 -'!D28,'- 33 -'!B28,'- 32 -'!F28,'- 32 -'!D28,'- 32 -'!B28)</f>
        <v>2922728</v>
      </c>
      <c r="F28" s="353">
        <f>E28/'- 3 -'!D28*100</f>
        <v>11.209764686561076</v>
      </c>
      <c r="G28" s="24">
        <f>E28/'- 7 -'!F28</f>
        <v>1479.8622784810127</v>
      </c>
      <c r="H28" s="24">
        <f>SUM('- 34 -'!B28,'- 34 -'!D28)</f>
        <v>461500</v>
      </c>
      <c r="I28" s="353">
        <f>H28/'- 3 -'!D28*100</f>
        <v>1.7700266336271924</v>
      </c>
      <c r="J28" s="24">
        <f>H28/'- 7 -'!F28</f>
        <v>233.67088607594937</v>
      </c>
    </row>
    <row r="29" spans="1:10" ht="14.1" customHeight="1">
      <c r="A29" s="360" t="s">
        <v>247</v>
      </c>
      <c r="B29" s="361">
        <f>SUM('- 31 -'!D29,'- 31 -'!B29,'- 30 -'!F29,'- 30 -'!D29,'- 30 -'!B29)</f>
        <v>2432709</v>
      </c>
      <c r="C29" s="362">
        <f>B29/'- 3 -'!D29*100</f>
        <v>1.7129710863422181</v>
      </c>
      <c r="D29" s="361">
        <f>B29/'- 7 -'!F29</f>
        <v>201.25824198552223</v>
      </c>
      <c r="E29" s="361">
        <f>SUM('- 33 -'!D29,'- 33 -'!B29,'- 32 -'!F29,'- 32 -'!D29,'- 32 -'!B29)</f>
        <v>17038008</v>
      </c>
      <c r="F29" s="362">
        <f>E29/'- 3 -'!D29*100</f>
        <v>11.99716656322947</v>
      </c>
      <c r="G29" s="361">
        <f>E29/'- 7 -'!F29</f>
        <v>1409.555987590486</v>
      </c>
      <c r="H29" s="361">
        <f>SUM('- 34 -'!B29,'- 34 -'!D29)</f>
        <v>2487000</v>
      </c>
      <c r="I29" s="362">
        <f>H29/'- 3 -'!D29*100</f>
        <v>1.7511996263149829</v>
      </c>
      <c r="J29" s="361">
        <f>H29/'- 7 -'!F29</f>
        <v>205.74974146845915</v>
      </c>
    </row>
    <row r="30" spans="1:10" ht="14.1" customHeight="1">
      <c r="A30" s="23" t="s">
        <v>248</v>
      </c>
      <c r="B30" s="24">
        <f>SUM('- 31 -'!D30,'- 31 -'!B30,'- 30 -'!F30,'- 30 -'!D30,'- 30 -'!B30)</f>
        <v>1198394</v>
      </c>
      <c r="C30" s="353">
        <f>B30/'- 3 -'!D30*100</f>
        <v>8.9065034671547618</v>
      </c>
      <c r="D30" s="24">
        <f>B30/'- 7 -'!F30</f>
        <v>1119.9943925233645</v>
      </c>
      <c r="E30" s="24">
        <f>SUM('- 33 -'!D30,'- 33 -'!B30,'- 32 -'!F30,'- 32 -'!D30,'- 32 -'!B30)</f>
        <v>1494472</v>
      </c>
      <c r="F30" s="353">
        <f>E30/'- 3 -'!D30*100</f>
        <v>11.106964862612557</v>
      </c>
      <c r="G30" s="24">
        <f>E30/'- 7 -'!F30</f>
        <v>1396.7028037383177</v>
      </c>
      <c r="H30" s="24">
        <f>SUM('- 34 -'!B30,'- 34 -'!D30)</f>
        <v>220950</v>
      </c>
      <c r="I30" s="353">
        <f>H30/'- 3 -'!D30*100</f>
        <v>1.6421076382791011</v>
      </c>
      <c r="J30" s="24">
        <f>H30/'- 7 -'!F30</f>
        <v>206.49532710280374</v>
      </c>
    </row>
    <row r="31" spans="1:10" ht="14.1" customHeight="1">
      <c r="A31" s="360" t="s">
        <v>249</v>
      </c>
      <c r="B31" s="361">
        <f>SUM('- 31 -'!D31,'- 31 -'!B31,'- 30 -'!F31,'- 30 -'!D31,'- 30 -'!B31)</f>
        <v>1007698</v>
      </c>
      <c r="C31" s="362">
        <f>B31/'- 3 -'!D31*100</f>
        <v>2.9968416967052787</v>
      </c>
      <c r="D31" s="361">
        <f>B31/'- 7 -'!F31</f>
        <v>315.89278996865204</v>
      </c>
      <c r="E31" s="361">
        <f>SUM('- 33 -'!D31,'- 33 -'!B31,'- 32 -'!F31,'- 32 -'!D31,'- 32 -'!B31)</f>
        <v>3792629</v>
      </c>
      <c r="F31" s="362">
        <f>E31/'- 3 -'!D31*100</f>
        <v>11.279082351392624</v>
      </c>
      <c r="G31" s="361">
        <f>E31/'- 7 -'!F31</f>
        <v>1188.9119122257052</v>
      </c>
      <c r="H31" s="361">
        <f>SUM('- 34 -'!B31,'- 34 -'!D31)</f>
        <v>584071</v>
      </c>
      <c r="I31" s="362">
        <f>H31/'- 3 -'!D31*100</f>
        <v>1.7369969243129877</v>
      </c>
      <c r="J31" s="361">
        <f>H31/'- 7 -'!F31</f>
        <v>183.09435736677116</v>
      </c>
    </row>
    <row r="32" spans="1:10" ht="14.1" customHeight="1">
      <c r="A32" s="23" t="s">
        <v>250</v>
      </c>
      <c r="B32" s="24">
        <f>SUM('- 31 -'!D32,'- 31 -'!B32,'- 30 -'!F32,'- 30 -'!D32,'- 30 -'!B32)</f>
        <v>1970225</v>
      </c>
      <c r="C32" s="353">
        <f>B32/'- 3 -'!D32*100</f>
        <v>7.71329986691575</v>
      </c>
      <c r="D32" s="24">
        <f>B32/'- 7 -'!F32</f>
        <v>963.19970667318501</v>
      </c>
      <c r="E32" s="24">
        <f>SUM('- 33 -'!D32,'- 33 -'!B32,'- 32 -'!F32,'- 32 -'!D32,'- 32 -'!B32)</f>
        <v>2753950</v>
      </c>
      <c r="F32" s="353">
        <f>E32/'- 3 -'!D32*100</f>
        <v>10.781531128928235</v>
      </c>
      <c r="G32" s="24">
        <f>E32/'- 7 -'!F32</f>
        <v>1346.3456367636275</v>
      </c>
      <c r="H32" s="24">
        <f>SUM('- 34 -'!B32,'- 34 -'!D32)</f>
        <v>432000</v>
      </c>
      <c r="I32" s="353">
        <f>H32/'- 3 -'!D32*100</f>
        <v>1.6912512746044761</v>
      </c>
      <c r="J32" s="24">
        <f>H32/'- 7 -'!F32</f>
        <v>211.19530677096066</v>
      </c>
    </row>
    <row r="33" spans="1:11" ht="14.1" customHeight="1">
      <c r="A33" s="360" t="s">
        <v>251</v>
      </c>
      <c r="B33" s="361">
        <f>SUM('- 31 -'!D33,'- 31 -'!B33,'- 30 -'!F33,'- 30 -'!D33,'- 30 -'!B33)</f>
        <v>2351700</v>
      </c>
      <c r="C33" s="362">
        <f>B33/'- 3 -'!D33*100</f>
        <v>8.9543202872449399</v>
      </c>
      <c r="D33" s="361">
        <f>B33/'- 7 -'!F33</f>
        <v>1160.7601184600198</v>
      </c>
      <c r="E33" s="361">
        <f>SUM('- 33 -'!D33,'- 33 -'!B33,'- 32 -'!F33,'- 32 -'!D33,'- 32 -'!B33)</f>
        <v>3334900</v>
      </c>
      <c r="F33" s="362">
        <f>E33/'- 3 -'!D33*100</f>
        <v>12.697947325735912</v>
      </c>
      <c r="G33" s="361">
        <f>E33/'- 7 -'!F33</f>
        <v>1646.0513326752221</v>
      </c>
      <c r="H33" s="361">
        <f>SUM('- 34 -'!B33,'- 34 -'!D33)</f>
        <v>390000</v>
      </c>
      <c r="I33" s="362">
        <f>H33/'- 3 -'!D33*100</f>
        <v>1.4849619050157443</v>
      </c>
      <c r="J33" s="361">
        <f>H33/'- 7 -'!F33</f>
        <v>192.49753208292202</v>
      </c>
    </row>
    <row r="34" spans="1:11" ht="14.1" customHeight="1">
      <c r="A34" s="23" t="s">
        <v>252</v>
      </c>
      <c r="B34" s="24">
        <f>SUM('- 31 -'!D34,'- 31 -'!B34,'- 30 -'!F34,'- 30 -'!D34,'- 30 -'!B34)</f>
        <v>2536809</v>
      </c>
      <c r="C34" s="353">
        <f>B34/'- 3 -'!D34*100</f>
        <v>9.9314820993186963</v>
      </c>
      <c r="D34" s="24">
        <f>B34/'- 7 -'!F34</f>
        <v>1259.3560269463903</v>
      </c>
      <c r="E34" s="24">
        <f>SUM('- 33 -'!D34,'- 33 -'!B34,'- 32 -'!F34,'- 32 -'!D34,'- 32 -'!B34)</f>
        <v>2726564</v>
      </c>
      <c r="F34" s="353">
        <f>E34/'- 3 -'!D34*100</f>
        <v>10.67436356408653</v>
      </c>
      <c r="G34" s="24">
        <f>E34/'- 7 -'!F34</f>
        <v>1353.5566951453804</v>
      </c>
      <c r="H34" s="24">
        <f>SUM('- 34 -'!B34,'- 34 -'!D34)</f>
        <v>440540</v>
      </c>
      <c r="I34" s="353">
        <f>H34/'- 3 -'!D34*100</f>
        <v>1.7246923690486193</v>
      </c>
      <c r="J34" s="24">
        <f>H34/'- 7 -'!F34</f>
        <v>218.69865019832505</v>
      </c>
    </row>
    <row r="35" spans="1:11" ht="14.1" customHeight="1">
      <c r="A35" s="360" t="s">
        <v>253</v>
      </c>
      <c r="B35" s="361">
        <f>SUM('- 31 -'!D35,'- 31 -'!B35,'- 30 -'!F35,'- 30 -'!D35,'- 30 -'!B35)</f>
        <v>3514300</v>
      </c>
      <c r="C35" s="362">
        <f>B35/'- 3 -'!D35*100</f>
        <v>2.0974926621776993</v>
      </c>
      <c r="D35" s="361">
        <f>B35/'- 7 -'!F35</f>
        <v>222.62836147097019</v>
      </c>
      <c r="E35" s="361">
        <f>SUM('- 33 -'!D35,'- 33 -'!B35,'- 32 -'!F35,'- 32 -'!D35,'- 32 -'!B35)</f>
        <v>20086700</v>
      </c>
      <c r="F35" s="362">
        <f>E35/'- 3 -'!D35*100</f>
        <v>11.988648054339354</v>
      </c>
      <c r="G35" s="361">
        <f>E35/'- 7 -'!F35</f>
        <v>1272.4779069399133</v>
      </c>
      <c r="H35" s="361">
        <f>SUM('- 34 -'!B35,'- 34 -'!D35)</f>
        <v>2910000</v>
      </c>
      <c r="I35" s="362">
        <f>H35/'- 3 -'!D35*100</f>
        <v>1.7368191807577908</v>
      </c>
      <c r="J35" s="361">
        <f>H35/'- 7 -'!F35</f>
        <v>184.34639384245034</v>
      </c>
    </row>
    <row r="36" spans="1:11" ht="14.1" customHeight="1">
      <c r="A36" s="23" t="s">
        <v>254</v>
      </c>
      <c r="B36" s="24">
        <f>SUM('- 31 -'!D36,'- 31 -'!B36,'- 30 -'!F36,'- 30 -'!D36,'- 30 -'!B36)</f>
        <v>1581725</v>
      </c>
      <c r="C36" s="353">
        <f>B36/'- 3 -'!D36*100</f>
        <v>7.3335330082588452</v>
      </c>
      <c r="D36" s="24">
        <f>B36/'- 7 -'!F36</f>
        <v>942.34435507893954</v>
      </c>
      <c r="E36" s="24">
        <f>SUM('- 33 -'!D36,'- 33 -'!B36,'- 32 -'!F36,'- 32 -'!D36,'- 32 -'!B36)</f>
        <v>2417915</v>
      </c>
      <c r="F36" s="353">
        <f>E36/'- 3 -'!D36*100</f>
        <v>11.210456598754009</v>
      </c>
      <c r="G36" s="24">
        <f>E36/'- 7 -'!F36</f>
        <v>1440.5212987786715</v>
      </c>
      <c r="H36" s="24">
        <f>SUM('- 34 -'!B36,'- 34 -'!D36)</f>
        <v>480500</v>
      </c>
      <c r="I36" s="353">
        <f>H36/'- 3 -'!D36*100</f>
        <v>2.2277972532952157</v>
      </c>
      <c r="J36" s="24">
        <f>H36/'- 7 -'!F36</f>
        <v>286.26750074471255</v>
      </c>
    </row>
    <row r="37" spans="1:11" ht="14.1" customHeight="1">
      <c r="A37" s="360" t="s">
        <v>255</v>
      </c>
      <c r="B37" s="361">
        <f>SUM('- 31 -'!D37,'- 31 -'!B37,'- 30 -'!F37,'- 30 -'!D37,'- 30 -'!B37)</f>
        <v>2723176</v>
      </c>
      <c r="C37" s="362">
        <f>B37/'- 3 -'!D37*100</f>
        <v>6.5358759919884895</v>
      </c>
      <c r="D37" s="361">
        <f>B37/'- 7 -'!F37</f>
        <v>730.36770819364358</v>
      </c>
      <c r="E37" s="361">
        <f>SUM('- 33 -'!D37,'- 33 -'!B37,'- 32 -'!F37,'- 32 -'!D37,'- 32 -'!B37)</f>
        <v>4531654</v>
      </c>
      <c r="F37" s="362">
        <f>E37/'- 3 -'!D37*100</f>
        <v>10.876391603994234</v>
      </c>
      <c r="G37" s="361">
        <f>E37/'- 7 -'!F37</f>
        <v>1215.4094139734477</v>
      </c>
      <c r="H37" s="361">
        <f>SUM('- 34 -'!B37,'- 34 -'!D37)</f>
        <v>707000</v>
      </c>
      <c r="I37" s="362">
        <f>H37/'- 3 -'!D37*100</f>
        <v>1.6968658383945296</v>
      </c>
      <c r="J37" s="361">
        <f>H37/'- 7 -'!F37</f>
        <v>189.62049081400028</v>
      </c>
    </row>
    <row r="38" spans="1:11" ht="14.1" customHeight="1">
      <c r="A38" s="23" t="s">
        <v>256</v>
      </c>
      <c r="B38" s="24">
        <f>SUM('- 31 -'!D38,'- 31 -'!B38,'- 30 -'!F38,'- 30 -'!D38,'- 30 -'!B38)</f>
        <v>3344460</v>
      </c>
      <c r="C38" s="353">
        <f>B38/'- 3 -'!D38*100</f>
        <v>2.8512540637996295</v>
      </c>
      <c r="D38" s="24">
        <f>B38/'- 7 -'!F38</f>
        <v>316.95034116755119</v>
      </c>
      <c r="E38" s="24">
        <f>SUM('- 33 -'!D38,'- 33 -'!B38,'- 32 -'!F38,'- 32 -'!D38,'- 32 -'!B38)</f>
        <v>12400840</v>
      </c>
      <c r="F38" s="353">
        <f>E38/'- 3 -'!D38*100</f>
        <v>10.572093983641304</v>
      </c>
      <c r="G38" s="24">
        <f>E38/'- 7 -'!F38</f>
        <v>1175.2122820318423</v>
      </c>
      <c r="H38" s="24">
        <f>SUM('- 34 -'!B38,'- 34 -'!D38)</f>
        <v>2153380</v>
      </c>
      <c r="I38" s="353">
        <f>H38/'- 3 -'!D38*100</f>
        <v>1.8358220687061129</v>
      </c>
      <c r="J38" s="24">
        <f>H38/'- 7 -'!F38</f>
        <v>204.07316148597423</v>
      </c>
    </row>
    <row r="39" spans="1:11" ht="14.1" customHeight="1">
      <c r="A39" s="360" t="s">
        <v>257</v>
      </c>
      <c r="B39" s="361">
        <f>SUM('- 31 -'!D39,'- 31 -'!B39,'- 30 -'!F39,'- 30 -'!D39,'- 30 -'!B39)</f>
        <v>1895412</v>
      </c>
      <c r="C39" s="362">
        <f>B39/'- 3 -'!D39*100</f>
        <v>9.2238765789474453</v>
      </c>
      <c r="D39" s="361">
        <f>B39/'- 7 -'!F39</f>
        <v>1197.3543903979785</v>
      </c>
      <c r="E39" s="361">
        <f>SUM('- 33 -'!D39,'- 33 -'!B39,'- 32 -'!F39,'- 32 -'!D39,'- 32 -'!B39)</f>
        <v>2354916</v>
      </c>
      <c r="F39" s="362">
        <f>E39/'- 3 -'!D39*100</f>
        <v>11.460017419847823</v>
      </c>
      <c r="G39" s="361">
        <f>E39/'- 7 -'!F39</f>
        <v>1487.6285533796588</v>
      </c>
      <c r="H39" s="361">
        <f>SUM('- 34 -'!B39,'- 34 -'!D39)</f>
        <v>395000</v>
      </c>
      <c r="I39" s="362">
        <f>H39/'- 3 -'!D39*100</f>
        <v>1.9222370907666728</v>
      </c>
      <c r="J39" s="361">
        <f>H39/'- 7 -'!F39</f>
        <v>249.52621604548327</v>
      </c>
    </row>
    <row r="40" spans="1:11" ht="14.1" customHeight="1">
      <c r="A40" s="23" t="s">
        <v>258</v>
      </c>
      <c r="B40" s="24">
        <f>SUM('- 31 -'!D40,'- 31 -'!B40,'- 30 -'!F40,'- 30 -'!D40,'- 30 -'!B40)</f>
        <v>1822633</v>
      </c>
      <c r="C40" s="353">
        <f>B40/'- 3 -'!D40*100</f>
        <v>1.8747047234092258</v>
      </c>
      <c r="D40" s="24">
        <f>B40/'- 7 -'!F40</f>
        <v>228.32287321332385</v>
      </c>
      <c r="E40" s="24">
        <f>SUM('- 33 -'!D40,'- 33 -'!B40,'- 32 -'!F40,'- 32 -'!D40,'- 32 -'!B40)</f>
        <v>10357897</v>
      </c>
      <c r="F40" s="353">
        <f>E40/'- 3 -'!D40*100</f>
        <v>10.653816994691882</v>
      </c>
      <c r="G40" s="24">
        <f>E40/'- 7 -'!F40</f>
        <v>1297.5430618712969</v>
      </c>
      <c r="H40" s="24">
        <f>SUM('- 34 -'!B40,'- 34 -'!D40)</f>
        <v>1604688</v>
      </c>
      <c r="I40" s="353">
        <f>H40/'- 3 -'!D40*100</f>
        <v>1.6505331425460328</v>
      </c>
      <c r="J40" s="24">
        <f>H40/'- 7 -'!F40</f>
        <v>201.02070727949192</v>
      </c>
    </row>
    <row r="41" spans="1:11" ht="14.1" customHeight="1">
      <c r="A41" s="360" t="s">
        <v>259</v>
      </c>
      <c r="B41" s="361">
        <f>SUM('- 31 -'!D41,'- 31 -'!B41,'- 30 -'!F41,'- 30 -'!D41,'- 30 -'!B41)</f>
        <v>4579922</v>
      </c>
      <c r="C41" s="362">
        <f>B41/'- 3 -'!D41*100</f>
        <v>7.9403341342573857</v>
      </c>
      <c r="D41" s="361">
        <f>B41/'- 7 -'!F41</f>
        <v>1029.8902630987182</v>
      </c>
      <c r="E41" s="361">
        <f>SUM('- 33 -'!D41,'- 33 -'!B41,'- 32 -'!F41,'- 32 -'!D41,'- 32 -'!B41)</f>
        <v>5217757</v>
      </c>
      <c r="F41" s="362">
        <f>E41/'- 3 -'!D41*100</f>
        <v>9.0461658542133296</v>
      </c>
      <c r="G41" s="361">
        <f>E41/'- 7 -'!F41</f>
        <v>1173.3206656172702</v>
      </c>
      <c r="H41" s="361">
        <f>SUM('- 34 -'!B41,'- 34 -'!D41)</f>
        <v>1050000</v>
      </c>
      <c r="I41" s="362">
        <f>H41/'- 3 -'!D41*100</f>
        <v>1.8204132823594499</v>
      </c>
      <c r="J41" s="361">
        <f>H41/'- 7 -'!F41</f>
        <v>236.11423431526873</v>
      </c>
    </row>
    <row r="42" spans="1:11" ht="14.1" customHeight="1">
      <c r="A42" s="23" t="s">
        <v>260</v>
      </c>
      <c r="B42" s="24">
        <f>SUM('- 31 -'!D42,'- 31 -'!B42,'- 30 -'!F42,'- 30 -'!D42,'- 30 -'!B42)</f>
        <v>1643547</v>
      </c>
      <c r="C42" s="353">
        <f>B42/'- 3 -'!D42*100</f>
        <v>8.1461947107405415</v>
      </c>
      <c r="D42" s="24">
        <f>B42/'- 7 -'!F42</f>
        <v>1174.8012866333095</v>
      </c>
      <c r="E42" s="24">
        <f>SUM('- 33 -'!D42,'- 33 -'!B42,'- 32 -'!F42,'- 32 -'!D42,'- 32 -'!B42)</f>
        <v>2162479</v>
      </c>
      <c r="F42" s="353">
        <f>E42/'- 3 -'!D42*100</f>
        <v>10.718266646398</v>
      </c>
      <c r="G42" s="24">
        <f>E42/'- 7 -'!F42</f>
        <v>1545.7319513938528</v>
      </c>
      <c r="H42" s="24">
        <f>SUM('- 34 -'!B42,'- 34 -'!D42)</f>
        <v>323000</v>
      </c>
      <c r="I42" s="353">
        <f>H42/'- 3 -'!D42*100</f>
        <v>1.6009404608260032</v>
      </c>
      <c r="J42" s="24">
        <f>H42/'- 7 -'!F42</f>
        <v>230.87919942816296</v>
      </c>
    </row>
    <row r="43" spans="1:11" ht="14.1" customHeight="1">
      <c r="A43" s="360" t="s">
        <v>261</v>
      </c>
      <c r="B43" s="361">
        <f>SUM('- 31 -'!D43,'- 31 -'!B43,'- 30 -'!F43,'- 30 -'!D43,'- 30 -'!B43)</f>
        <v>945981</v>
      </c>
      <c r="C43" s="362">
        <f>B43/'- 3 -'!D43*100</f>
        <v>7.9122062032607978</v>
      </c>
      <c r="D43" s="361">
        <f>B43/'- 7 -'!F43</f>
        <v>979.78353184878301</v>
      </c>
      <c r="E43" s="361">
        <f>SUM('- 33 -'!D43,'- 33 -'!B43,'- 32 -'!F43,'- 32 -'!D43,'- 32 -'!B43)</f>
        <v>1038913</v>
      </c>
      <c r="F43" s="362">
        <f>E43/'- 3 -'!D43*100</f>
        <v>8.6894915259907801</v>
      </c>
      <c r="G43" s="361">
        <f>E43/'- 7 -'!F43</f>
        <v>1076.036250647333</v>
      </c>
      <c r="H43" s="361">
        <f>SUM('- 34 -'!B43,'- 34 -'!D43)</f>
        <v>226000</v>
      </c>
      <c r="I43" s="362">
        <f>H43/'- 3 -'!D43*100</f>
        <v>1.8902690455061364</v>
      </c>
      <c r="J43" s="361">
        <f>H43/'- 7 -'!F43</f>
        <v>234.07560849300882</v>
      </c>
    </row>
    <row r="44" spans="1:11" ht="14.1" customHeight="1">
      <c r="A44" s="23" t="s">
        <v>262</v>
      </c>
      <c r="B44" s="24">
        <f>SUM('- 31 -'!D44,'- 31 -'!B44,'- 30 -'!F44,'- 30 -'!D44,'- 30 -'!B44)</f>
        <v>1052865</v>
      </c>
      <c r="C44" s="353">
        <f>B44/'- 3 -'!D44*100</f>
        <v>9.9905992822356993</v>
      </c>
      <c r="D44" s="24">
        <f>B44/'- 7 -'!F44</f>
        <v>1398.2270916334662</v>
      </c>
      <c r="E44" s="24">
        <f>SUM('- 33 -'!D44,'- 33 -'!B44,'- 32 -'!F44,'- 32 -'!D44,'- 32 -'!B44)</f>
        <v>1147706</v>
      </c>
      <c r="F44" s="353">
        <f>E44/'- 3 -'!D44*100</f>
        <v>10.890542225088311</v>
      </c>
      <c r="G44" s="24">
        <f>E44/'- 7 -'!F44</f>
        <v>1524.1779548472775</v>
      </c>
      <c r="H44" s="24">
        <f>SUM('- 34 -'!B44,'- 34 -'!D44)</f>
        <v>169373</v>
      </c>
      <c r="I44" s="353">
        <f>H44/'- 3 -'!D44*100</f>
        <v>1.607174492674851</v>
      </c>
      <c r="J44" s="24">
        <f>H44/'- 7 -'!F44</f>
        <v>224.93094289508633</v>
      </c>
    </row>
    <row r="45" spans="1:11" ht="14.1" customHeight="1">
      <c r="A45" s="360" t="s">
        <v>263</v>
      </c>
      <c r="B45" s="361">
        <f>SUM('- 31 -'!D45,'- 31 -'!B45,'- 30 -'!F45,'- 30 -'!D45,'- 30 -'!B45)</f>
        <v>698789</v>
      </c>
      <c r="C45" s="362">
        <f>B45/'- 3 -'!D45*100</f>
        <v>4.1270014323070159</v>
      </c>
      <c r="D45" s="361">
        <f>B45/'- 7 -'!F45</f>
        <v>414.71157270029676</v>
      </c>
      <c r="E45" s="361">
        <f>SUM('- 33 -'!D45,'- 33 -'!B45,'- 32 -'!F45,'- 32 -'!D45,'- 32 -'!B45)</f>
        <v>1658057</v>
      </c>
      <c r="F45" s="362">
        <f>E45/'- 3 -'!D45*100</f>
        <v>9.7923745420243797</v>
      </c>
      <c r="G45" s="361">
        <f>E45/'- 7 -'!F45</f>
        <v>984.01008902077149</v>
      </c>
      <c r="H45" s="361">
        <f>SUM('- 34 -'!B45,'- 34 -'!D45)</f>
        <v>302290</v>
      </c>
      <c r="I45" s="362">
        <f>H45/'- 3 -'!D45*100</f>
        <v>1.7853046670340944</v>
      </c>
      <c r="J45" s="361">
        <f>H45/'- 7 -'!F45</f>
        <v>179.40059347181008</v>
      </c>
    </row>
    <row r="46" spans="1:11" ht="14.1" customHeight="1">
      <c r="A46" s="23" t="s">
        <v>264</v>
      </c>
      <c r="B46" s="24">
        <f>SUM('- 31 -'!D46,'- 31 -'!B46,'- 30 -'!F46,'- 30 -'!D46,'- 30 -'!B46)</f>
        <v>4993100</v>
      </c>
      <c r="C46" s="353">
        <f>B46/'- 3 -'!D46*100</f>
        <v>1.3844410025891551</v>
      </c>
      <c r="D46" s="24">
        <f>B46/'- 7 -'!F46</f>
        <v>164.57152274225444</v>
      </c>
      <c r="E46" s="24">
        <f>SUM('- 33 -'!D46,'- 33 -'!B46,'- 32 -'!F46,'- 32 -'!D46,'- 32 -'!B46)</f>
        <v>45633700</v>
      </c>
      <c r="F46" s="353">
        <f>E46/'- 3 -'!D46*100</f>
        <v>12.652894069786852</v>
      </c>
      <c r="G46" s="24">
        <f>E46/'- 7 -'!F46</f>
        <v>1504.0771259063943</v>
      </c>
      <c r="H46" s="24">
        <f>SUM('- 34 -'!B46,'- 34 -'!D46)</f>
        <v>6680000</v>
      </c>
      <c r="I46" s="353">
        <f>H46/'- 3 -'!D46*100</f>
        <v>1.8521691729177374</v>
      </c>
      <c r="J46" s="24">
        <f>H46/'- 7 -'!F46</f>
        <v>220.17139090309823</v>
      </c>
    </row>
    <row r="47" spans="1:11" ht="5.0999999999999996" customHeight="1">
      <c r="A47"/>
      <c r="B47"/>
      <c r="C47"/>
      <c r="D47"/>
      <c r="E47"/>
      <c r="F47"/>
      <c r="G47"/>
      <c r="H47"/>
      <c r="I47"/>
      <c r="J47"/>
      <c r="K47"/>
    </row>
    <row r="48" spans="1:11" ht="14.1" customHeight="1">
      <c r="A48" s="363" t="s">
        <v>265</v>
      </c>
      <c r="B48" s="364">
        <f>SUM(B11:B46)</f>
        <v>89114776</v>
      </c>
      <c r="C48" s="365">
        <f>B48/'- 3 -'!D48*100</f>
        <v>4.2798532263738203</v>
      </c>
      <c r="D48" s="364">
        <f>B48/'- 7 -'!F48</f>
        <v>513.49013985820568</v>
      </c>
      <c r="E48" s="364">
        <f>SUM(E11:E46)</f>
        <v>240880114</v>
      </c>
      <c r="F48" s="365">
        <f>E48/'- 3 -'!D48*100</f>
        <v>11.568581321151427</v>
      </c>
      <c r="G48" s="364">
        <f>E48/'- 7 -'!F48</f>
        <v>1387.9804110927746</v>
      </c>
      <c r="H48" s="364">
        <f>SUM(H11:H46)</f>
        <v>36306563</v>
      </c>
      <c r="I48" s="365">
        <f>H48/'- 3 -'!D48*100</f>
        <v>1.7436699924386765</v>
      </c>
      <c r="J48" s="364">
        <f>H48/'- 7 -'!F48</f>
        <v>209.20281629435681</v>
      </c>
    </row>
    <row r="49" spans="1:10" ht="5.0999999999999996" customHeight="1">
      <c r="A49" s="25" t="s">
        <v>3</v>
      </c>
      <c r="B49" s="26"/>
      <c r="C49" s="351"/>
      <c r="D49" s="26"/>
      <c r="E49" s="26"/>
      <c r="F49" s="351"/>
      <c r="H49" s="26"/>
      <c r="I49" s="351"/>
      <c r="J49" s="26"/>
    </row>
    <row r="50" spans="1:10" ht="14.1" customHeight="1">
      <c r="A50" s="23" t="s">
        <v>266</v>
      </c>
      <c r="B50" s="24">
        <f>SUM('- 31 -'!D50,'- 31 -'!B50,'- 30 -'!F50,'- 30 -'!D50,'- 30 -'!B50)</f>
        <v>33500</v>
      </c>
      <c r="C50" s="353">
        <f>B50/'- 3 -'!D50*100</f>
        <v>1.0207965199065987</v>
      </c>
      <c r="D50" s="24">
        <f>B50/'- 7 -'!F50</f>
        <v>200.59880239520959</v>
      </c>
      <c r="E50" s="24">
        <f>SUM('- 33 -'!D50,'- 33 -'!B50,'- 32 -'!F50,'- 32 -'!D50,'- 32 -'!B50)</f>
        <v>480800</v>
      </c>
      <c r="F50" s="353">
        <f>E50/'- 3 -'!D50*100</f>
        <v>14.650715426002764</v>
      </c>
      <c r="G50" s="24">
        <f>E50/'- 7 -'!F50</f>
        <v>2879.0419161676646</v>
      </c>
      <c r="H50" s="24">
        <f>SUM('- 34 -'!B50,'- 34 -'!D50)</f>
        <v>47238</v>
      </c>
      <c r="I50" s="353">
        <f>H50/'- 3 -'!D50*100</f>
        <v>1.4394145076820271</v>
      </c>
      <c r="J50" s="24">
        <f>H50/'- 7 -'!F50</f>
        <v>282.86227544910179</v>
      </c>
    </row>
    <row r="51" spans="1:10" ht="14.1" customHeight="1">
      <c r="A51" s="360" t="s">
        <v>267</v>
      </c>
      <c r="B51" s="361">
        <f>SUM('- 31 -'!D51,'- 31 -'!B51,'- 30 -'!F51,'- 30 -'!D51,'- 30 -'!B51)</f>
        <v>0</v>
      </c>
      <c r="C51" s="362">
        <f>B51/'- 3 -'!D51*100</f>
        <v>0</v>
      </c>
      <c r="D51" s="361">
        <f>B51/'- 7 -'!F51</f>
        <v>0</v>
      </c>
      <c r="E51" s="361">
        <f>SUM('- 33 -'!D51,'- 33 -'!B51,'- 32 -'!F51,'- 32 -'!D51,'- 32 -'!B51)</f>
        <v>2176568</v>
      </c>
      <c r="F51" s="362">
        <f>E51/'- 3 -'!D51*100</f>
        <v>10.472157584857671</v>
      </c>
      <c r="G51" s="361">
        <f>E51/'- 7 -'!F51</f>
        <v>3504.9404186795491</v>
      </c>
      <c r="H51" s="361">
        <f>SUM('- 34 -'!B51,'- 34 -'!D51)</f>
        <v>142960</v>
      </c>
      <c r="I51" s="362">
        <f>H51/'- 3 -'!D51*100</f>
        <v>0.68782581032674028</v>
      </c>
      <c r="J51" s="361">
        <f>H51/'- 7 -'!F51</f>
        <v>230.20933977455718</v>
      </c>
    </row>
    <row r="52" spans="1:10" ht="50.1" customHeight="1">
      <c r="B52" s="562" t="str">
        <f>IF(B48='- 10 -'!K22,"","check with page 10")</f>
        <v/>
      </c>
      <c r="C52" s="562"/>
      <c r="D52" s="562"/>
      <c r="E52" s="562"/>
      <c r="F52" s="562"/>
      <c r="G52" s="562"/>
      <c r="H52" s="562" t="str">
        <f>IF($H$48='- 10 -'!K24," ","check with page 10")</f>
        <v xml:space="preserve"> </v>
      </c>
    </row>
    <row r="53" spans="1:10" ht="15" customHeight="1">
      <c r="B53" s="1">
        <f>B48-'- 10 -'!K22</f>
        <v>0</v>
      </c>
    </row>
    <row r="54" spans="1:10" ht="14.45" customHeight="1">
      <c r="B54" s="92"/>
      <c r="C54" s="92"/>
      <c r="E54" s="92"/>
      <c r="F54" s="92"/>
      <c r="H54" s="92"/>
    </row>
    <row r="55" spans="1:10" ht="14.45" customHeight="1"/>
    <row r="56" spans="1:10" ht="14.45" customHeight="1"/>
    <row r="57" spans="1:10" ht="14.45" customHeight="1"/>
    <row r="58" spans="1:10" ht="14.45" customHeight="1"/>
    <row r="59" spans="1:10" ht="14.45" customHeight="1"/>
  </sheetData>
  <phoneticPr fontId="0" type="noConversion"/>
  <printOptions horizontalCentered="1"/>
  <pageMargins left="0.5" right="0.5" top="0.6" bottom="0" header="0.3" footer="0"/>
  <pageSetup scale="90" orientation="portrait" r:id="rId1"/>
  <headerFooter alignWithMargins="0">
    <oddHeader>&amp;C&amp;"Arial,Bold"&amp;10&amp;A</oddHeader>
  </headerFooter>
</worksheet>
</file>

<file path=xl/worksheets/sheet14.xml><?xml version="1.0" encoding="utf-8"?>
<worksheet xmlns="http://schemas.openxmlformats.org/spreadsheetml/2006/main" xmlns:r="http://schemas.openxmlformats.org/officeDocument/2006/relationships">
  <sheetPr codeName="Sheet13">
    <pageSetUpPr fitToPage="1"/>
  </sheetPr>
  <dimension ref="A1:G59"/>
  <sheetViews>
    <sheetView showGridLines="0" showZeros="0" workbookViewId="0"/>
  </sheetViews>
  <sheetFormatPr defaultColWidth="15.83203125" defaultRowHeight="12"/>
  <cols>
    <col min="1" max="1" width="35.83203125" style="1" customWidth="1"/>
    <col min="2" max="2" width="17.5" style="1" customWidth="1"/>
    <col min="3" max="3" width="9.33203125" style="1" customWidth="1"/>
    <col min="4" max="4" width="13" style="1" customWidth="1"/>
    <col min="5" max="5" width="13.5" style="1" customWidth="1"/>
    <col min="6" max="6" width="10.1640625" style="1" customWidth="1"/>
    <col min="7" max="7" width="12" style="1" customWidth="1"/>
    <col min="8" max="16384" width="15.83203125" style="1"/>
  </cols>
  <sheetData>
    <row r="1" spans="1:7" ht="6.95" customHeight="1">
      <c r="A1" s="3"/>
      <c r="B1" s="40"/>
      <c r="C1" s="40"/>
      <c r="D1" s="40"/>
      <c r="E1" s="40"/>
      <c r="F1" s="40"/>
      <c r="G1" s="40"/>
    </row>
    <row r="2" spans="1:7" ht="15.95" customHeight="1">
      <c r="A2" s="161"/>
      <c r="B2" s="5" t="s">
        <v>483</v>
      </c>
      <c r="C2" s="197"/>
      <c r="D2" s="43"/>
      <c r="E2" s="43"/>
      <c r="F2" s="43"/>
      <c r="G2" s="184" t="s">
        <v>430</v>
      </c>
    </row>
    <row r="3" spans="1:7" ht="15.95" customHeight="1">
      <c r="A3" s="164"/>
      <c r="B3" s="234" t="str">
        <f>OPYEAR</f>
        <v>OPERATING FUND 2013/2014 BUDGET</v>
      </c>
      <c r="C3" s="47"/>
      <c r="D3" s="198"/>
      <c r="E3" s="47"/>
      <c r="F3" s="47"/>
      <c r="G3" s="49"/>
    </row>
    <row r="4" spans="1:7" ht="15.95" customHeight="1">
      <c r="B4" s="40"/>
      <c r="C4" s="40"/>
      <c r="D4" s="40"/>
      <c r="E4" s="40"/>
      <c r="F4" s="40"/>
      <c r="G4" s="40"/>
    </row>
    <row r="5" spans="1:7" ht="15.95" customHeight="1">
      <c r="B5" s="215" t="s">
        <v>9</v>
      </c>
      <c r="C5" s="199"/>
      <c r="D5" s="200"/>
      <c r="E5" s="200"/>
      <c r="F5" s="200"/>
      <c r="G5" s="201"/>
    </row>
    <row r="6" spans="1:7" ht="15.95" customHeight="1">
      <c r="B6" s="398"/>
      <c r="C6" s="399"/>
      <c r="D6" s="400"/>
      <c r="E6" s="401" t="s">
        <v>187</v>
      </c>
      <c r="F6" s="402"/>
      <c r="G6" s="403"/>
    </row>
    <row r="7" spans="1:7" ht="15.95" customHeight="1">
      <c r="B7" s="404" t="s">
        <v>30</v>
      </c>
      <c r="C7" s="405"/>
      <c r="D7" s="406"/>
      <c r="E7" s="404" t="s">
        <v>225</v>
      </c>
      <c r="F7" s="405"/>
      <c r="G7" s="406"/>
    </row>
    <row r="8" spans="1:7" ht="15.95" customHeight="1">
      <c r="A8" s="102"/>
      <c r="B8" s="202"/>
      <c r="C8" s="203"/>
      <c r="D8" s="204" t="s">
        <v>60</v>
      </c>
      <c r="E8" s="205"/>
      <c r="F8" s="203"/>
      <c r="G8" s="204" t="s">
        <v>60</v>
      </c>
    </row>
    <row r="9" spans="1:7" ht="15.95" customHeight="1">
      <c r="A9" s="35" t="s">
        <v>81</v>
      </c>
      <c r="B9" s="54" t="s">
        <v>82</v>
      </c>
      <c r="C9" s="54" t="s">
        <v>83</v>
      </c>
      <c r="D9" s="54" t="s">
        <v>84</v>
      </c>
      <c r="E9" s="206" t="s">
        <v>82</v>
      </c>
      <c r="F9" s="54" t="s">
        <v>83</v>
      </c>
      <c r="G9" s="54" t="s">
        <v>84</v>
      </c>
    </row>
    <row r="10" spans="1:7" ht="5.0999999999999996" customHeight="1">
      <c r="A10" s="37"/>
      <c r="B10" s="66"/>
      <c r="C10" s="66"/>
      <c r="D10" s="66"/>
      <c r="E10" s="66"/>
      <c r="F10" s="66"/>
      <c r="G10" s="66"/>
    </row>
    <row r="11" spans="1:7" ht="14.1" customHeight="1">
      <c r="A11" s="360" t="s">
        <v>230</v>
      </c>
      <c r="B11" s="361">
        <v>1070640</v>
      </c>
      <c r="C11" s="362">
        <f>B11/'- 3 -'!$D11*100</f>
        <v>6.3894274383369591</v>
      </c>
      <c r="D11" s="361">
        <f>B11/'- 7 -'!$C11</f>
        <v>699.07933398628791</v>
      </c>
      <c r="E11" s="361">
        <v>0</v>
      </c>
      <c r="F11" s="362">
        <f>E11/'- 3 -'!$D11*100</f>
        <v>0</v>
      </c>
      <c r="G11" s="361" t="str">
        <f>IF('- 7 -'!$B11=0,"",E11/'- 7 -'!$B11)</f>
        <v/>
      </c>
    </row>
    <row r="12" spans="1:7" ht="14.1" customHeight="1">
      <c r="A12" s="23" t="s">
        <v>231</v>
      </c>
      <c r="B12" s="24">
        <v>2500988</v>
      </c>
      <c r="C12" s="353">
        <f>B12/'- 3 -'!$D12*100</f>
        <v>8.0748919634970502</v>
      </c>
      <c r="D12" s="24">
        <f>B12/'- 7 -'!$C12</f>
        <v>1097.8394275931696</v>
      </c>
      <c r="E12" s="24">
        <v>1210014</v>
      </c>
      <c r="F12" s="353">
        <f>E12/'- 3 -'!$D12*100</f>
        <v>3.9067489825296722</v>
      </c>
      <c r="G12" s="24">
        <f>IF('- 7 -'!$B12=0,"",E12/'- 7 -'!$B12)</f>
        <v>7320.1088929219595</v>
      </c>
    </row>
    <row r="13" spans="1:7" ht="14.1" customHeight="1">
      <c r="A13" s="360" t="s">
        <v>232</v>
      </c>
      <c r="B13" s="361">
        <v>5554000</v>
      </c>
      <c r="C13" s="362">
        <f>B13/'- 3 -'!$D13*100</f>
        <v>6.430778814323709</v>
      </c>
      <c r="D13" s="361">
        <f>B13/'- 7 -'!$C13</f>
        <v>687.0335711272719</v>
      </c>
      <c r="E13" s="361">
        <v>3105200</v>
      </c>
      <c r="F13" s="362">
        <f>E13/'- 3 -'!$D13*100</f>
        <v>3.5954004995026976</v>
      </c>
      <c r="G13" s="361">
        <f>IF('- 7 -'!$B13=0,"",E13/'- 7 -'!$B13)</f>
        <v>8177.3891975877596</v>
      </c>
    </row>
    <row r="14" spans="1:7" ht="14.1" customHeight="1">
      <c r="A14" s="23" t="s">
        <v>578</v>
      </c>
      <c r="B14" s="24">
        <v>5339082</v>
      </c>
      <c r="C14" s="353">
        <f>B14/'- 3 -'!$D14*100</f>
        <v>7.1218179658471454</v>
      </c>
      <c r="D14" s="24">
        <f>B14/'- 7 -'!$C14</f>
        <v>1023.793288590604</v>
      </c>
      <c r="E14" s="24">
        <v>0</v>
      </c>
      <c r="F14" s="353">
        <f>E14/'- 3 -'!$D14*100</f>
        <v>0</v>
      </c>
      <c r="G14" s="24" t="str">
        <f>IF('- 7 -'!$B14=0,"",E14/'- 7 -'!$B14)</f>
        <v/>
      </c>
    </row>
    <row r="15" spans="1:7" ht="14.1" customHeight="1">
      <c r="A15" s="360" t="s">
        <v>233</v>
      </c>
      <c r="B15" s="361">
        <v>1505050</v>
      </c>
      <c r="C15" s="362">
        <f>B15/'- 3 -'!$D15*100</f>
        <v>7.7021191536077005</v>
      </c>
      <c r="D15" s="361">
        <f>B15/'- 7 -'!$C15</f>
        <v>990.16447368421052</v>
      </c>
      <c r="E15" s="361">
        <v>145200</v>
      </c>
      <c r="F15" s="362">
        <f>E15/'- 3 -'!$D15*100</f>
        <v>0.74306348699633784</v>
      </c>
      <c r="G15" s="361">
        <f>IF('- 7 -'!$B15=0,"",E15/'- 7 -'!$B15)</f>
        <v>7260</v>
      </c>
    </row>
    <row r="16" spans="1:7" ht="14.1" customHeight="1">
      <c r="A16" s="23" t="s">
        <v>234</v>
      </c>
      <c r="B16" s="24">
        <v>1107344</v>
      </c>
      <c r="C16" s="353">
        <f>B16/'- 3 -'!$D16*100</f>
        <v>8.4558109608399192</v>
      </c>
      <c r="D16" s="24">
        <f>B16/'- 7 -'!$C16</f>
        <v>1112.9085427135678</v>
      </c>
      <c r="E16" s="24">
        <v>106924</v>
      </c>
      <c r="F16" s="353">
        <f>E16/'- 3 -'!$D16*100</f>
        <v>0.81648442685998879</v>
      </c>
      <c r="G16" s="24">
        <f>IF('- 7 -'!$B16=0,"",E16/'- 7 -'!$B16)</f>
        <v>8224.9230769230762</v>
      </c>
    </row>
    <row r="17" spans="1:7" ht="14.1" customHeight="1">
      <c r="A17" s="360" t="s">
        <v>235</v>
      </c>
      <c r="B17" s="361">
        <v>1245319</v>
      </c>
      <c r="C17" s="362">
        <f>B17/'- 3 -'!$D17*100</f>
        <v>7.5539465356405806</v>
      </c>
      <c r="D17" s="361">
        <f>B17/'- 7 -'!$C17</f>
        <v>957.56939638600534</v>
      </c>
      <c r="E17" s="361">
        <v>191200</v>
      </c>
      <c r="F17" s="362">
        <f>E17/'- 3 -'!$D17*100</f>
        <v>1.1597948618903904</v>
      </c>
      <c r="G17" s="361">
        <f>IF('- 7 -'!$B17=0,"",E17/'- 7 -'!$B17)</f>
        <v>5462.8571428571431</v>
      </c>
    </row>
    <row r="18" spans="1:7" ht="14.1" customHeight="1">
      <c r="A18" s="23" t="s">
        <v>236</v>
      </c>
      <c r="B18" s="24">
        <v>6593194</v>
      </c>
      <c r="C18" s="353">
        <f>B18/'- 3 -'!$D18*100</f>
        <v>5.5318004267356828</v>
      </c>
      <c r="D18" s="24">
        <f>B18/'- 7 -'!$C18</f>
        <v>1057.8730846369835</v>
      </c>
      <c r="E18" s="24">
        <v>0</v>
      </c>
      <c r="F18" s="353">
        <f>E18/'- 3 -'!$D18*100</f>
        <v>0</v>
      </c>
      <c r="G18" s="24" t="str">
        <f>IF('- 7 -'!$B18=0,"",E18/'- 7 -'!$B18)</f>
        <v/>
      </c>
    </row>
    <row r="19" spans="1:7" ht="14.1" customHeight="1">
      <c r="A19" s="360" t="s">
        <v>237</v>
      </c>
      <c r="B19" s="361">
        <v>2759000</v>
      </c>
      <c r="C19" s="362">
        <f>B19/'- 3 -'!$D19*100</f>
        <v>6.3558255610386736</v>
      </c>
      <c r="D19" s="361">
        <f>B19/'- 7 -'!$C19</f>
        <v>655.50011879306248</v>
      </c>
      <c r="E19" s="361">
        <v>1420600</v>
      </c>
      <c r="F19" s="362">
        <f>E19/'- 3 -'!$D19*100</f>
        <v>3.2725936179817108</v>
      </c>
      <c r="G19" s="361">
        <f>IF('- 7 -'!$B19=0,"",E19/'- 7 -'!$B19)</f>
        <v>13529.523809523809</v>
      </c>
    </row>
    <row r="20" spans="1:7" ht="14.1" customHeight="1">
      <c r="A20" s="23" t="s">
        <v>238</v>
      </c>
      <c r="B20" s="24">
        <v>5461200</v>
      </c>
      <c r="C20" s="353">
        <f>B20/'- 3 -'!$D20*100</f>
        <v>7.6835846598439419</v>
      </c>
      <c r="D20" s="24">
        <f>B20/'- 7 -'!$C20</f>
        <v>724.34511572385441</v>
      </c>
      <c r="E20" s="24">
        <v>2868000</v>
      </c>
      <c r="F20" s="353">
        <f>E20/'- 3 -'!$D20*100</f>
        <v>4.0351059848444342</v>
      </c>
      <c r="G20" s="24">
        <f>IF('- 7 -'!$B20=0,"",E20/'- 7 -'!$B20)</f>
        <v>6414.0984926421261</v>
      </c>
    </row>
    <row r="21" spans="1:7" ht="14.1" customHeight="1">
      <c r="A21" s="360" t="s">
        <v>239</v>
      </c>
      <c r="B21" s="361">
        <v>2722999</v>
      </c>
      <c r="C21" s="362">
        <f>B21/'- 3 -'!$D21*100</f>
        <v>7.9974954290464026</v>
      </c>
      <c r="D21" s="361">
        <f>B21/'- 7 -'!$C21</f>
        <v>1012.2672862453531</v>
      </c>
      <c r="E21" s="361">
        <v>0</v>
      </c>
      <c r="F21" s="362">
        <f>E21/'- 3 -'!$D21*100</f>
        <v>0</v>
      </c>
      <c r="G21" s="361" t="str">
        <f>IF('- 7 -'!$B21=0,"",E21/'- 7 -'!$B21)</f>
        <v/>
      </c>
    </row>
    <row r="22" spans="1:7" ht="14.1" customHeight="1">
      <c r="A22" s="23" t="s">
        <v>240</v>
      </c>
      <c r="B22" s="24">
        <v>1335805</v>
      </c>
      <c r="C22" s="353">
        <f>B22/'- 3 -'!$D22*100</f>
        <v>6.7082050210209392</v>
      </c>
      <c r="D22" s="24">
        <f>B22/'- 7 -'!$C22</f>
        <v>825.08029647930823</v>
      </c>
      <c r="E22" s="24">
        <v>0</v>
      </c>
      <c r="F22" s="353">
        <f>E22/'- 3 -'!$D22*100</f>
        <v>0</v>
      </c>
      <c r="G22" s="24" t="str">
        <f>IF('- 7 -'!$B22=0,"",E22/'- 7 -'!$B22)</f>
        <v/>
      </c>
    </row>
    <row r="23" spans="1:7" ht="14.1" customHeight="1">
      <c r="A23" s="360" t="s">
        <v>241</v>
      </c>
      <c r="B23" s="361">
        <v>978600</v>
      </c>
      <c r="C23" s="362">
        <f>B23/'- 3 -'!$D23*100</f>
        <v>6.1070969883886521</v>
      </c>
      <c r="D23" s="361">
        <f>B23/'- 7 -'!$C23</f>
        <v>827.91878172588838</v>
      </c>
      <c r="E23" s="361">
        <v>185000</v>
      </c>
      <c r="F23" s="362">
        <f>E23/'- 3 -'!$D23*100</f>
        <v>1.1545196636540984</v>
      </c>
      <c r="G23" s="361">
        <f>IF('- 7 -'!$B23=0,"",E23/'- 7 -'!$B23)</f>
        <v>8409.0909090909099</v>
      </c>
    </row>
    <row r="24" spans="1:7" ht="14.1" customHeight="1">
      <c r="A24" s="23" t="s">
        <v>242</v>
      </c>
      <c r="B24" s="24">
        <v>4177635</v>
      </c>
      <c r="C24" s="353">
        <f>B24/'- 3 -'!$D24*100</f>
        <v>7.9170974499242002</v>
      </c>
      <c r="D24" s="24">
        <f>B24/'- 7 -'!$C24</f>
        <v>995.50458715596335</v>
      </c>
      <c r="E24" s="24">
        <v>1848510</v>
      </c>
      <c r="F24" s="353">
        <f>E24/'- 3 -'!$D24*100</f>
        <v>3.503138452057057</v>
      </c>
      <c r="G24" s="24">
        <f>IF('- 7 -'!$B24=0,"",E24/'- 7 -'!$B24)</f>
        <v>5405</v>
      </c>
    </row>
    <row r="25" spans="1:7" ht="14.1" customHeight="1">
      <c r="A25" s="360" t="s">
        <v>243</v>
      </c>
      <c r="B25" s="361">
        <v>13092568</v>
      </c>
      <c r="C25" s="362">
        <f>B25/'- 3 -'!$D25*100</f>
        <v>8.4548766529181858</v>
      </c>
      <c r="D25" s="361">
        <f>B25/'- 7 -'!$C25</f>
        <v>948.2558122691388</v>
      </c>
      <c r="E25" s="361">
        <v>1971665</v>
      </c>
      <c r="F25" s="362">
        <f>E25/'- 3 -'!$D25*100</f>
        <v>1.273255512278106</v>
      </c>
      <c r="G25" s="361">
        <f>IF('- 7 -'!$B25=0,"",E25/'- 7 -'!$B25)</f>
        <v>12803.019480519481</v>
      </c>
    </row>
    <row r="26" spans="1:7" ht="14.1" customHeight="1">
      <c r="A26" s="23" t="s">
        <v>244</v>
      </c>
      <c r="B26" s="24">
        <v>2971199</v>
      </c>
      <c r="C26" s="353">
        <f>B26/'- 3 -'!$D26*100</f>
        <v>7.8306992346063478</v>
      </c>
      <c r="D26" s="24">
        <f>B26/'- 7 -'!$C26</f>
        <v>962.02007446980735</v>
      </c>
      <c r="E26" s="24">
        <v>911352</v>
      </c>
      <c r="F26" s="353">
        <f>E26/'- 3 -'!$D26*100</f>
        <v>2.4019001786339333</v>
      </c>
      <c r="G26" s="24">
        <f>IF('- 7 -'!$B26=0,"",E26/'- 7 -'!$B26)</f>
        <v>5929.4209499024073</v>
      </c>
    </row>
    <row r="27" spans="1:7" ht="14.1" customHeight="1">
      <c r="A27" s="360" t="s">
        <v>245</v>
      </c>
      <c r="B27" s="361">
        <v>2608166</v>
      </c>
      <c r="C27" s="362">
        <f>B27/'- 3 -'!$D27*100</f>
        <v>6.778437053755848</v>
      </c>
      <c r="D27" s="361">
        <f>B27/'- 7 -'!$C27</f>
        <v>948.07924391130496</v>
      </c>
      <c r="E27" s="361">
        <v>792580</v>
      </c>
      <c r="F27" s="362">
        <f>E27/'- 3 -'!$D27*100</f>
        <v>2.0598587820199366</v>
      </c>
      <c r="G27" s="361">
        <f>IF('- 7 -'!$B27=0,"",E27/'- 7 -'!$B27)</f>
        <v>3686.4186046511627</v>
      </c>
    </row>
    <row r="28" spans="1:7" ht="14.1" customHeight="1">
      <c r="A28" s="23" t="s">
        <v>246</v>
      </c>
      <c r="B28" s="24">
        <v>1805560</v>
      </c>
      <c r="C28" s="353">
        <f>B28/'- 3 -'!$D28*100</f>
        <v>6.9250038756487831</v>
      </c>
      <c r="D28" s="24">
        <f>B28/'- 7 -'!$C28</f>
        <v>914.20759493670892</v>
      </c>
      <c r="E28" s="24">
        <v>0</v>
      </c>
      <c r="F28" s="353">
        <f>E28/'- 3 -'!$D28*100</f>
        <v>0</v>
      </c>
      <c r="G28" s="24" t="str">
        <f>IF('- 7 -'!$B28=0,"",E28/'- 7 -'!$B28)</f>
        <v/>
      </c>
    </row>
    <row r="29" spans="1:7" ht="14.1" customHeight="1">
      <c r="A29" s="360" t="s">
        <v>247</v>
      </c>
      <c r="B29" s="361">
        <v>10950895</v>
      </c>
      <c r="C29" s="362">
        <f>B29/'- 3 -'!$D29*100</f>
        <v>7.7109783803034251</v>
      </c>
      <c r="D29" s="361">
        <f>B29/'- 7 -'!$C29</f>
        <v>905.96856256463286</v>
      </c>
      <c r="E29" s="361">
        <v>0</v>
      </c>
      <c r="F29" s="362">
        <f>E29/'- 3 -'!$D29*100</f>
        <v>0</v>
      </c>
      <c r="G29" s="361" t="str">
        <f>IF('- 7 -'!$B29=0,"",E29/'- 7 -'!$B29)</f>
        <v/>
      </c>
    </row>
    <row r="30" spans="1:7" ht="14.1" customHeight="1">
      <c r="A30" s="23" t="s">
        <v>248</v>
      </c>
      <c r="B30" s="24">
        <v>955878</v>
      </c>
      <c r="C30" s="353">
        <f>B30/'- 3 -'!$D30*100</f>
        <v>7.1041166103776892</v>
      </c>
      <c r="D30" s="24">
        <f>B30/'- 7 -'!$C30</f>
        <v>893.34392523364488</v>
      </c>
      <c r="E30" s="24">
        <v>0</v>
      </c>
      <c r="F30" s="353">
        <f>E30/'- 3 -'!$D30*100</f>
        <v>0</v>
      </c>
      <c r="G30" s="24" t="str">
        <f>IF('- 7 -'!$B30=0,"",E30/'- 7 -'!$B30)</f>
        <v/>
      </c>
    </row>
    <row r="31" spans="1:7" ht="14.1" customHeight="1">
      <c r="A31" s="360" t="s">
        <v>249</v>
      </c>
      <c r="B31" s="361">
        <v>2573975</v>
      </c>
      <c r="C31" s="362">
        <f>B31/'- 3 -'!$D31*100</f>
        <v>7.6548684291096833</v>
      </c>
      <c r="D31" s="361">
        <f>B31/'- 7 -'!$C31</f>
        <v>806.88871473354232</v>
      </c>
      <c r="E31" s="361">
        <v>710861</v>
      </c>
      <c r="F31" s="362">
        <f>E31/'- 3 -'!$D31*100</f>
        <v>2.1140638220593981</v>
      </c>
      <c r="G31" s="361">
        <f>IF('- 7 -'!$B31=0,"",E31/'- 7 -'!$B31)</f>
        <v>8564.5903614457839</v>
      </c>
    </row>
    <row r="32" spans="1:7" ht="14.1" customHeight="1">
      <c r="A32" s="23" t="s">
        <v>250</v>
      </c>
      <c r="B32" s="24">
        <v>1956550</v>
      </c>
      <c r="C32" s="353">
        <f>B32/'- 3 -'!$D32*100</f>
        <v>7.6597631512208055</v>
      </c>
      <c r="D32" s="24">
        <f>B32/'- 7 -'!$C32</f>
        <v>956.51429968222931</v>
      </c>
      <c r="E32" s="24">
        <v>269883</v>
      </c>
      <c r="F32" s="353">
        <f>E32/'- 3 -'!$D32*100</f>
        <v>1.0565739994075924</v>
      </c>
      <c r="G32" s="24">
        <f>IF('- 7 -'!$B32=0,"",E32/'- 7 -'!$B32)</f>
        <v>6276.3488372093025</v>
      </c>
    </row>
    <row r="33" spans="1:7" ht="14.1" customHeight="1">
      <c r="A33" s="360" t="s">
        <v>251</v>
      </c>
      <c r="B33" s="361">
        <v>2071900</v>
      </c>
      <c r="C33" s="362">
        <f>B33/'- 3 -'!$D33*100</f>
        <v>7.8889553102618484</v>
      </c>
      <c r="D33" s="361">
        <f>B33/'- 7 -'!$C33</f>
        <v>1022.6554787759131</v>
      </c>
      <c r="E33" s="361">
        <v>178700</v>
      </c>
      <c r="F33" s="362">
        <f>E33/'- 3 -'!$D33*100</f>
        <v>0.68041716006747055</v>
      </c>
      <c r="G33" s="361">
        <f>IF('- 7 -'!$B33=0,"",E33/'- 7 -'!$B33)</f>
        <v>3574</v>
      </c>
    </row>
    <row r="34" spans="1:7" ht="14.1" customHeight="1">
      <c r="A34" s="23" t="s">
        <v>252</v>
      </c>
      <c r="B34" s="24">
        <v>1970708</v>
      </c>
      <c r="C34" s="353">
        <f>B34/'- 3 -'!$D34*100</f>
        <v>7.7152246089414493</v>
      </c>
      <c r="D34" s="24">
        <f>B34/'- 7 -'!$C34</f>
        <v>978.3247367663339</v>
      </c>
      <c r="E34" s="24">
        <v>297483</v>
      </c>
      <c r="F34" s="353">
        <f>E34/'- 3 -'!$D34*100</f>
        <v>1.1646312707624515</v>
      </c>
      <c r="G34" s="24">
        <f>IF('- 7 -'!$B34=0,"",E34/'- 7 -'!$B34)</f>
        <v>13239.118825100135</v>
      </c>
    </row>
    <row r="35" spans="1:7" ht="14.1" customHeight="1">
      <c r="A35" s="360" t="s">
        <v>253</v>
      </c>
      <c r="B35" s="361">
        <v>12202960</v>
      </c>
      <c r="C35" s="362">
        <f>B35/'- 3 -'!$D35*100</f>
        <v>7.2832766288728843</v>
      </c>
      <c r="D35" s="361">
        <f>B35/'- 7 -'!$C35</f>
        <v>773.0486839187862</v>
      </c>
      <c r="E35" s="361">
        <v>3645221</v>
      </c>
      <c r="F35" s="362">
        <f>E35/'- 3 -'!$D35*100</f>
        <v>2.1756322168045004</v>
      </c>
      <c r="G35" s="361">
        <f>IF('- 7 -'!$B35=0,"",E35/'- 7 -'!$B35)</f>
        <v>7091.8696498054478</v>
      </c>
    </row>
    <row r="36" spans="1:7" ht="14.1" customHeight="1">
      <c r="A36" s="23" t="s">
        <v>254</v>
      </c>
      <c r="B36" s="24">
        <v>1649800</v>
      </c>
      <c r="C36" s="353">
        <f>B36/'- 3 -'!$D36*100</f>
        <v>7.64915693753683</v>
      </c>
      <c r="D36" s="24">
        <f>B36/'- 7 -'!$C36</f>
        <v>982.90140005957699</v>
      </c>
      <c r="E36" s="24">
        <v>124945</v>
      </c>
      <c r="F36" s="353">
        <f>E36/'- 3 -'!$D36*100</f>
        <v>0.57929683207694227</v>
      </c>
      <c r="G36" s="24">
        <f>IF('- 7 -'!$B36=0,"",E36/'- 7 -'!$B36)</f>
        <v>14361.494252873565</v>
      </c>
    </row>
    <row r="37" spans="1:7" ht="14.1" customHeight="1">
      <c r="A37" s="360" t="s">
        <v>255</v>
      </c>
      <c r="B37" s="361">
        <v>3596760</v>
      </c>
      <c r="C37" s="362">
        <f>B37/'- 3 -'!$D37*100</f>
        <v>8.632558943287</v>
      </c>
      <c r="D37" s="361">
        <f>B37/'- 7 -'!$C37</f>
        <v>964.66675606812396</v>
      </c>
      <c r="E37" s="361">
        <v>0</v>
      </c>
      <c r="F37" s="362">
        <f>E37/'- 3 -'!$D37*100</f>
        <v>0</v>
      </c>
      <c r="G37" s="361" t="str">
        <f>IF('- 7 -'!$B37=0,"",E37/'- 7 -'!$B37)</f>
        <v/>
      </c>
    </row>
    <row r="38" spans="1:7" ht="14.1" customHeight="1">
      <c r="A38" s="23" t="s">
        <v>256</v>
      </c>
      <c r="B38" s="24">
        <v>8878460</v>
      </c>
      <c r="C38" s="353">
        <f>B38/'- 3 -'!$D38*100</f>
        <v>7.5691576981881852</v>
      </c>
      <c r="D38" s="24">
        <f>B38/'- 7 -'!$C38</f>
        <v>841.40068233510237</v>
      </c>
      <c r="E38" s="24">
        <v>838830</v>
      </c>
      <c r="F38" s="353">
        <f>E38/'- 3 -'!$D38*100</f>
        <v>0.71512813618253568</v>
      </c>
      <c r="G38" s="24">
        <f>IF('- 7 -'!$B38=0,"",E38/'- 7 -'!$B38)</f>
        <v>4876.9186046511632</v>
      </c>
    </row>
    <row r="39" spans="1:7" ht="14.1" customHeight="1">
      <c r="A39" s="360" t="s">
        <v>257</v>
      </c>
      <c r="B39" s="361">
        <v>1368000</v>
      </c>
      <c r="C39" s="362">
        <f>B39/'- 3 -'!$D39*100</f>
        <v>6.6572666839716677</v>
      </c>
      <c r="D39" s="361">
        <f>B39/'- 7 -'!$C39</f>
        <v>864.18193303853445</v>
      </c>
      <c r="E39" s="361">
        <v>163000</v>
      </c>
      <c r="F39" s="362">
        <f>E39/'- 3 -'!$D39*100</f>
        <v>0.79322695137966504</v>
      </c>
      <c r="G39" s="361">
        <f>IF('- 7 -'!$B39=0,"",E39/'- 7 -'!$B39)</f>
        <v>6791.666666666667</v>
      </c>
    </row>
    <row r="40" spans="1:7" ht="14.1" customHeight="1">
      <c r="A40" s="23" t="s">
        <v>258</v>
      </c>
      <c r="B40" s="24">
        <v>7934782</v>
      </c>
      <c r="C40" s="353">
        <f>B40/'- 3 -'!$D40*100</f>
        <v>8.1614747975168367</v>
      </c>
      <c r="D40" s="24">
        <f>B40/'- 7 -'!$C40</f>
        <v>993.99726909441677</v>
      </c>
      <c r="E40" s="24">
        <v>2009620</v>
      </c>
      <c r="F40" s="353">
        <f>E40/'- 3 -'!$D40*100</f>
        <v>2.0670338495229967</v>
      </c>
      <c r="G40" s="24">
        <f>IF('- 7 -'!$B40=0,"",E40/'- 7 -'!$B40)</f>
        <v>6757.2965702757238</v>
      </c>
    </row>
    <row r="41" spans="1:7" ht="14.1" customHeight="1">
      <c r="A41" s="360" t="s">
        <v>259</v>
      </c>
      <c r="B41" s="361">
        <v>3727871</v>
      </c>
      <c r="C41" s="362">
        <f>B41/'- 3 -'!$D41*100</f>
        <v>6.4631103650691468</v>
      </c>
      <c r="D41" s="361">
        <f>B41/'- 7 -'!$C41</f>
        <v>838.28895884866199</v>
      </c>
      <c r="E41" s="361">
        <v>0</v>
      </c>
      <c r="F41" s="362">
        <f>E41/'- 3 -'!$D41*100</f>
        <v>0</v>
      </c>
      <c r="G41" s="361" t="str">
        <f>IF('- 7 -'!$B41=0,"",E41/'- 7 -'!$B41)</f>
        <v/>
      </c>
    </row>
    <row r="42" spans="1:7" ht="14.1" customHeight="1">
      <c r="A42" s="23" t="s">
        <v>260</v>
      </c>
      <c r="B42" s="24">
        <v>1461939</v>
      </c>
      <c r="C42" s="353">
        <f>B42/'- 3 -'!$D42*100</f>
        <v>7.2460597410511012</v>
      </c>
      <c r="D42" s="24">
        <f>B42/'- 7 -'!$C42</f>
        <v>1044.988563259471</v>
      </c>
      <c r="E42" s="24">
        <v>1000793</v>
      </c>
      <c r="F42" s="353">
        <f>E42/'- 3 -'!$D42*100</f>
        <v>4.9604024972490341</v>
      </c>
      <c r="G42" s="24">
        <f>IF('- 7 -'!$B42=0,"",E42/'- 7 -'!$B42)</f>
        <v>7861.6889238020422</v>
      </c>
    </row>
    <row r="43" spans="1:7" ht="14.1" customHeight="1">
      <c r="A43" s="360" t="s">
        <v>261</v>
      </c>
      <c r="B43" s="361">
        <v>692543</v>
      </c>
      <c r="C43" s="362">
        <f>B43/'- 3 -'!$D43*100</f>
        <v>5.7924451131944963</v>
      </c>
      <c r="D43" s="361">
        <f>B43/'- 7 -'!$C43</f>
        <v>717.28948731227342</v>
      </c>
      <c r="E43" s="361">
        <v>108975</v>
      </c>
      <c r="F43" s="362">
        <f>E43/'- 3 -'!$D43*100</f>
        <v>0.91146933289394327</v>
      </c>
      <c r="G43" s="361">
        <f>IF('- 7 -'!$B43=0,"",E43/'- 7 -'!$B43)</f>
        <v>10897.5</v>
      </c>
    </row>
    <row r="44" spans="1:7" ht="14.1" customHeight="1">
      <c r="A44" s="23" t="s">
        <v>262</v>
      </c>
      <c r="B44" s="24">
        <v>560667</v>
      </c>
      <c r="C44" s="353">
        <f>B44/'- 3 -'!$D44*100</f>
        <v>5.3201496182067434</v>
      </c>
      <c r="D44" s="24">
        <f>B44/'- 7 -'!$C44</f>
        <v>744.57768924302786</v>
      </c>
      <c r="E44" s="24">
        <v>0</v>
      </c>
      <c r="F44" s="353">
        <f>E44/'- 3 -'!$D44*100</f>
        <v>0</v>
      </c>
      <c r="G44" s="24" t="str">
        <f>IF('- 7 -'!$B44=0,"",E44/'- 7 -'!$B44)</f>
        <v/>
      </c>
    </row>
    <row r="45" spans="1:7" ht="14.1" customHeight="1">
      <c r="A45" s="360" t="s">
        <v>263</v>
      </c>
      <c r="B45" s="361">
        <v>1214987</v>
      </c>
      <c r="C45" s="362">
        <f>B45/'- 3 -'!$D45*100</f>
        <v>7.1756325432060386</v>
      </c>
      <c r="D45" s="361">
        <f>B45/'- 7 -'!$C45</f>
        <v>721.06053412462904</v>
      </c>
      <c r="E45" s="361">
        <v>336955</v>
      </c>
      <c r="F45" s="362">
        <f>E45/'- 3 -'!$D45*100</f>
        <v>1.9900338551737513</v>
      </c>
      <c r="G45" s="361">
        <f>IF('- 7 -'!$B45=0,"",E45/'- 7 -'!$B45)</f>
        <v>8423.875</v>
      </c>
    </row>
    <row r="46" spans="1:7" ht="14.1" customHeight="1">
      <c r="A46" s="23" t="s">
        <v>264</v>
      </c>
      <c r="B46" s="24">
        <v>27646500</v>
      </c>
      <c r="C46" s="353">
        <f>B46/'- 3 -'!$D46*100</f>
        <v>7.6655681196212928</v>
      </c>
      <c r="D46" s="24">
        <f>B46/'- 7 -'!$C46</f>
        <v>911.2228081740277</v>
      </c>
      <c r="E46" s="24">
        <v>5110200</v>
      </c>
      <c r="F46" s="353">
        <f>E46/'- 3 -'!$D46*100</f>
        <v>1.4169094172820693</v>
      </c>
      <c r="G46" s="24">
        <f>IF('- 7 -'!$B46=0,"",E46/'- 7 -'!$B46)</f>
        <v>8207.8380982974613</v>
      </c>
    </row>
    <row r="47" spans="1:7" ht="5.0999999999999996" customHeight="1">
      <c r="A47"/>
      <c r="B47"/>
      <c r="C47"/>
      <c r="D47"/>
      <c r="E47"/>
      <c r="F47"/>
      <c r="G47"/>
    </row>
    <row r="48" spans="1:7" ht="14.1" customHeight="1">
      <c r="A48" s="363" t="s">
        <v>265</v>
      </c>
      <c r="B48" s="364">
        <f>SUM(B11:B46)</f>
        <v>154243524</v>
      </c>
      <c r="C48" s="365">
        <f>B48/'- 3 -'!$D48*100</f>
        <v>7.4077462062931936</v>
      </c>
      <c r="D48" s="364">
        <f>B48/'- 7 -'!$C48</f>
        <v>888.76987931813358</v>
      </c>
      <c r="E48" s="364">
        <f>SUM(E11:E46)</f>
        <v>29551711</v>
      </c>
      <c r="F48" s="365">
        <f>E48/'- 3 -'!$D48*100</f>
        <v>1.4192594241410279</v>
      </c>
      <c r="G48" s="364">
        <f>E48/'- 7 -'!$B48</f>
        <v>7267.3979549176911</v>
      </c>
    </row>
    <row r="49" spans="1:7" ht="5.0999999999999996" customHeight="1">
      <c r="A49" s="25" t="s">
        <v>3</v>
      </c>
      <c r="B49" s="26"/>
      <c r="C49" s="351"/>
      <c r="D49" s="26"/>
      <c r="E49" s="26"/>
      <c r="F49" s="351"/>
    </row>
    <row r="50" spans="1:7" ht="14.1" customHeight="1">
      <c r="A50" s="23" t="s">
        <v>266</v>
      </c>
      <c r="B50" s="24">
        <v>237970</v>
      </c>
      <c r="C50" s="353">
        <f>B50/'- 3 -'!$D50*100</f>
        <v>7.2513118758857704</v>
      </c>
      <c r="D50" s="24">
        <f>B50/'- 7 -'!$C50</f>
        <v>1424.9700598802394</v>
      </c>
      <c r="E50" s="24">
        <v>0</v>
      </c>
      <c r="F50" s="353">
        <f>E50/'- 3 -'!$D50*100</f>
        <v>0</v>
      </c>
      <c r="G50" s="24" t="str">
        <f>IF('- 7 -'!$B50=0,"",E50/'- 7 -'!$B50)</f>
        <v/>
      </c>
    </row>
    <row r="51" spans="1:7" ht="14.1" customHeight="1">
      <c r="A51" s="360" t="s">
        <v>267</v>
      </c>
      <c r="B51" s="361">
        <v>762662</v>
      </c>
      <c r="C51" s="362">
        <f>B51/'- 3 -'!$D51*100</f>
        <v>3.6694082831240378</v>
      </c>
      <c r="D51" s="361">
        <f>B51/'- 7 -'!$C51</f>
        <v>1228.1191626409018</v>
      </c>
      <c r="E51" s="361">
        <v>3938474</v>
      </c>
      <c r="F51" s="362">
        <f>E51/'- 3 -'!$D51*100</f>
        <v>18.949245037078892</v>
      </c>
      <c r="G51" s="361">
        <f>IF('- 7 -'!$B51=0,"",E51/'- 7 -'!$B51)</f>
        <v>6970.7504424778763</v>
      </c>
    </row>
    <row r="52" spans="1:7" ht="50.1" customHeight="1">
      <c r="B52" s="66"/>
      <c r="C52" s="66"/>
      <c r="D52" s="66"/>
      <c r="E52" s="66"/>
      <c r="F52" s="66"/>
      <c r="G52" s="66"/>
    </row>
    <row r="53" spans="1:7" ht="15" customHeight="1">
      <c r="C53" s="66"/>
      <c r="D53" s="66"/>
      <c r="E53" s="66"/>
      <c r="F53" s="66"/>
      <c r="G53" s="66"/>
    </row>
    <row r="54" spans="1:7" ht="14.45" customHeight="1"/>
    <row r="55" spans="1:7" ht="14.45" customHeight="1"/>
    <row r="56" spans="1:7" ht="14.45" customHeight="1"/>
    <row r="57" spans="1:7" ht="14.45" customHeight="1"/>
    <row r="58" spans="1:7" ht="14.45" customHeight="1"/>
    <row r="59" spans="1:7"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15.xml><?xml version="1.0" encoding="utf-8"?>
<worksheet xmlns="http://schemas.openxmlformats.org/spreadsheetml/2006/main" xmlns:r="http://schemas.openxmlformats.org/officeDocument/2006/relationships">
  <sheetPr codeName="Sheet14">
    <pageSetUpPr fitToPage="1"/>
  </sheetPr>
  <dimension ref="A1:J59"/>
  <sheetViews>
    <sheetView showGridLines="0" showZeros="0" workbookViewId="0"/>
  </sheetViews>
  <sheetFormatPr defaultColWidth="15.83203125" defaultRowHeight="12"/>
  <cols>
    <col min="1" max="1" width="32.83203125" style="1" customWidth="1"/>
    <col min="2" max="2" width="14.83203125" style="1" customWidth="1"/>
    <col min="3" max="3" width="7.83203125" style="1" customWidth="1"/>
    <col min="4" max="4" width="9.83203125" style="1" customWidth="1"/>
    <col min="5" max="5" width="12.33203125" style="1" customWidth="1"/>
    <col min="6" max="6" width="7.83203125" style="1" customWidth="1"/>
    <col min="7" max="7" width="9.83203125" style="1" customWidth="1"/>
    <col min="8" max="8" width="12.5" style="1" customWidth="1"/>
    <col min="9" max="9" width="7.83203125" style="1" customWidth="1"/>
    <col min="10" max="10" width="9.83203125" style="1" customWidth="1"/>
    <col min="11" max="16384" width="15.83203125" style="1"/>
  </cols>
  <sheetData>
    <row r="1" spans="1:10" ht="6.95" customHeight="1">
      <c r="A1" s="3"/>
      <c r="B1" s="3"/>
      <c r="C1" s="3"/>
      <c r="D1" s="3"/>
      <c r="E1" s="3"/>
      <c r="F1" s="3"/>
      <c r="G1" s="3"/>
      <c r="H1" s="40"/>
      <c r="I1" s="40"/>
      <c r="J1" s="40"/>
    </row>
    <row r="2" spans="1:10" ht="15.95" customHeight="1">
      <c r="A2" s="161"/>
      <c r="B2" s="5" t="s">
        <v>483</v>
      </c>
      <c r="C2" s="43"/>
      <c r="D2" s="43"/>
      <c r="E2" s="190"/>
      <c r="F2" s="190"/>
      <c r="G2" s="190"/>
      <c r="H2" s="190"/>
      <c r="I2" s="41"/>
      <c r="J2" s="184" t="s">
        <v>444</v>
      </c>
    </row>
    <row r="3" spans="1:10" ht="15.95" customHeight="1">
      <c r="A3" s="164"/>
      <c r="B3" s="107" t="str">
        <f>OPYEAR</f>
        <v>OPERATING FUND 2013/2014 BUDGET</v>
      </c>
      <c r="C3" s="47"/>
      <c r="D3" s="47"/>
      <c r="E3" s="191"/>
      <c r="F3" s="191"/>
      <c r="G3" s="191"/>
      <c r="H3" s="191"/>
      <c r="I3" s="45"/>
      <c r="J3" s="213"/>
    </row>
    <row r="4" spans="1:10" ht="15.95" customHeight="1">
      <c r="H4" s="40"/>
      <c r="I4" s="40"/>
      <c r="J4" s="40"/>
    </row>
    <row r="5" spans="1:10" ht="15.95" customHeight="1">
      <c r="B5" s="215" t="s">
        <v>401</v>
      </c>
      <c r="C5" s="72"/>
      <c r="D5" s="72"/>
      <c r="E5" s="72"/>
      <c r="F5" s="72"/>
      <c r="G5" s="72"/>
      <c r="H5" s="72"/>
      <c r="I5" s="231"/>
      <c r="J5" s="232"/>
    </row>
    <row r="6" spans="1:10" ht="15.95" customHeight="1">
      <c r="B6" s="407" t="s">
        <v>403</v>
      </c>
      <c r="C6" s="408"/>
      <c r="D6" s="408"/>
      <c r="E6" s="408"/>
      <c r="F6" s="408"/>
      <c r="G6" s="409"/>
      <c r="H6" s="410"/>
      <c r="I6" s="408"/>
      <c r="J6" s="409"/>
    </row>
    <row r="7" spans="1:10" ht="15.95" customHeight="1">
      <c r="B7" s="391" t="s">
        <v>31</v>
      </c>
      <c r="C7" s="392"/>
      <c r="D7" s="394"/>
      <c r="E7" s="391" t="s">
        <v>32</v>
      </c>
      <c r="F7" s="392"/>
      <c r="G7" s="394"/>
      <c r="H7" s="391" t="s">
        <v>33</v>
      </c>
      <c r="I7" s="392"/>
      <c r="J7" s="394"/>
    </row>
    <row r="8" spans="1:10" ht="15.95" customHeight="1">
      <c r="A8" s="102"/>
      <c r="B8" s="233"/>
      <c r="C8" s="218"/>
      <c r="D8" s="204" t="s">
        <v>60</v>
      </c>
      <c r="E8" s="233"/>
      <c r="F8" s="218"/>
      <c r="G8" s="204" t="s">
        <v>60</v>
      </c>
      <c r="H8" s="205"/>
      <c r="I8" s="203"/>
      <c r="J8" s="204" t="s">
        <v>60</v>
      </c>
    </row>
    <row r="9" spans="1:10" ht="15.95" customHeight="1">
      <c r="A9" s="35" t="s">
        <v>81</v>
      </c>
      <c r="B9" s="54" t="s">
        <v>82</v>
      </c>
      <c r="C9" s="54" t="s">
        <v>83</v>
      </c>
      <c r="D9" s="54" t="s">
        <v>84</v>
      </c>
      <c r="E9" s="54" t="s">
        <v>82</v>
      </c>
      <c r="F9" s="54" t="s">
        <v>83</v>
      </c>
      <c r="G9" s="54" t="s">
        <v>84</v>
      </c>
      <c r="H9" s="206" t="s">
        <v>82</v>
      </c>
      <c r="I9" s="54" t="s">
        <v>83</v>
      </c>
      <c r="J9" s="54" t="s">
        <v>84</v>
      </c>
    </row>
    <row r="10" spans="1:10" ht="5.0999999999999996" customHeight="1">
      <c r="A10" s="37"/>
      <c r="B10" s="66"/>
      <c r="C10" s="66"/>
      <c r="D10" s="66"/>
      <c r="E10" s="66"/>
      <c r="F10" s="66"/>
      <c r="G10" s="66"/>
      <c r="H10" s="66"/>
      <c r="I10" s="66"/>
      <c r="J10" s="66"/>
    </row>
    <row r="11" spans="1:10" ht="14.1" customHeight="1">
      <c r="A11" s="360" t="s">
        <v>230</v>
      </c>
      <c r="B11" s="361">
        <v>9246719</v>
      </c>
      <c r="C11" s="362">
        <f>B11/'- 3 -'!$D11*100</f>
        <v>55.183105519307787</v>
      </c>
      <c r="D11" s="361">
        <f>B11/'- 6 -'!$B11</f>
        <v>6037.6878876918054</v>
      </c>
      <c r="E11" s="361">
        <v>0</v>
      </c>
      <c r="F11" s="362">
        <f>E11/'- 3 -'!$D11*100</f>
        <v>0</v>
      </c>
      <c r="G11" s="361" t="str">
        <f>IF('- 6 -'!$C11=0,"",E11/'- 6 -'!$C11)</f>
        <v/>
      </c>
      <c r="H11" s="361">
        <v>0</v>
      </c>
      <c r="I11" s="362">
        <f>H11/'- 3 -'!$D11*100</f>
        <v>0</v>
      </c>
      <c r="J11" s="361" t="str">
        <f>IF('- 6 -'!$D11=0,"",H11/'- 6 -'!$D11)</f>
        <v/>
      </c>
    </row>
    <row r="12" spans="1:10" ht="14.1" customHeight="1">
      <c r="A12" s="23" t="s">
        <v>231</v>
      </c>
      <c r="B12" s="24">
        <v>14029356</v>
      </c>
      <c r="C12" s="353">
        <f>B12/'- 3 -'!$D12*100</f>
        <v>45.296312504273963</v>
      </c>
      <c r="D12" s="24">
        <f>B12/'- 6 -'!$B12</f>
        <v>6640.1722832260502</v>
      </c>
      <c r="E12" s="24">
        <v>0</v>
      </c>
      <c r="F12" s="353">
        <f>E12/'- 3 -'!$D12*100</f>
        <v>0</v>
      </c>
      <c r="G12" s="24" t="str">
        <f>IF('- 6 -'!$C12=0,"",E12/'- 6 -'!$C12)</f>
        <v/>
      </c>
      <c r="H12" s="24">
        <v>0</v>
      </c>
      <c r="I12" s="353">
        <f>H12/'- 3 -'!$D12*100</f>
        <v>0</v>
      </c>
      <c r="J12" s="24" t="str">
        <f>IF('- 6 -'!$D12=0,"",H12/'- 6 -'!$D12)</f>
        <v/>
      </c>
    </row>
    <row r="13" spans="1:10" ht="14.1" customHeight="1">
      <c r="A13" s="360" t="s">
        <v>232</v>
      </c>
      <c r="B13" s="361">
        <v>34640900</v>
      </c>
      <c r="C13" s="362">
        <f>B13/'- 3 -'!$D13*100</f>
        <v>40.109464499298916</v>
      </c>
      <c r="D13" s="361">
        <f>B13/'- 6 -'!$B13</f>
        <v>5897.0260286331986</v>
      </c>
      <c r="E13" s="361">
        <v>0</v>
      </c>
      <c r="F13" s="362">
        <f>E13/'- 3 -'!$D13*100</f>
        <v>0</v>
      </c>
      <c r="G13" s="361" t="str">
        <f>IF('- 6 -'!$C13=0,"",E13/'- 6 -'!$C13)</f>
        <v/>
      </c>
      <c r="H13" s="361">
        <v>1478800</v>
      </c>
      <c r="I13" s="362">
        <f>H13/'- 3 -'!$D13*100</f>
        <v>1.7122498578721463</v>
      </c>
      <c r="J13" s="361">
        <f>IF('- 6 -'!$D13=0,"",H13/'- 6 -'!$D13)</f>
        <v>4592.5465838509317</v>
      </c>
    </row>
    <row r="14" spans="1:10" ht="14.1" customHeight="1">
      <c r="A14" s="23" t="s">
        <v>578</v>
      </c>
      <c r="B14" s="24">
        <v>0</v>
      </c>
      <c r="C14" s="353">
        <f>B14/'- 3 -'!$D14*100</f>
        <v>0</v>
      </c>
      <c r="D14" s="24"/>
      <c r="E14" s="24">
        <v>35964221</v>
      </c>
      <c r="F14" s="353">
        <f>E14/'- 3 -'!$D14*100</f>
        <v>47.972785442421973</v>
      </c>
      <c r="G14" s="24">
        <f>IF('- 6 -'!$C14=0,"",E14/'- 6 -'!$C14)</f>
        <v>6896.3031639501442</v>
      </c>
      <c r="H14" s="24">
        <v>0</v>
      </c>
      <c r="I14" s="353">
        <f>H14/'- 3 -'!$D14*100</f>
        <v>0</v>
      </c>
      <c r="J14" s="24" t="str">
        <f>IF('- 6 -'!$D14=0,"",H14/'- 6 -'!$D14)</f>
        <v/>
      </c>
    </row>
    <row r="15" spans="1:10" ht="14.1" customHeight="1">
      <c r="A15" s="360" t="s">
        <v>233</v>
      </c>
      <c r="B15" s="361">
        <v>8945918</v>
      </c>
      <c r="C15" s="362">
        <f>B15/'- 3 -'!$D15*100</f>
        <v>45.780888591345068</v>
      </c>
      <c r="D15" s="361">
        <f>B15/'- 6 -'!$B15</f>
        <v>5963.9453333333331</v>
      </c>
      <c r="E15" s="361">
        <v>0</v>
      </c>
      <c r="F15" s="362">
        <f>E15/'- 3 -'!$D15*100</f>
        <v>0</v>
      </c>
      <c r="G15" s="361" t="str">
        <f>IF('- 6 -'!$C15=0,"",E15/'- 6 -'!$C15)</f>
        <v/>
      </c>
      <c r="H15" s="361">
        <v>0</v>
      </c>
      <c r="I15" s="362">
        <f>H15/'- 3 -'!$D15*100</f>
        <v>0</v>
      </c>
      <c r="J15" s="361" t="str">
        <f>IF('- 6 -'!$D15=0,"",H15/'- 6 -'!$D15)</f>
        <v/>
      </c>
    </row>
    <row r="16" spans="1:10" ht="14.1" customHeight="1">
      <c r="A16" s="23" t="s">
        <v>234</v>
      </c>
      <c r="B16" s="24">
        <v>3693730</v>
      </c>
      <c r="C16" s="353">
        <f>B16/'- 3 -'!$D16*100</f>
        <v>28.205763177823002</v>
      </c>
      <c r="D16" s="24">
        <f>B16/'- 6 -'!$B16</f>
        <v>6297.9198635976127</v>
      </c>
      <c r="E16" s="24">
        <v>0</v>
      </c>
      <c r="F16" s="353">
        <f>E16/'- 3 -'!$D16*100</f>
        <v>0</v>
      </c>
      <c r="G16" s="24" t="str">
        <f>IF('- 6 -'!$C16=0,"",E16/'- 6 -'!$C16)</f>
        <v/>
      </c>
      <c r="H16" s="24">
        <v>0</v>
      </c>
      <c r="I16" s="353">
        <f>H16/'- 3 -'!$D16*100</f>
        <v>0</v>
      </c>
      <c r="J16" s="24" t="str">
        <f>IF('- 6 -'!$D16=0,"",H16/'- 6 -'!$D16)</f>
        <v/>
      </c>
    </row>
    <row r="17" spans="1:10" ht="14.1" customHeight="1">
      <c r="A17" s="360" t="s">
        <v>235</v>
      </c>
      <c r="B17" s="361">
        <v>7627554</v>
      </c>
      <c r="C17" s="362">
        <f>B17/'- 3 -'!$D17*100</f>
        <v>46.267771642214932</v>
      </c>
      <c r="D17" s="361">
        <f>B17/'- 6 -'!$B17</f>
        <v>6027.3046226787828</v>
      </c>
      <c r="E17" s="361">
        <v>0</v>
      </c>
      <c r="F17" s="362">
        <f>E17/'- 3 -'!$D17*100</f>
        <v>0</v>
      </c>
      <c r="G17" s="361" t="str">
        <f>IF('- 6 -'!$C17=0,"",E17/'- 6 -'!$C17)</f>
        <v/>
      </c>
      <c r="H17" s="361">
        <v>0</v>
      </c>
      <c r="I17" s="362">
        <f>H17/'- 3 -'!$D17*100</f>
        <v>0</v>
      </c>
      <c r="J17" s="361" t="str">
        <f>IF('- 6 -'!$D17=0,"",H17/'- 6 -'!$D17)</f>
        <v/>
      </c>
    </row>
    <row r="18" spans="1:10" ht="14.1" customHeight="1">
      <c r="A18" s="23" t="s">
        <v>236</v>
      </c>
      <c r="B18" s="24">
        <v>44178658</v>
      </c>
      <c r="C18" s="353">
        <f>B18/'- 3 -'!$D18*100</f>
        <v>37.066635560399071</v>
      </c>
      <c r="D18" s="24">
        <f>B18/'- 6 -'!$B18</f>
        <v>7088.4328920978742</v>
      </c>
      <c r="E18" s="24">
        <v>0</v>
      </c>
      <c r="F18" s="353">
        <f>E18/'- 3 -'!$D18*100</f>
        <v>0</v>
      </c>
      <c r="G18" s="24" t="str">
        <f>IF('- 6 -'!$C18=0,"",E18/'- 6 -'!$C18)</f>
        <v/>
      </c>
      <c r="H18" s="24">
        <v>0</v>
      </c>
      <c r="I18" s="353">
        <f>H18/'- 3 -'!$D18*100</f>
        <v>0</v>
      </c>
      <c r="J18" s="24" t="str">
        <f>IF('- 6 -'!$D18=0,"",H18/'- 6 -'!$D18)</f>
        <v/>
      </c>
    </row>
    <row r="19" spans="1:10" ht="14.1" customHeight="1">
      <c r="A19" s="360" t="s">
        <v>237</v>
      </c>
      <c r="B19" s="361">
        <v>21790500</v>
      </c>
      <c r="C19" s="362">
        <f>B19/'- 3 -'!$D19*100</f>
        <v>50.198121380142524</v>
      </c>
      <c r="D19" s="361">
        <f>B19/'- 6 -'!$B19</f>
        <v>5309.5760233918127</v>
      </c>
      <c r="E19" s="361">
        <v>0</v>
      </c>
      <c r="F19" s="362">
        <f>E19/'- 3 -'!$D19*100</f>
        <v>0</v>
      </c>
      <c r="G19" s="361" t="str">
        <f>IF('- 6 -'!$C19=0,"",E19/'- 6 -'!$C19)</f>
        <v/>
      </c>
      <c r="H19" s="361">
        <v>0</v>
      </c>
      <c r="I19" s="362">
        <f>H19/'- 3 -'!$D19*100</f>
        <v>0</v>
      </c>
      <c r="J19" s="361" t="str">
        <f>IF('- 6 -'!$D19=0,"",H19/'- 6 -'!$D19)</f>
        <v/>
      </c>
    </row>
    <row r="20" spans="1:10" ht="14.1" customHeight="1">
      <c r="A20" s="23" t="s">
        <v>238</v>
      </c>
      <c r="B20" s="24">
        <v>35095900</v>
      </c>
      <c r="C20" s="353">
        <f>B20/'- 3 -'!$D20*100</f>
        <v>49.377850813633813</v>
      </c>
      <c r="D20" s="24">
        <f>B20/'- 6 -'!$B20</f>
        <v>4948.4092742049197</v>
      </c>
      <c r="E20" s="24">
        <v>0</v>
      </c>
      <c r="F20" s="353">
        <f>E20/'- 3 -'!$D20*100</f>
        <v>0</v>
      </c>
      <c r="G20" s="24" t="str">
        <f>IF('- 6 -'!$C20=0,"",E20/'- 6 -'!$C20)</f>
        <v/>
      </c>
      <c r="H20" s="24">
        <v>0</v>
      </c>
      <c r="I20" s="353">
        <f>H20/'- 3 -'!$D20*100</f>
        <v>0</v>
      </c>
      <c r="J20" s="24" t="str">
        <f>IF('- 6 -'!$D20=0,"",H20/'- 6 -'!$D20)</f>
        <v/>
      </c>
    </row>
    <row r="21" spans="1:10" ht="14.1" customHeight="1">
      <c r="A21" s="360" t="s">
        <v>239</v>
      </c>
      <c r="B21" s="361">
        <v>14557226</v>
      </c>
      <c r="C21" s="362">
        <f>B21/'- 3 -'!$D21*100</f>
        <v>42.754825982159907</v>
      </c>
      <c r="D21" s="361">
        <f>B21/'- 6 -'!$B21</f>
        <v>6177.4776151071501</v>
      </c>
      <c r="E21" s="361">
        <v>0</v>
      </c>
      <c r="F21" s="362">
        <f>E21/'- 3 -'!$D21*100</f>
        <v>0</v>
      </c>
      <c r="G21" s="361" t="str">
        <f>IF('- 6 -'!$C21=0,"",E21/'- 6 -'!$C21)</f>
        <v/>
      </c>
      <c r="H21" s="361">
        <v>0</v>
      </c>
      <c r="I21" s="362">
        <f>H21/'- 3 -'!$D21*100</f>
        <v>0</v>
      </c>
      <c r="J21" s="361" t="str">
        <f>IF('- 6 -'!$D21=0,"",H21/'- 6 -'!$D21)</f>
        <v/>
      </c>
    </row>
    <row r="22" spans="1:10" ht="14.1" customHeight="1">
      <c r="A22" s="23" t="s">
        <v>240</v>
      </c>
      <c r="B22" s="24">
        <v>4398870</v>
      </c>
      <c r="C22" s="353">
        <f>B22/'- 3 -'!$D22*100</f>
        <v>22.090441210220337</v>
      </c>
      <c r="D22" s="24">
        <f>B22/'- 6 -'!$B22</f>
        <v>4823.3223684210525</v>
      </c>
      <c r="E22" s="24">
        <v>0</v>
      </c>
      <c r="F22" s="353">
        <f>E22/'- 3 -'!$D22*100</f>
        <v>0</v>
      </c>
      <c r="G22" s="24" t="str">
        <f>IF('- 6 -'!$C22=0,"",E22/'- 6 -'!$C22)</f>
        <v/>
      </c>
      <c r="H22" s="24">
        <v>0</v>
      </c>
      <c r="I22" s="353">
        <f>H22/'- 3 -'!$D22*100</f>
        <v>0</v>
      </c>
      <c r="J22" s="24" t="str">
        <f>IF('- 6 -'!$D22=0,"",H22/'- 6 -'!$D22)</f>
        <v/>
      </c>
    </row>
    <row r="23" spans="1:10" ht="14.1" customHeight="1">
      <c r="A23" s="360" t="s">
        <v>241</v>
      </c>
      <c r="B23" s="361">
        <v>7157408</v>
      </c>
      <c r="C23" s="362">
        <f>B23/'- 3 -'!$D23*100</f>
        <v>44.666855550244073</v>
      </c>
      <c r="D23" s="361">
        <f>B23/'- 6 -'!$B23</f>
        <v>6170.1793103448272</v>
      </c>
      <c r="E23" s="361">
        <v>0</v>
      </c>
      <c r="F23" s="362">
        <f>E23/'- 3 -'!$D23*100</f>
        <v>0</v>
      </c>
      <c r="G23" s="361" t="str">
        <f>IF('- 6 -'!$C23=0,"",E23/'- 6 -'!$C23)</f>
        <v/>
      </c>
      <c r="H23" s="361">
        <v>0</v>
      </c>
      <c r="I23" s="362">
        <f>H23/'- 3 -'!$D23*100</f>
        <v>0</v>
      </c>
      <c r="J23" s="361" t="str">
        <f>IF('- 6 -'!$D23=0,"",H23/'- 6 -'!$D23)</f>
        <v/>
      </c>
    </row>
    <row r="24" spans="1:10" ht="14.1" customHeight="1">
      <c r="A24" s="23" t="s">
        <v>242</v>
      </c>
      <c r="B24" s="24">
        <v>18862790</v>
      </c>
      <c r="C24" s="353">
        <f>B24/'- 3 -'!$D24*100</f>
        <v>35.747150387110338</v>
      </c>
      <c r="D24" s="24">
        <f>B24/'- 6 -'!$B24</f>
        <v>6432.3239556692242</v>
      </c>
      <c r="E24" s="24">
        <v>0</v>
      </c>
      <c r="F24" s="353">
        <f>E24/'- 3 -'!$D24*100</f>
        <v>0</v>
      </c>
      <c r="G24" s="24" t="str">
        <f>IF('- 6 -'!$C24=0,"",E24/'- 6 -'!$C24)</f>
        <v/>
      </c>
      <c r="H24" s="24">
        <v>1385260</v>
      </c>
      <c r="I24" s="353">
        <f>H24/'- 3 -'!$D24*100</f>
        <v>2.6252265728054263</v>
      </c>
      <c r="J24" s="24">
        <f>IF('- 6 -'!$D24=0,"",H24/'- 6 -'!$D24)</f>
        <v>5227.3962264150941</v>
      </c>
    </row>
    <row r="25" spans="1:10" ht="14.1" customHeight="1">
      <c r="A25" s="360" t="s">
        <v>243</v>
      </c>
      <c r="B25" s="361">
        <v>54633282</v>
      </c>
      <c r="C25" s="362">
        <f>B25/'- 3 -'!$D25*100</f>
        <v>35.280905965437441</v>
      </c>
      <c r="D25" s="361">
        <f>B25/'- 6 -'!$B25</f>
        <v>5746.33520904549</v>
      </c>
      <c r="E25" s="361">
        <v>0</v>
      </c>
      <c r="F25" s="362">
        <f>E25/'- 3 -'!$D25*100</f>
        <v>0</v>
      </c>
      <c r="G25" s="361" t="str">
        <f>IF('- 6 -'!$C25=0,"",E25/'- 6 -'!$C25)</f>
        <v/>
      </c>
      <c r="H25" s="361">
        <v>18536302</v>
      </c>
      <c r="I25" s="362">
        <f>H25/'- 3 -'!$D25*100</f>
        <v>11.970313769708179</v>
      </c>
      <c r="J25" s="361">
        <f>IF('- 6 -'!$D25=0,"",H25/'- 6 -'!$D25)</f>
        <v>4631.759620189905</v>
      </c>
    </row>
    <row r="26" spans="1:10" ht="14.1" customHeight="1">
      <c r="A26" s="23" t="s">
        <v>244</v>
      </c>
      <c r="B26" s="24">
        <v>14839742</v>
      </c>
      <c r="C26" s="353">
        <f>B26/'- 3 -'!$D26*100</f>
        <v>39.11066082115525</v>
      </c>
      <c r="D26" s="24">
        <f>B26/'- 6 -'!$B26</f>
        <v>6152.9737125798156</v>
      </c>
      <c r="E26" s="24">
        <v>0</v>
      </c>
      <c r="F26" s="353">
        <f>E26/'- 3 -'!$D26*100</f>
        <v>0</v>
      </c>
      <c r="G26" s="24" t="str">
        <f>IF('- 6 -'!$C26=0,"",E26/'- 6 -'!$C26)</f>
        <v/>
      </c>
      <c r="H26" s="24">
        <v>984377</v>
      </c>
      <c r="I26" s="353">
        <f>H26/'- 3 -'!$D26*100</f>
        <v>2.5943601288449853</v>
      </c>
      <c r="J26" s="24">
        <f>IF('- 6 -'!$D26=0,"",H26/'- 6 -'!$D26)</f>
        <v>4665.2938388625589</v>
      </c>
    </row>
    <row r="27" spans="1:10" ht="14.1" customHeight="1">
      <c r="A27" s="360" t="s">
        <v>245</v>
      </c>
      <c r="B27" s="361">
        <v>16052582</v>
      </c>
      <c r="C27" s="362">
        <f>B27/'- 3 -'!$D27*100</f>
        <v>41.719513496170933</v>
      </c>
      <c r="D27" s="361">
        <f>B27/'- 6 -'!$B27</f>
        <v>7208.1643466546921</v>
      </c>
      <c r="E27" s="361">
        <v>0</v>
      </c>
      <c r="F27" s="362">
        <f>E27/'- 3 -'!$D27*100</f>
        <v>0</v>
      </c>
      <c r="G27" s="361" t="str">
        <f>IF('- 6 -'!$C27=0,"",E27/'- 6 -'!$C27)</f>
        <v/>
      </c>
      <c r="H27" s="361">
        <v>0</v>
      </c>
      <c r="I27" s="362">
        <f>H27/'- 3 -'!$D27*100</f>
        <v>0</v>
      </c>
      <c r="J27" s="361" t="str">
        <f>IF('- 6 -'!$D27=0,"",H27/'- 6 -'!$D27)</f>
        <v/>
      </c>
    </row>
    <row r="28" spans="1:10" ht="14.1" customHeight="1">
      <c r="A28" s="23" t="s">
        <v>246</v>
      </c>
      <c r="B28" s="24">
        <v>13376896</v>
      </c>
      <c r="C28" s="353">
        <f>B28/'- 3 -'!$D28*100</f>
        <v>51.305443543360894</v>
      </c>
      <c r="D28" s="24">
        <f>B28/'- 6 -'!$B28</f>
        <v>6773.111898734177</v>
      </c>
      <c r="E28" s="24">
        <v>0</v>
      </c>
      <c r="F28" s="353">
        <f>E28/'- 3 -'!$D28*100</f>
        <v>0</v>
      </c>
      <c r="G28" s="24" t="str">
        <f>IF('- 6 -'!$C28=0,"",E28/'- 6 -'!$C28)</f>
        <v/>
      </c>
      <c r="H28" s="24">
        <v>0</v>
      </c>
      <c r="I28" s="353">
        <f>H28/'- 3 -'!$D28*100</f>
        <v>0</v>
      </c>
      <c r="J28" s="24" t="str">
        <f>IF('- 6 -'!$D28=0,"",H28/'- 6 -'!$D28)</f>
        <v/>
      </c>
    </row>
    <row r="29" spans="1:10" ht="14.1" customHeight="1">
      <c r="A29" s="360" t="s">
        <v>247</v>
      </c>
      <c r="B29" s="361">
        <v>44448124</v>
      </c>
      <c r="C29" s="362">
        <f>B29/'- 3 -'!$D29*100</f>
        <v>31.297763626538817</v>
      </c>
      <c r="D29" s="361">
        <f>B29/'- 6 -'!$B29</f>
        <v>5629.9080430652311</v>
      </c>
      <c r="E29" s="361">
        <v>0</v>
      </c>
      <c r="F29" s="362">
        <f>E29/'- 3 -'!$D29*100</f>
        <v>0</v>
      </c>
      <c r="G29" s="361" t="str">
        <f>IF('- 6 -'!$C29=0,"",E29/'- 6 -'!$C29)</f>
        <v/>
      </c>
      <c r="H29" s="361">
        <v>7292596</v>
      </c>
      <c r="I29" s="362">
        <f>H29/'- 3 -'!$D29*100</f>
        <v>5.135018653022172</v>
      </c>
      <c r="J29" s="361">
        <f>IF('- 6 -'!$D29=0,"",H29/'- 6 -'!$D29)</f>
        <v>5701.7951524628616</v>
      </c>
    </row>
    <row r="30" spans="1:10" ht="14.1" customHeight="1">
      <c r="A30" s="23" t="s">
        <v>248</v>
      </c>
      <c r="B30" s="24">
        <v>7094915</v>
      </c>
      <c r="C30" s="353">
        <f>B30/'- 3 -'!$D30*100</f>
        <v>52.72964070803787</v>
      </c>
      <c r="D30" s="24">
        <f>B30/'- 6 -'!$B30</f>
        <v>6630.7616822429909</v>
      </c>
      <c r="E30" s="24">
        <v>0</v>
      </c>
      <c r="F30" s="353">
        <f>E30/'- 3 -'!$D30*100</f>
        <v>0</v>
      </c>
      <c r="G30" s="24" t="str">
        <f>IF('- 6 -'!$C30=0,"",E30/'- 6 -'!$C30)</f>
        <v/>
      </c>
      <c r="H30" s="24">
        <v>0</v>
      </c>
      <c r="I30" s="353">
        <f>H30/'- 3 -'!$D30*100</f>
        <v>0</v>
      </c>
      <c r="J30" s="24" t="str">
        <f>IF('- 6 -'!$D30=0,"",H30/'- 6 -'!$D30)</f>
        <v/>
      </c>
    </row>
    <row r="31" spans="1:10" ht="14.1" customHeight="1">
      <c r="A31" s="360" t="s">
        <v>249</v>
      </c>
      <c r="B31" s="361">
        <v>12818804</v>
      </c>
      <c r="C31" s="362">
        <f>B31/'- 3 -'!$D31*100</f>
        <v>38.122459634823542</v>
      </c>
      <c r="D31" s="361">
        <f>B31/'- 6 -'!$B31</f>
        <v>5388.3160992013454</v>
      </c>
      <c r="E31" s="361">
        <v>0</v>
      </c>
      <c r="F31" s="362">
        <f>E31/'- 3 -'!$D31*100</f>
        <v>0</v>
      </c>
      <c r="G31" s="361" t="str">
        <f>IF('- 6 -'!$C31=0,"",E31/'- 6 -'!$C31)</f>
        <v/>
      </c>
      <c r="H31" s="361">
        <v>0</v>
      </c>
      <c r="I31" s="362">
        <f>H31/'- 3 -'!$D31*100</f>
        <v>0</v>
      </c>
      <c r="J31" s="361" t="str">
        <f>IF('- 6 -'!$D31=0,"",H31/'- 6 -'!$D31)</f>
        <v/>
      </c>
    </row>
    <row r="32" spans="1:10" ht="14.1" customHeight="1">
      <c r="A32" s="23" t="s">
        <v>250</v>
      </c>
      <c r="B32" s="24">
        <v>10763752</v>
      </c>
      <c r="C32" s="353">
        <f>B32/'- 3 -'!$D32*100</f>
        <v>42.139373355385374</v>
      </c>
      <c r="D32" s="24">
        <f>B32/'- 6 -'!$B32</f>
        <v>6236.2410196987257</v>
      </c>
      <c r="E32" s="24">
        <v>0</v>
      </c>
      <c r="F32" s="353">
        <f>E32/'- 3 -'!$D32*100</f>
        <v>0</v>
      </c>
      <c r="G32" s="24" t="str">
        <f>IF('- 6 -'!$C32=0,"",E32/'- 6 -'!$C32)</f>
        <v/>
      </c>
      <c r="H32" s="24">
        <v>516253</v>
      </c>
      <c r="I32" s="353">
        <f>H32/'- 3 -'!$D32*100</f>
        <v>2.0210961672879275</v>
      </c>
      <c r="J32" s="24">
        <f>IF('- 6 -'!$D32=0,"",H32/'- 6 -'!$D32)</f>
        <v>5241.1472081218271</v>
      </c>
    </row>
    <row r="33" spans="1:10" ht="14.1" customHeight="1">
      <c r="A33" s="360" t="s">
        <v>251</v>
      </c>
      <c r="B33" s="361">
        <v>10608100</v>
      </c>
      <c r="C33" s="362">
        <f>B33/'- 3 -'!$D33*100</f>
        <v>40.391344575891075</v>
      </c>
      <c r="D33" s="361">
        <f>B33/'- 6 -'!$B33</f>
        <v>6378.893565844859</v>
      </c>
      <c r="E33" s="361">
        <v>0</v>
      </c>
      <c r="F33" s="362">
        <f>E33/'- 3 -'!$D33*100</f>
        <v>0</v>
      </c>
      <c r="G33" s="361" t="str">
        <f>IF('- 6 -'!$C33=0,"",E33/'- 6 -'!$C33)</f>
        <v/>
      </c>
      <c r="H33" s="361">
        <v>0</v>
      </c>
      <c r="I33" s="362">
        <f>H33/'- 3 -'!$D33*100</f>
        <v>0</v>
      </c>
      <c r="J33" s="361" t="str">
        <f>IF('- 6 -'!$D33=0,"",H33/'- 6 -'!$D33)</f>
        <v/>
      </c>
    </row>
    <row r="34" spans="1:10" ht="14.1" customHeight="1">
      <c r="A34" s="23" t="s">
        <v>252</v>
      </c>
      <c r="B34" s="24">
        <v>9751033</v>
      </c>
      <c r="C34" s="353">
        <f>B34/'- 3 -'!$D34*100</f>
        <v>38.174813196171208</v>
      </c>
      <c r="D34" s="24">
        <f>B34/'- 6 -'!$B34</f>
        <v>5847.3803512853883</v>
      </c>
      <c r="E34" s="24">
        <v>0</v>
      </c>
      <c r="F34" s="353">
        <f>E34/'- 3 -'!$D34*100</f>
        <v>0</v>
      </c>
      <c r="G34" s="24" t="str">
        <f>IF('- 6 -'!$C34=0,"",E34/'- 6 -'!$C34)</f>
        <v/>
      </c>
      <c r="H34" s="24">
        <v>1432711</v>
      </c>
      <c r="I34" s="353">
        <f>H34/'- 3 -'!$D34*100</f>
        <v>5.6089928922504573</v>
      </c>
      <c r="J34" s="24">
        <f>IF('- 6 -'!$D34=0,"",H34/'- 6 -'!$D34)</f>
        <v>7967.9161336966799</v>
      </c>
    </row>
    <row r="35" spans="1:10" ht="14.1" customHeight="1">
      <c r="A35" s="360" t="s">
        <v>253</v>
      </c>
      <c r="B35" s="361">
        <v>49353046</v>
      </c>
      <c r="C35" s="362">
        <f>B35/'- 3 -'!$D35*100</f>
        <v>29.456122653478207</v>
      </c>
      <c r="D35" s="361">
        <f>B35/'- 6 -'!$B35</f>
        <v>5222.2682397756735</v>
      </c>
      <c r="E35" s="361">
        <v>0</v>
      </c>
      <c r="F35" s="362">
        <f>E35/'- 3 -'!$D35*100</f>
        <v>0</v>
      </c>
      <c r="G35" s="361" t="str">
        <f>IF('- 6 -'!$C35=0,"",E35/'- 6 -'!$C35)</f>
        <v/>
      </c>
      <c r="H35" s="361">
        <v>5398741</v>
      </c>
      <c r="I35" s="362">
        <f>H35/'- 3 -'!$D35*100</f>
        <v>3.2222120002554977</v>
      </c>
      <c r="J35" s="361">
        <f>IF('- 6 -'!$D35=0,"",H35/'- 6 -'!$D35)</f>
        <v>4676.2589865742748</v>
      </c>
    </row>
    <row r="36" spans="1:10" ht="14.1" customHeight="1">
      <c r="A36" s="23" t="s">
        <v>254</v>
      </c>
      <c r="B36" s="24">
        <v>10716960</v>
      </c>
      <c r="C36" s="353">
        <f>B36/'- 3 -'!$D36*100</f>
        <v>49.688270659052435</v>
      </c>
      <c r="D36" s="24">
        <f>B36/'- 6 -'!$B36</f>
        <v>6418.1099532878188</v>
      </c>
      <c r="E36" s="24">
        <v>0</v>
      </c>
      <c r="F36" s="353">
        <f>E36/'- 3 -'!$D36*100</f>
        <v>0</v>
      </c>
      <c r="G36" s="24" t="str">
        <f>IF('- 6 -'!$C36=0,"",E36/'- 6 -'!$C36)</f>
        <v/>
      </c>
      <c r="H36" s="24">
        <v>0</v>
      </c>
      <c r="I36" s="353">
        <f>H36/'- 3 -'!$D36*100</f>
        <v>0</v>
      </c>
      <c r="J36" s="24" t="str">
        <f>IF('- 6 -'!$D36=0,"",H36/'- 6 -'!$D36)</f>
        <v/>
      </c>
    </row>
    <row r="37" spans="1:10" ht="14.1" customHeight="1">
      <c r="A37" s="360" t="s">
        <v>255</v>
      </c>
      <c r="B37" s="361">
        <v>9818695</v>
      </c>
      <c r="C37" s="362">
        <f>B37/'- 3 -'!$D37*100</f>
        <v>23.565782352355271</v>
      </c>
      <c r="D37" s="361">
        <f>B37/'- 6 -'!$B37</f>
        <v>5178.6366033755276</v>
      </c>
      <c r="E37" s="361">
        <v>0</v>
      </c>
      <c r="F37" s="362">
        <f>E37/'- 3 -'!$D37*100</f>
        <v>0</v>
      </c>
      <c r="G37" s="361" t="str">
        <f>IF('- 6 -'!$C37=0,"",E37/'- 6 -'!$C37)</f>
        <v/>
      </c>
      <c r="H37" s="361">
        <v>3472920</v>
      </c>
      <c r="I37" s="362">
        <f>H37/'- 3 -'!$D37*100</f>
        <v>8.3353314108587409</v>
      </c>
      <c r="J37" s="361">
        <f>IF('- 6 -'!$D37=0,"",H37/'- 6 -'!$D37)</f>
        <v>5242.1433962264155</v>
      </c>
    </row>
    <row r="38" spans="1:10" ht="14.1" customHeight="1">
      <c r="A38" s="23" t="s">
        <v>256</v>
      </c>
      <c r="B38" s="24">
        <v>34483060</v>
      </c>
      <c r="C38" s="353">
        <f>B38/'- 3 -'!$D38*100</f>
        <v>29.397859432388625</v>
      </c>
      <c r="D38" s="24">
        <f>B38/'- 6 -'!$B38</f>
        <v>6079.5239774330039</v>
      </c>
      <c r="E38" s="24">
        <v>0</v>
      </c>
      <c r="F38" s="353">
        <f>E38/'- 3 -'!$D38*100</f>
        <v>0</v>
      </c>
      <c r="G38" s="24" t="str">
        <f>IF('- 6 -'!$C38=0,"",E38/'- 6 -'!$C38)</f>
        <v/>
      </c>
      <c r="H38" s="24">
        <v>1503628</v>
      </c>
      <c r="I38" s="353">
        <f>H38/'- 3 -'!$D38*100</f>
        <v>1.2818886891883621</v>
      </c>
      <c r="J38" s="24">
        <f>IF('- 6 -'!$D38=0,"",H38/'- 6 -'!$D38)</f>
        <v>5114.3809523809523</v>
      </c>
    </row>
    <row r="39" spans="1:10" ht="14.1" customHeight="1">
      <c r="A39" s="360" t="s">
        <v>257</v>
      </c>
      <c r="B39" s="361">
        <v>9969054</v>
      </c>
      <c r="C39" s="362">
        <f>B39/'- 3 -'!$D39*100</f>
        <v>48.51363381938193</v>
      </c>
      <c r="D39" s="361">
        <f>B39/'- 6 -'!$B39</f>
        <v>6394.5182809493263</v>
      </c>
      <c r="E39" s="361">
        <v>0</v>
      </c>
      <c r="F39" s="362">
        <f>E39/'- 3 -'!$D39*100</f>
        <v>0</v>
      </c>
      <c r="G39" s="361" t="str">
        <f>IF('- 6 -'!$C39=0,"",E39/'- 6 -'!$C39)</f>
        <v/>
      </c>
      <c r="H39" s="361">
        <v>0</v>
      </c>
      <c r="I39" s="362">
        <f>H39/'- 3 -'!$D39*100</f>
        <v>0</v>
      </c>
      <c r="J39" s="361" t="str">
        <f>IF('- 6 -'!$D39=0,"",H39/'- 6 -'!$D39)</f>
        <v/>
      </c>
    </row>
    <row r="40" spans="1:10" ht="14.1" customHeight="1">
      <c r="A40" s="23" t="s">
        <v>258</v>
      </c>
      <c r="B40" s="24">
        <v>33276213</v>
      </c>
      <c r="C40" s="353">
        <f>B40/'- 3 -'!$D40*100</f>
        <v>34.22689794833709</v>
      </c>
      <c r="D40" s="24">
        <f>B40/'- 6 -'!$B40</f>
        <v>6094.879388977417</v>
      </c>
      <c r="E40" s="24">
        <v>0</v>
      </c>
      <c r="F40" s="353">
        <f>E40/'- 3 -'!$D40*100</f>
        <v>0</v>
      </c>
      <c r="G40" s="24" t="str">
        <f>IF('- 6 -'!$C40=0,"",E40/'- 6 -'!$C40)</f>
        <v/>
      </c>
      <c r="H40" s="24">
        <v>3692737</v>
      </c>
      <c r="I40" s="353">
        <f>H40/'- 3 -'!$D40*100</f>
        <v>3.7982366698112093</v>
      </c>
      <c r="J40" s="24">
        <f>IF('- 6 -'!$D40=0,"",H40/'- 6 -'!$D40)</f>
        <v>5013.8995247793619</v>
      </c>
    </row>
    <row r="41" spans="1:10" ht="14.1" customHeight="1">
      <c r="A41" s="360" t="s">
        <v>259</v>
      </c>
      <c r="B41" s="361">
        <v>13468050</v>
      </c>
      <c r="C41" s="362">
        <f>B41/'- 3 -'!$D41*100</f>
        <v>23.349921054743987</v>
      </c>
      <c r="D41" s="361">
        <f>B41/'- 6 -'!$B41</f>
        <v>6364.8629489603027</v>
      </c>
      <c r="E41" s="361">
        <v>0</v>
      </c>
      <c r="F41" s="362">
        <f>E41/'- 3 -'!$D41*100</f>
        <v>0</v>
      </c>
      <c r="G41" s="361" t="str">
        <f>IF('- 6 -'!$C41=0,"",E41/'- 6 -'!$C41)</f>
        <v/>
      </c>
      <c r="H41" s="361">
        <v>0</v>
      </c>
      <c r="I41" s="362">
        <f>H41/'- 3 -'!$D41*100</f>
        <v>0</v>
      </c>
      <c r="J41" s="361" t="str">
        <f>IF('- 6 -'!$D41=0,"",H41/'- 6 -'!$D41)</f>
        <v/>
      </c>
    </row>
    <row r="42" spans="1:10" ht="14.1" customHeight="1">
      <c r="A42" s="23" t="s">
        <v>260</v>
      </c>
      <c r="B42" s="24">
        <v>7180961</v>
      </c>
      <c r="C42" s="353">
        <f>B42/'- 3 -'!$D42*100</f>
        <v>35.592232236884072</v>
      </c>
      <c r="D42" s="24">
        <f>B42/'- 6 -'!$B42</f>
        <v>6920.0742025633608</v>
      </c>
      <c r="E42" s="24">
        <v>0</v>
      </c>
      <c r="F42" s="353">
        <f>E42/'- 3 -'!$D42*100</f>
        <v>0</v>
      </c>
      <c r="G42" s="24" t="str">
        <f>IF('- 6 -'!$C42=0,"",E42/'- 6 -'!$C42)</f>
        <v/>
      </c>
      <c r="H42" s="24">
        <v>0</v>
      </c>
      <c r="I42" s="353">
        <f>H42/'- 3 -'!$D42*100</f>
        <v>0</v>
      </c>
      <c r="J42" s="24" t="str">
        <f>IF('- 6 -'!$D42=0,"",H42/'- 6 -'!$D42)</f>
        <v/>
      </c>
    </row>
    <row r="43" spans="1:10" ht="14.1" customHeight="1">
      <c r="A43" s="360" t="s">
        <v>261</v>
      </c>
      <c r="B43" s="361">
        <v>5599358</v>
      </c>
      <c r="C43" s="362">
        <f>B43/'- 3 -'!$D43*100</f>
        <v>46.833155319058179</v>
      </c>
      <c r="D43" s="361">
        <f>B43/'- 6 -'!$B43</f>
        <v>5860.1339612768188</v>
      </c>
      <c r="E43" s="361">
        <v>0</v>
      </c>
      <c r="F43" s="362">
        <f>E43/'- 3 -'!$D43*100</f>
        <v>0</v>
      </c>
      <c r="G43" s="361" t="str">
        <f>IF('- 6 -'!$C43=0,"",E43/'- 6 -'!$C43)</f>
        <v/>
      </c>
      <c r="H43" s="361">
        <v>0</v>
      </c>
      <c r="I43" s="362">
        <f>H43/'- 3 -'!$D43*100</f>
        <v>0</v>
      </c>
      <c r="J43" s="361" t="str">
        <f>IF('- 6 -'!$D43=0,"",H43/'- 6 -'!$D43)</f>
        <v/>
      </c>
    </row>
    <row r="44" spans="1:10" ht="14.1" customHeight="1">
      <c r="A44" s="23" t="s">
        <v>262</v>
      </c>
      <c r="B44" s="24">
        <v>4800252</v>
      </c>
      <c r="C44" s="353">
        <f>B44/'- 3 -'!$D44*100</f>
        <v>45.549423891714966</v>
      </c>
      <c r="D44" s="24">
        <f>B44/'- 6 -'!$B44</f>
        <v>6789.6067892503534</v>
      </c>
      <c r="E44" s="24">
        <v>368112</v>
      </c>
      <c r="F44" s="353">
        <f>E44/'- 3 -'!$D44*100</f>
        <v>3.4930019356539992</v>
      </c>
      <c r="G44" s="24">
        <f>IF('- 6 -'!$C44=0,"",E44/'- 6 -'!$C44)</f>
        <v>8002.434782608696</v>
      </c>
      <c r="H44" s="24">
        <v>0</v>
      </c>
      <c r="I44" s="353">
        <f>H44/'- 3 -'!$D44*100</f>
        <v>0</v>
      </c>
      <c r="J44" s="24" t="str">
        <f>IF('- 6 -'!$D44=0,"",H44/'- 6 -'!$D44)</f>
        <v/>
      </c>
    </row>
    <row r="45" spans="1:10" ht="14.1" customHeight="1">
      <c r="A45" s="360" t="s">
        <v>263</v>
      </c>
      <c r="B45" s="361">
        <v>4205527</v>
      </c>
      <c r="C45" s="362">
        <f>B45/'- 3 -'!$D45*100</f>
        <v>24.837563202348388</v>
      </c>
      <c r="D45" s="361">
        <f>B45/'- 6 -'!$B45</f>
        <v>5555.5178335535011</v>
      </c>
      <c r="E45" s="361">
        <v>0</v>
      </c>
      <c r="F45" s="362">
        <f>E45/'- 3 -'!$D45*100</f>
        <v>0</v>
      </c>
      <c r="G45" s="361" t="str">
        <f>IF('- 6 -'!$C45=0,"",E45/'- 6 -'!$C45)</f>
        <v/>
      </c>
      <c r="H45" s="361">
        <v>0</v>
      </c>
      <c r="I45" s="362">
        <f>H45/'- 3 -'!$D45*100</f>
        <v>0</v>
      </c>
      <c r="J45" s="361" t="str">
        <f>IF('- 6 -'!$D45=0,"",H45/'- 6 -'!$D45)</f>
        <v/>
      </c>
    </row>
    <row r="46" spans="1:10" ht="14.1" customHeight="1">
      <c r="A46" s="23" t="s">
        <v>264</v>
      </c>
      <c r="B46" s="24">
        <v>122968800</v>
      </c>
      <c r="C46" s="353">
        <f>B46/'- 3 -'!$D46*100</f>
        <v>34.095661765072862</v>
      </c>
      <c r="D46" s="24">
        <f>B46/'- 6 -'!$B46</f>
        <v>5360.944114326071</v>
      </c>
      <c r="E46" s="24">
        <v>0</v>
      </c>
      <c r="F46" s="353">
        <f>E46/'- 3 -'!$D46*100</f>
        <v>0</v>
      </c>
      <c r="G46" s="24" t="str">
        <f>IF('- 6 -'!$C46=0,"",E46/'- 6 -'!$C46)</f>
        <v/>
      </c>
      <c r="H46" s="24">
        <v>5841300</v>
      </c>
      <c r="I46" s="353">
        <f>H46/'- 3 -'!$D46*100</f>
        <v>1.6196221242162245</v>
      </c>
      <c r="J46" s="24">
        <f>IF('- 6 -'!$D46=0,"",H46/'- 6 -'!$D46)</f>
        <v>5217.7757927646271</v>
      </c>
    </row>
    <row r="47" spans="1:10" ht="5.0999999999999996" customHeight="1">
      <c r="A47"/>
      <c r="B47"/>
      <c r="C47"/>
      <c r="D47"/>
      <c r="E47"/>
      <c r="F47"/>
      <c r="G47"/>
      <c r="H47"/>
      <c r="I47"/>
      <c r="J47"/>
    </row>
    <row r="48" spans="1:10" ht="14.1" customHeight="1">
      <c r="A48" s="363" t="s">
        <v>265</v>
      </c>
      <c r="B48" s="364">
        <f>SUM(B11:B46)</f>
        <v>724452735</v>
      </c>
      <c r="C48" s="365">
        <f>B48/'- 3 -'!$D48*100</f>
        <v>34.792786498673209</v>
      </c>
      <c r="D48" s="364">
        <f>B48/'- 6 -'!$B48</f>
        <v>5823.5539742822466</v>
      </c>
      <c r="E48" s="364">
        <f>SUM(E11:E46)</f>
        <v>36332333</v>
      </c>
      <c r="F48" s="365">
        <f>E48/'- 3 -'!$D48*100</f>
        <v>1.7449076302647946</v>
      </c>
      <c r="G48" s="364">
        <f>E48/'- 6 -'!$C48</f>
        <v>6905.97471963505</v>
      </c>
      <c r="H48" s="364">
        <f>SUM(H11:H46)</f>
        <v>51535625</v>
      </c>
      <c r="I48" s="365">
        <f>H48/'- 3 -'!$D48*100</f>
        <v>2.475065537161214</v>
      </c>
      <c r="J48" s="364">
        <f>H48/'- 6 -'!$D48</f>
        <v>4991.6774099189188</v>
      </c>
    </row>
    <row r="49" spans="1:10" ht="5.0999999999999996" customHeight="1">
      <c r="A49" s="25" t="s">
        <v>3</v>
      </c>
      <c r="B49" s="26"/>
      <c r="C49" s="351"/>
      <c r="D49" s="26"/>
      <c r="E49" s="26"/>
      <c r="F49" s="351"/>
      <c r="H49" s="26"/>
      <c r="I49" s="351"/>
      <c r="J49" s="26"/>
    </row>
    <row r="50" spans="1:10" ht="14.1" customHeight="1">
      <c r="A50" s="23" t="s">
        <v>266</v>
      </c>
      <c r="B50" s="24">
        <v>1580281</v>
      </c>
      <c r="C50" s="353">
        <f>B50/'- 3 -'!$D50*100</f>
        <v>48.153592396254318</v>
      </c>
      <c r="D50" s="24">
        <f>B50/'- 6 -'!$B50</f>
        <v>9462.7604790419155</v>
      </c>
      <c r="E50" s="24">
        <v>0</v>
      </c>
      <c r="F50" s="353">
        <f>E50/'- 3 -'!$D50*100</f>
        <v>0</v>
      </c>
      <c r="G50" s="24" t="str">
        <f>IF('- 6 -'!$C50=0,"",E50/'- 6 -'!$C50)</f>
        <v/>
      </c>
      <c r="H50" s="24">
        <v>0</v>
      </c>
      <c r="I50" s="353">
        <f>H50/'- 3 -'!$D50*100</f>
        <v>0</v>
      </c>
      <c r="J50" s="24" t="str">
        <f>IF('- 6 -'!$D50=0,"",H50/'- 6 -'!$D50)</f>
        <v/>
      </c>
    </row>
    <row r="51" spans="1:10" ht="14.1" customHeight="1">
      <c r="A51" s="360" t="s">
        <v>267</v>
      </c>
      <c r="B51" s="361">
        <v>269449</v>
      </c>
      <c r="C51" s="362">
        <f>B51/'- 3 -'!$D51*100</f>
        <v>1.2964044261802592</v>
      </c>
      <c r="D51" s="361">
        <f>B51/'- 6 -'!$B51</f>
        <v>4811.5892857142853</v>
      </c>
      <c r="E51" s="361">
        <v>0</v>
      </c>
      <c r="F51" s="362">
        <f>E51/'- 3 -'!$D51*100</f>
        <v>0</v>
      </c>
      <c r="G51" s="361" t="str">
        <f>IF('- 6 -'!$C51=0,"",E51/'- 6 -'!$C51)</f>
        <v/>
      </c>
      <c r="H51" s="361">
        <v>0</v>
      </c>
      <c r="I51" s="362">
        <f>H51/'- 3 -'!$D51*100</f>
        <v>0</v>
      </c>
      <c r="J51" s="361" t="str">
        <f>IF('- 6 -'!$D51=0,"",H51/'- 6 -'!$D51)</f>
        <v/>
      </c>
    </row>
    <row r="52" spans="1:10" ht="50.1" customHeight="1">
      <c r="A52" s="27"/>
      <c r="B52" s="27"/>
      <c r="C52" s="27"/>
      <c r="D52" s="27"/>
      <c r="E52" s="27"/>
      <c r="F52" s="27"/>
      <c r="G52" s="27"/>
      <c r="H52" s="71"/>
      <c r="I52" s="71"/>
      <c r="J52" s="71"/>
    </row>
    <row r="53" spans="1:10" ht="15" customHeight="1">
      <c r="A53" s="66" t="s">
        <v>608</v>
      </c>
      <c r="B53" s="66"/>
      <c r="C53" s="66"/>
      <c r="D53" s="66"/>
      <c r="E53" s="66"/>
      <c r="F53" s="66"/>
      <c r="G53" s="66"/>
      <c r="I53" s="66"/>
      <c r="J53" s="66"/>
    </row>
    <row r="54" spans="1:10" ht="14.45" customHeight="1"/>
    <row r="55" spans="1:10" ht="14.45" customHeight="1">
      <c r="A55" s="28"/>
    </row>
    <row r="56" spans="1:10" ht="14.45" customHeight="1"/>
    <row r="57" spans="1:10" ht="14.45" customHeight="1"/>
    <row r="58" spans="1:10" ht="14.45" customHeight="1"/>
    <row r="59" spans="1:10" ht="14.45" customHeight="1"/>
  </sheetData>
  <phoneticPr fontId="0" type="noConversion"/>
  <printOptions horizontalCentered="1"/>
  <pageMargins left="0.5" right="0.5" top="0.6" bottom="0" header="0.3" footer="0"/>
  <pageSetup scale="90" orientation="portrait" r:id="rId1"/>
  <headerFooter alignWithMargins="0">
    <oddHeader>&amp;C&amp;"Arial,Bold"&amp;10&amp;A</oddHead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I59"/>
  <sheetViews>
    <sheetView showGridLines="0" showZeros="0" workbookViewId="0"/>
  </sheetViews>
  <sheetFormatPr defaultColWidth="15.83203125" defaultRowHeight="12"/>
  <cols>
    <col min="1" max="1" width="31.83203125" style="1" customWidth="1"/>
    <col min="2" max="2" width="14.33203125" style="1" customWidth="1"/>
    <col min="3" max="3" width="7.83203125" style="1" customWidth="1"/>
    <col min="4" max="4" width="9.83203125" style="1" customWidth="1"/>
    <col min="5" max="5" width="10.83203125" style="1" customWidth="1"/>
    <col min="6" max="6" width="10.1640625" style="1" customWidth="1"/>
    <col min="7" max="7" width="11.83203125" style="1" customWidth="1"/>
    <col min="8" max="8" width="14.83203125" style="1" customWidth="1"/>
    <col min="9" max="9" width="11" style="1" customWidth="1"/>
    <col min="10" max="16384" width="15.83203125" style="1"/>
  </cols>
  <sheetData>
    <row r="1" spans="1:9" ht="6.95" customHeight="1">
      <c r="A1" s="3"/>
      <c r="B1" s="40"/>
      <c r="C1" s="40"/>
      <c r="D1" s="40"/>
      <c r="E1" s="40"/>
      <c r="F1" s="40"/>
      <c r="G1" s="40"/>
      <c r="H1" s="40"/>
      <c r="I1" s="40"/>
    </row>
    <row r="2" spans="1:9" ht="15.95" customHeight="1">
      <c r="A2" s="161"/>
      <c r="B2" s="5" t="s">
        <v>483</v>
      </c>
      <c r="C2" s="43"/>
      <c r="D2" s="43"/>
      <c r="E2" s="43"/>
      <c r="F2" s="43"/>
      <c r="G2" s="43"/>
      <c r="H2" s="212"/>
      <c r="I2" s="184" t="s">
        <v>443</v>
      </c>
    </row>
    <row r="3" spans="1:9" ht="15.95" customHeight="1">
      <c r="A3" s="164"/>
      <c r="B3" s="107" t="str">
        <f>OPYEAR</f>
        <v>OPERATING FUND 2013/2014 BUDGET</v>
      </c>
      <c r="C3" s="47"/>
      <c r="D3" s="47"/>
      <c r="E3" s="47"/>
      <c r="F3" s="47"/>
      <c r="G3" s="47"/>
      <c r="H3" s="213"/>
      <c r="I3" s="214"/>
    </row>
    <row r="4" spans="1:9" ht="15.95" customHeight="1">
      <c r="B4" s="40"/>
      <c r="C4" s="40"/>
      <c r="D4" s="40"/>
      <c r="E4" s="40"/>
      <c r="F4" s="40"/>
      <c r="G4" s="40"/>
      <c r="H4" s="40"/>
      <c r="I4" s="40"/>
    </row>
    <row r="5" spans="1:9" ht="15.95" customHeight="1">
      <c r="B5" s="215" t="s">
        <v>401</v>
      </c>
      <c r="C5" s="216"/>
      <c r="D5" s="216"/>
      <c r="E5" s="216"/>
      <c r="F5" s="216"/>
      <c r="G5" s="216"/>
      <c r="H5" s="216"/>
      <c r="I5" s="217"/>
    </row>
    <row r="6" spans="1:9" ht="15.95" customHeight="1">
      <c r="B6" s="404" t="s">
        <v>402</v>
      </c>
      <c r="C6" s="405"/>
      <c r="D6" s="405"/>
      <c r="E6" s="405"/>
      <c r="F6" s="405"/>
      <c r="G6" s="405"/>
      <c r="H6" s="405"/>
      <c r="I6" s="406"/>
    </row>
    <row r="7" spans="1:9" ht="15.95" customHeight="1">
      <c r="B7" s="205"/>
      <c r="C7" s="218"/>
      <c r="D7" s="218"/>
      <c r="E7" s="219" t="s">
        <v>165</v>
      </c>
      <c r="F7" s="220" t="s">
        <v>166</v>
      </c>
      <c r="G7" s="220"/>
      <c r="H7" s="220"/>
      <c r="I7" s="221"/>
    </row>
    <row r="8" spans="1:9" ht="15.95" customHeight="1">
      <c r="A8" s="102"/>
      <c r="B8" s="222"/>
      <c r="C8" s="222"/>
      <c r="D8" s="204" t="s">
        <v>60</v>
      </c>
      <c r="E8" s="223" t="s">
        <v>167</v>
      </c>
      <c r="F8" s="222"/>
      <c r="G8" s="224"/>
      <c r="H8" s="225" t="s">
        <v>70</v>
      </c>
      <c r="I8" s="222"/>
    </row>
    <row r="9" spans="1:9" ht="15.95" customHeight="1">
      <c r="A9" s="35" t="s">
        <v>81</v>
      </c>
      <c r="B9" s="54" t="s">
        <v>82</v>
      </c>
      <c r="C9" s="54" t="s">
        <v>83</v>
      </c>
      <c r="D9" s="54" t="s">
        <v>84</v>
      </c>
      <c r="E9" s="226" t="s">
        <v>88</v>
      </c>
      <c r="F9" s="54" t="s">
        <v>69</v>
      </c>
      <c r="G9" s="227" t="s">
        <v>32</v>
      </c>
      <c r="H9" s="54" t="s">
        <v>86</v>
      </c>
      <c r="I9" s="54" t="s">
        <v>44</v>
      </c>
    </row>
    <row r="10" spans="1:9" ht="5.0999999999999996" customHeight="1">
      <c r="A10" s="37"/>
      <c r="B10" s="66"/>
      <c r="C10" s="66"/>
      <c r="D10" s="66"/>
      <c r="E10" s="66"/>
      <c r="F10" s="66"/>
      <c r="G10" s="66"/>
      <c r="H10" s="66"/>
      <c r="I10" s="66"/>
    </row>
    <row r="11" spans="1:9" ht="14.1" customHeight="1">
      <c r="A11" s="360" t="s">
        <v>230</v>
      </c>
      <c r="B11" s="361">
        <v>0</v>
      </c>
      <c r="C11" s="362">
        <f>B11/'- 3 -'!$D11*100</f>
        <v>0</v>
      </c>
      <c r="D11" s="411" t="str">
        <f>IF(E11=0,"",B11/E11)</f>
        <v/>
      </c>
      <c r="E11" s="412">
        <f>SUM('- 6 -'!$E11:H11)</f>
        <v>0</v>
      </c>
      <c r="F11" s="362" t="str">
        <f>IF(E11=0,"",'- 6 -'!$E11/E11*100)</f>
        <v/>
      </c>
      <c r="G11" s="362" t="str">
        <f>IF(E11=0,"",'- 6 -'!$F11/E11*100)</f>
        <v/>
      </c>
      <c r="H11" s="362" t="str">
        <f>IF(E11=0,"",'- 6 -'!$G11/E11*100)</f>
        <v/>
      </c>
      <c r="I11" s="362" t="str">
        <f>IF(E11=0,"",'- 6 -'!$H11/E11*100)</f>
        <v/>
      </c>
    </row>
    <row r="12" spans="1:9" ht="14.1" customHeight="1">
      <c r="A12" s="23" t="s">
        <v>231</v>
      </c>
      <c r="B12" s="24">
        <v>0</v>
      </c>
      <c r="C12" s="353">
        <f>B12/'- 3 -'!$D12*100</f>
        <v>0</v>
      </c>
      <c r="D12" s="228" t="str">
        <f t="shared" ref="D12:D46" si="0">IF(E12=0,"",B12/E12)</f>
        <v/>
      </c>
      <c r="E12" s="229">
        <f>SUM('- 6 -'!$E12:H12)</f>
        <v>0</v>
      </c>
      <c r="F12" s="353" t="str">
        <f>IF(E12=0,"",'- 6 -'!$E12/E12*100)</f>
        <v/>
      </c>
      <c r="G12" s="353" t="str">
        <f>IF(E12=0,"",'- 6 -'!$F12/E12*100)</f>
        <v/>
      </c>
      <c r="H12" s="353" t="str">
        <f>IF(E12=0,"",'- 6 -'!$G12/E12*100)</f>
        <v/>
      </c>
      <c r="I12" s="353" t="str">
        <f>IF(E12=0,"",'- 6 -'!$H12/E12*100)</f>
        <v/>
      </c>
    </row>
    <row r="13" spans="1:9" ht="14.1" customHeight="1">
      <c r="A13" s="360" t="s">
        <v>232</v>
      </c>
      <c r="B13" s="361">
        <v>6765700</v>
      </c>
      <c r="C13" s="362">
        <f>B13/'- 3 -'!$D13*100</f>
        <v>7.8337630939989049</v>
      </c>
      <c r="D13" s="411">
        <f t="shared" si="0"/>
        <v>4486.5384615384619</v>
      </c>
      <c r="E13" s="412">
        <f>SUM('- 6 -'!$E13:H13)</f>
        <v>1508</v>
      </c>
      <c r="F13" s="362">
        <f>IF(E13=0,"",'- 6 -'!$E13/E13*100)</f>
        <v>75.9946949602122</v>
      </c>
      <c r="G13" s="362">
        <f>IF(E13=0,"",'- 6 -'!$F13/E13*100)</f>
        <v>0</v>
      </c>
      <c r="H13" s="362">
        <f>IF(E13=0,"",'- 6 -'!$G13/E13*100)</f>
        <v>24.005305039787796</v>
      </c>
      <c r="I13" s="362">
        <f>IF(E13=0,"",'- 6 -'!$H13/E13*100)</f>
        <v>0</v>
      </c>
    </row>
    <row r="14" spans="1:9" ht="14.1" customHeight="1">
      <c r="A14" s="23" t="s">
        <v>578</v>
      </c>
      <c r="B14" s="24">
        <v>0</v>
      </c>
      <c r="C14" s="353">
        <f>B14/'- 3 -'!$D14*100</f>
        <v>0</v>
      </c>
      <c r="D14" s="228" t="str">
        <f t="shared" si="0"/>
        <v/>
      </c>
      <c r="E14" s="229">
        <f>SUM('- 6 -'!$E14:H14)</f>
        <v>0</v>
      </c>
      <c r="F14" s="353" t="str">
        <f>IF(E14=0,"",'- 6 -'!$E14/E14*100)</f>
        <v/>
      </c>
      <c r="G14" s="353" t="str">
        <f>IF(E14=0,"",'- 6 -'!$F14/E14*100)</f>
        <v/>
      </c>
      <c r="H14" s="353" t="str">
        <f>IF(E14=0,"",'- 6 -'!$G14/E14*100)</f>
        <v/>
      </c>
      <c r="I14" s="353" t="str">
        <f>IF(E14=0,"",'- 6 -'!$H14/E14*100)</f>
        <v/>
      </c>
    </row>
    <row r="15" spans="1:9" ht="14.1" customHeight="1">
      <c r="A15" s="360" t="s">
        <v>233</v>
      </c>
      <c r="B15" s="361">
        <v>0</v>
      </c>
      <c r="C15" s="362">
        <f>B15/'- 3 -'!$D15*100</f>
        <v>0</v>
      </c>
      <c r="D15" s="411" t="str">
        <f t="shared" si="0"/>
        <v/>
      </c>
      <c r="E15" s="412">
        <f>SUM('- 6 -'!$E15:H15)</f>
        <v>0</v>
      </c>
      <c r="F15" s="362" t="str">
        <f>IF(E15=0,"",'- 6 -'!$E15/E15*100)</f>
        <v/>
      </c>
      <c r="G15" s="362" t="str">
        <f>IF(E15=0,"",'- 6 -'!$F15/E15*100)</f>
        <v/>
      </c>
      <c r="H15" s="362" t="str">
        <f>IF(E15=0,"",'- 6 -'!$G15/E15*100)</f>
        <v/>
      </c>
      <c r="I15" s="362" t="str">
        <f>IF(E15=0,"",'- 6 -'!$H15/E15*100)</f>
        <v/>
      </c>
    </row>
    <row r="16" spans="1:9" ht="14.1" customHeight="1">
      <c r="A16" s="23" t="s">
        <v>234</v>
      </c>
      <c r="B16" s="24">
        <v>2025652</v>
      </c>
      <c r="C16" s="353">
        <f>B16/'- 3 -'!$D16*100</f>
        <v>15.468120461615634</v>
      </c>
      <c r="D16" s="228">
        <f t="shared" si="0"/>
        <v>5121.7496839443738</v>
      </c>
      <c r="E16" s="229">
        <f>SUM('- 6 -'!$E16:H16)</f>
        <v>395.5</v>
      </c>
      <c r="F16" s="353">
        <f>IF(E16=0,"",'- 6 -'!$E16/E16*100)</f>
        <v>76.611883691529712</v>
      </c>
      <c r="G16" s="353">
        <f>IF(E16=0,"",'- 6 -'!$F16/E16*100)</f>
        <v>0</v>
      </c>
      <c r="H16" s="353">
        <f>IF(E16=0,"",'- 6 -'!$G16/E16*100)</f>
        <v>23.388116308470291</v>
      </c>
      <c r="I16" s="353">
        <f>IF(E16=0,"",'- 6 -'!$H16/E16*100)</f>
        <v>0</v>
      </c>
    </row>
    <row r="17" spans="1:9" ht="14.1" customHeight="1">
      <c r="A17" s="360" t="s">
        <v>235</v>
      </c>
      <c r="B17" s="361">
        <v>0</v>
      </c>
      <c r="C17" s="362">
        <f>B17/'- 3 -'!$D17*100</f>
        <v>0</v>
      </c>
      <c r="D17" s="411" t="str">
        <f t="shared" si="0"/>
        <v/>
      </c>
      <c r="E17" s="412">
        <f>SUM('- 6 -'!$E17:H17)</f>
        <v>0</v>
      </c>
      <c r="F17" s="362" t="str">
        <f>IF(E17=0,"",'- 6 -'!$E17/E17*100)</f>
        <v/>
      </c>
      <c r="G17" s="362" t="str">
        <f>IF(E17=0,"",'- 6 -'!$F17/E17*100)</f>
        <v/>
      </c>
      <c r="H17" s="362" t="str">
        <f>IF(E17=0,"",'- 6 -'!$G17/E17*100)</f>
        <v/>
      </c>
      <c r="I17" s="362" t="str">
        <f>IF(E17=0,"",'- 6 -'!$H17/E17*100)</f>
        <v/>
      </c>
    </row>
    <row r="18" spans="1:9" ht="14.1" customHeight="1">
      <c r="A18" s="23" t="s">
        <v>236</v>
      </c>
      <c r="B18" s="24">
        <v>0</v>
      </c>
      <c r="C18" s="353">
        <f>B18/'- 3 -'!$D18*100</f>
        <v>0</v>
      </c>
      <c r="D18" s="228" t="str">
        <f t="shared" si="0"/>
        <v/>
      </c>
      <c r="E18" s="229">
        <f>SUM('- 6 -'!$E18:H18)</f>
        <v>0</v>
      </c>
      <c r="F18" s="353" t="str">
        <f>IF(E18=0,"",'- 6 -'!$E18/E18*100)</f>
        <v/>
      </c>
      <c r="G18" s="353" t="str">
        <f>IF(E18=0,"",'- 6 -'!$F18/E18*100)</f>
        <v/>
      </c>
      <c r="H18" s="353" t="str">
        <f>IF(E18=0,"",'- 6 -'!$G18/E18*100)</f>
        <v/>
      </c>
      <c r="I18" s="353" t="str">
        <f>IF(E18=0,"",'- 6 -'!$H18/E18*100)</f>
        <v/>
      </c>
    </row>
    <row r="19" spans="1:9" ht="14.1" customHeight="1">
      <c r="A19" s="360" t="s">
        <v>237</v>
      </c>
      <c r="B19" s="361">
        <v>0</v>
      </c>
      <c r="C19" s="362">
        <f>B19/'- 3 -'!$D19*100</f>
        <v>0</v>
      </c>
      <c r="D19" s="411" t="str">
        <f t="shared" si="0"/>
        <v/>
      </c>
      <c r="E19" s="412">
        <f>SUM('- 6 -'!$E19:H19)</f>
        <v>0</v>
      </c>
      <c r="F19" s="362" t="str">
        <f>IF(E19=0,"",'- 6 -'!$E19/E19*100)</f>
        <v/>
      </c>
      <c r="G19" s="362" t="str">
        <f>IF(E19=0,"",'- 6 -'!$F19/E19*100)</f>
        <v/>
      </c>
      <c r="H19" s="362" t="str">
        <f>IF(E19=0,"",'- 6 -'!$G19/E19*100)</f>
        <v/>
      </c>
      <c r="I19" s="362" t="str">
        <f>IF(E19=0,"",'- 6 -'!$H19/E19*100)</f>
        <v/>
      </c>
    </row>
    <row r="20" spans="1:9" ht="14.1" customHeight="1">
      <c r="A20" s="23" t="s">
        <v>238</v>
      </c>
      <c r="B20" s="24">
        <v>0</v>
      </c>
      <c r="C20" s="353">
        <f>B20/'- 3 -'!$D20*100</f>
        <v>0</v>
      </c>
      <c r="D20" s="228" t="str">
        <f t="shared" si="0"/>
        <v/>
      </c>
      <c r="E20" s="229">
        <f>SUM('- 6 -'!$E20:H20)</f>
        <v>0</v>
      </c>
      <c r="F20" s="353" t="str">
        <f>IF(E20=0,"",'- 6 -'!$E20/E20*100)</f>
        <v/>
      </c>
      <c r="G20" s="353" t="str">
        <f>IF(E20=0,"",'- 6 -'!$F20/E20*100)</f>
        <v/>
      </c>
      <c r="H20" s="353" t="str">
        <f>IF(E20=0,"",'- 6 -'!$G20/E20*100)</f>
        <v/>
      </c>
      <c r="I20" s="353" t="str">
        <f>IF(E20=0,"",'- 6 -'!$H20/E20*100)</f>
        <v/>
      </c>
    </row>
    <row r="21" spans="1:9" ht="14.1" customHeight="1">
      <c r="A21" s="360" t="s">
        <v>239</v>
      </c>
      <c r="B21" s="361">
        <v>1863672</v>
      </c>
      <c r="C21" s="362">
        <f>B21/'- 3 -'!$D21*100</f>
        <v>5.4736370822177189</v>
      </c>
      <c r="D21" s="411">
        <f t="shared" si="0"/>
        <v>5588.2218890554723</v>
      </c>
      <c r="E21" s="412">
        <f>SUM('- 6 -'!$E21:H21)</f>
        <v>333.5</v>
      </c>
      <c r="F21" s="362">
        <f>IF(E21=0,"",'- 6 -'!$E21/E21*100)</f>
        <v>62.368815592203894</v>
      </c>
      <c r="G21" s="362">
        <f>IF(E21=0,"",'- 6 -'!$F21/E21*100)</f>
        <v>0</v>
      </c>
      <c r="H21" s="362">
        <f>IF(E21=0,"",'- 6 -'!$G21/E21*100)</f>
        <v>37.631184407796106</v>
      </c>
      <c r="I21" s="362">
        <f>IF(E21=0,"",'- 6 -'!$H21/E21*100)</f>
        <v>0</v>
      </c>
    </row>
    <row r="22" spans="1:9" ht="14.1" customHeight="1">
      <c r="A22" s="23" t="s">
        <v>240</v>
      </c>
      <c r="B22" s="24">
        <v>4129055</v>
      </c>
      <c r="C22" s="353">
        <f>B22/'- 3 -'!$D22*100</f>
        <v>20.735472230656132</v>
      </c>
      <c r="D22" s="228">
        <f t="shared" si="0"/>
        <v>5840.2475247524753</v>
      </c>
      <c r="E22" s="229">
        <f>SUM('- 6 -'!$E22:H22)</f>
        <v>707</v>
      </c>
      <c r="F22" s="353">
        <f>IF(E22=0,"",'- 6 -'!$E22/E22*100)</f>
        <v>76.803394625176807</v>
      </c>
      <c r="G22" s="353">
        <f>IF(E22=0,"",'- 6 -'!$F22/E22*100)</f>
        <v>0</v>
      </c>
      <c r="H22" s="353">
        <f>IF(E22=0,"",'- 6 -'!$G22/E22*100)</f>
        <v>23.196605374823196</v>
      </c>
      <c r="I22" s="353">
        <f>IF(E22=0,"",'- 6 -'!$H22/E22*100)</f>
        <v>0</v>
      </c>
    </row>
    <row r="23" spans="1:9" ht="14.1" customHeight="1">
      <c r="A23" s="360" t="s">
        <v>241</v>
      </c>
      <c r="B23" s="361">
        <v>0</v>
      </c>
      <c r="C23" s="362">
        <f>B23/'- 3 -'!$D23*100</f>
        <v>0</v>
      </c>
      <c r="D23" s="411" t="str">
        <f t="shared" si="0"/>
        <v/>
      </c>
      <c r="E23" s="412">
        <f>SUM('- 6 -'!$E23:H23)</f>
        <v>0</v>
      </c>
      <c r="F23" s="362" t="str">
        <f>IF(E23=0,"",'- 6 -'!$E23/E23*100)</f>
        <v/>
      </c>
      <c r="G23" s="362" t="str">
        <f>IF(E23=0,"",'- 6 -'!$F23/E23*100)</f>
        <v/>
      </c>
      <c r="H23" s="362" t="str">
        <f>IF(E23=0,"",'- 6 -'!$G23/E23*100)</f>
        <v/>
      </c>
      <c r="I23" s="362" t="str">
        <f>IF(E23=0,"",'- 6 -'!$H23/E23*100)</f>
        <v/>
      </c>
    </row>
    <row r="24" spans="1:9" ht="14.1" customHeight="1">
      <c r="A24" s="23" t="s">
        <v>242</v>
      </c>
      <c r="B24" s="24">
        <v>3864095</v>
      </c>
      <c r="C24" s="353">
        <f>B24/'- 3 -'!$D24*100</f>
        <v>7.3229031906245652</v>
      </c>
      <c r="D24" s="228">
        <f t="shared" si="0"/>
        <v>5881.4231354642316</v>
      </c>
      <c r="E24" s="229">
        <f>SUM('- 6 -'!$E24:H24)</f>
        <v>657</v>
      </c>
      <c r="F24" s="353">
        <f>IF(E24=0,"",'- 6 -'!$E24/E24*100)</f>
        <v>74.80974124809741</v>
      </c>
      <c r="G24" s="353">
        <f>IF(E24=0,"",'- 6 -'!$F24/E24*100)</f>
        <v>0</v>
      </c>
      <c r="H24" s="353">
        <f>IF(E24=0,"",'- 6 -'!$G24/E24*100)</f>
        <v>16.133942161339419</v>
      </c>
      <c r="I24" s="353">
        <f>IF(E24=0,"",'- 6 -'!$H24/E24*100)</f>
        <v>9.0563165905631653</v>
      </c>
    </row>
    <row r="25" spans="1:9" ht="14.1" customHeight="1">
      <c r="A25" s="360" t="s">
        <v>243</v>
      </c>
      <c r="B25" s="361">
        <v>756842</v>
      </c>
      <c r="C25" s="362">
        <f>B25/'- 3 -'!$D25*100</f>
        <v>0.48875100406183919</v>
      </c>
      <c r="D25" s="411">
        <f t="shared" si="0"/>
        <v>5274.160278745645</v>
      </c>
      <c r="E25" s="412">
        <f>SUM('- 6 -'!$E25:H25)</f>
        <v>143.5</v>
      </c>
      <c r="F25" s="362">
        <f>IF(E25=0,"",'- 6 -'!$E25/E25*100)</f>
        <v>0</v>
      </c>
      <c r="G25" s="362">
        <f>IF(E25=0,"",'- 6 -'!$F25/E25*100)</f>
        <v>17.421602787456447</v>
      </c>
      <c r="H25" s="362">
        <f>IF(E25=0,"",'- 6 -'!$G25/E25*100)</f>
        <v>82.57839721254355</v>
      </c>
      <c r="I25" s="362">
        <f>IF(E25=0,"",'- 6 -'!$H25/E25*100)</f>
        <v>0</v>
      </c>
    </row>
    <row r="26" spans="1:9" ht="14.1" customHeight="1">
      <c r="A26" s="23" t="s">
        <v>244</v>
      </c>
      <c r="B26" s="24">
        <v>1815065</v>
      </c>
      <c r="C26" s="353">
        <f>B26/'- 3 -'!$D26*100</f>
        <v>4.7836675046877604</v>
      </c>
      <c r="D26" s="228">
        <f t="shared" si="0"/>
        <v>5817.5160256410254</v>
      </c>
      <c r="E26" s="229">
        <f>SUM('- 6 -'!$E26:H26)</f>
        <v>312</v>
      </c>
      <c r="F26" s="353">
        <f>IF(E26=0,"",'- 6 -'!$E26/E26*100)</f>
        <v>65.064102564102569</v>
      </c>
      <c r="G26" s="353">
        <f>IF(E26=0,"",'- 6 -'!$F26/E26*100)</f>
        <v>0</v>
      </c>
      <c r="H26" s="353">
        <f>IF(E26=0,"",'- 6 -'!$G26/E26*100)</f>
        <v>11.217948717948719</v>
      </c>
      <c r="I26" s="353">
        <f>IF(E26=0,"",'- 6 -'!$H26/E26*100)</f>
        <v>23.717948717948715</v>
      </c>
    </row>
    <row r="27" spans="1:9" ht="14.1" customHeight="1">
      <c r="A27" s="360" t="s">
        <v>245</v>
      </c>
      <c r="B27" s="361">
        <v>2056730</v>
      </c>
      <c r="C27" s="362">
        <f>B27/'- 3 -'!$D27*100</f>
        <v>5.3452942955207856</v>
      </c>
      <c r="D27" s="411">
        <f t="shared" si="0"/>
        <v>6656.0841423948223</v>
      </c>
      <c r="E27" s="412">
        <f>SUM('- 6 -'!$E27:H27)</f>
        <v>309</v>
      </c>
      <c r="F27" s="362">
        <f>IF(E27=0,"",'- 6 -'!$E27/E27*100)</f>
        <v>28.478964401294498</v>
      </c>
      <c r="G27" s="362">
        <f>IF(E27=0,"",'- 6 -'!$F27/E27*100)</f>
        <v>0</v>
      </c>
      <c r="H27" s="362">
        <f>IF(E27=0,"",'- 6 -'!$G27/E27*100)</f>
        <v>71.52103559870551</v>
      </c>
      <c r="I27" s="362">
        <f>IF(E27=0,"",'- 6 -'!$H27/E27*100)</f>
        <v>0</v>
      </c>
    </row>
    <row r="28" spans="1:9" ht="14.1" customHeight="1">
      <c r="A28" s="23" t="s">
        <v>246</v>
      </c>
      <c r="B28" s="24">
        <v>0</v>
      </c>
      <c r="C28" s="353">
        <f>B28/'- 3 -'!$D28*100</f>
        <v>0</v>
      </c>
      <c r="D28" s="228" t="str">
        <f t="shared" si="0"/>
        <v/>
      </c>
      <c r="E28" s="229">
        <f>SUM('- 6 -'!$E28:H28)</f>
        <v>0</v>
      </c>
      <c r="F28" s="353" t="str">
        <f>IF(E28=0,"",'- 6 -'!$E28/E28*100)</f>
        <v/>
      </c>
      <c r="G28" s="353" t="str">
        <f>IF(E28=0,"",'- 6 -'!$F28/E28*100)</f>
        <v/>
      </c>
      <c r="H28" s="353" t="str">
        <f>IF(E28=0,"",'- 6 -'!$G28/E28*100)</f>
        <v/>
      </c>
      <c r="I28" s="353" t="str">
        <f>IF(E28=0,"",'- 6 -'!$H28/E28*100)</f>
        <v/>
      </c>
    </row>
    <row r="29" spans="1:9" ht="14.1" customHeight="1">
      <c r="A29" s="360" t="s">
        <v>247</v>
      </c>
      <c r="B29" s="361">
        <v>17785808</v>
      </c>
      <c r="C29" s="362">
        <f>B29/'- 3 -'!$D29*100</f>
        <v>12.523723491479711</v>
      </c>
      <c r="D29" s="411">
        <f t="shared" si="0"/>
        <v>6104.619186545392</v>
      </c>
      <c r="E29" s="412">
        <f>SUM('- 6 -'!$E29:H29)</f>
        <v>2913.5</v>
      </c>
      <c r="F29" s="362">
        <f>IF(E29=0,"",'- 6 -'!$E29/E29*100)</f>
        <v>67.358846747897715</v>
      </c>
      <c r="G29" s="362">
        <f>IF(E29=0,"",'- 6 -'!$F29/E29*100)</f>
        <v>0</v>
      </c>
      <c r="H29" s="362">
        <f>IF(E29=0,"",'- 6 -'!$G29/E29*100)</f>
        <v>32.641153252102285</v>
      </c>
      <c r="I29" s="362">
        <f>IF(E29=0,"",'- 6 -'!$H29/E29*100)</f>
        <v>0</v>
      </c>
    </row>
    <row r="30" spans="1:9" ht="14.1" customHeight="1">
      <c r="A30" s="23" t="s">
        <v>248</v>
      </c>
      <c r="B30" s="24">
        <v>0</v>
      </c>
      <c r="C30" s="353">
        <f>B30/'- 3 -'!$D30*100</f>
        <v>0</v>
      </c>
      <c r="D30" s="228" t="str">
        <f t="shared" si="0"/>
        <v/>
      </c>
      <c r="E30" s="229">
        <f>SUM('- 6 -'!$E30:H30)</f>
        <v>0</v>
      </c>
      <c r="F30" s="353" t="str">
        <f>IF(E30=0,"",'- 6 -'!$E30/E30*100)</f>
        <v/>
      </c>
      <c r="G30" s="353" t="str">
        <f>IF(E30=0,"",'- 6 -'!$F30/E30*100)</f>
        <v/>
      </c>
      <c r="H30" s="353" t="str">
        <f>IF(E30=0,"",'- 6 -'!$G30/E30*100)</f>
        <v/>
      </c>
      <c r="I30" s="353" t="str">
        <f>IF(E30=0,"",'- 6 -'!$H30/E30*100)</f>
        <v/>
      </c>
    </row>
    <row r="31" spans="1:9" ht="14.1" customHeight="1">
      <c r="A31" s="360" t="s">
        <v>249</v>
      </c>
      <c r="B31" s="361">
        <v>3030766</v>
      </c>
      <c r="C31" s="362">
        <f>B31/'- 3 -'!$D31*100</f>
        <v>9.0133412210371269</v>
      </c>
      <c r="D31" s="411">
        <f t="shared" si="0"/>
        <v>4163.1401098901097</v>
      </c>
      <c r="E31" s="412">
        <f>SUM('- 6 -'!$E31:H31)</f>
        <v>728</v>
      </c>
      <c r="F31" s="362">
        <f>IF(E31=0,"",'- 6 -'!$E31/E31*100)</f>
        <v>67.307692307692307</v>
      </c>
      <c r="G31" s="362">
        <f>IF(E31=0,"",'- 6 -'!$F31/E31*100)</f>
        <v>0</v>
      </c>
      <c r="H31" s="362">
        <f>IF(E31=0,"",'- 6 -'!$G31/E31*100)</f>
        <v>32.692307692307693</v>
      </c>
      <c r="I31" s="362">
        <f>IF(E31=0,"",'- 6 -'!$H31/E31*100)</f>
        <v>0</v>
      </c>
    </row>
    <row r="32" spans="1:9" ht="14.1" customHeight="1">
      <c r="A32" s="23" t="s">
        <v>250</v>
      </c>
      <c r="B32" s="24">
        <v>1220770</v>
      </c>
      <c r="C32" s="353">
        <f>B32/'- 3 -'!$D32*100</f>
        <v>4.7792333761548758</v>
      </c>
      <c r="D32" s="228">
        <f t="shared" si="0"/>
        <v>6858.2584269662921</v>
      </c>
      <c r="E32" s="229">
        <f>SUM('- 6 -'!$E32:H32)</f>
        <v>178</v>
      </c>
      <c r="F32" s="353">
        <f>IF(E32=0,"",'- 6 -'!$E32/E32*100)</f>
        <v>66.292134831460672</v>
      </c>
      <c r="G32" s="353">
        <f>IF(E32=0,"",'- 6 -'!$F32/E32*100)</f>
        <v>0</v>
      </c>
      <c r="H32" s="353">
        <f>IF(E32=0,"",'- 6 -'!$G32/E32*100)</f>
        <v>33.707865168539328</v>
      </c>
      <c r="I32" s="353">
        <f>IF(E32=0,"",'- 6 -'!$H32/E32*100)</f>
        <v>0</v>
      </c>
    </row>
    <row r="33" spans="1:9" ht="14.1" customHeight="1">
      <c r="A33" s="360" t="s">
        <v>251</v>
      </c>
      <c r="B33" s="361">
        <v>2068600</v>
      </c>
      <c r="C33" s="362">
        <f>B33/'- 3 -'!$D33*100</f>
        <v>7.8763902479886374</v>
      </c>
      <c r="D33" s="411">
        <f t="shared" si="0"/>
        <v>6608.9456869009582</v>
      </c>
      <c r="E33" s="412">
        <f>SUM('- 6 -'!$E33:H33)</f>
        <v>313</v>
      </c>
      <c r="F33" s="362">
        <f>IF(E33=0,"",'- 6 -'!$E33/E33*100)</f>
        <v>46.325878594249204</v>
      </c>
      <c r="G33" s="362">
        <f>IF(E33=0,"",'- 6 -'!$F33/E33*100)</f>
        <v>31.150159744408946</v>
      </c>
      <c r="H33" s="362">
        <f>IF(E33=0,"",'- 6 -'!$G33/E33*100)</f>
        <v>22.523961661341854</v>
      </c>
      <c r="I33" s="362">
        <f>IF(E33=0,"",'- 6 -'!$H33/E33*100)</f>
        <v>0</v>
      </c>
    </row>
    <row r="34" spans="1:9" ht="14.1" customHeight="1">
      <c r="A34" s="23" t="s">
        <v>252</v>
      </c>
      <c r="B34" s="24">
        <v>1078919</v>
      </c>
      <c r="C34" s="353">
        <f>B34/'- 3 -'!$D34*100</f>
        <v>4.2239146640976237</v>
      </c>
      <c r="D34" s="228">
        <f t="shared" si="0"/>
        <v>7466.5674740484428</v>
      </c>
      <c r="E34" s="229">
        <f>SUM('- 6 -'!$E34:H34)</f>
        <v>144.5</v>
      </c>
      <c r="F34" s="353">
        <f>IF(E34=0,"",'- 6 -'!$E34/E34*100)</f>
        <v>32.871972318339097</v>
      </c>
      <c r="G34" s="353">
        <f>IF(E34=0,"",'- 6 -'!$F34/E34*100)</f>
        <v>67.128027681660896</v>
      </c>
      <c r="H34" s="353">
        <f>IF(E34=0,"",'- 6 -'!$G34/E34*100)</f>
        <v>0</v>
      </c>
      <c r="I34" s="353">
        <f>IF(E34=0,"",'- 6 -'!$H34/E34*100)</f>
        <v>0</v>
      </c>
    </row>
    <row r="35" spans="1:9" ht="14.1" customHeight="1">
      <c r="A35" s="360" t="s">
        <v>253</v>
      </c>
      <c r="B35" s="361">
        <v>25429375</v>
      </c>
      <c r="C35" s="362">
        <f>B35/'- 3 -'!$D35*100</f>
        <v>15.177397338378917</v>
      </c>
      <c r="D35" s="411">
        <f t="shared" si="0"/>
        <v>5449.3464052287582</v>
      </c>
      <c r="E35" s="412">
        <f>SUM('- 6 -'!$E35:H35)</f>
        <v>4666.5</v>
      </c>
      <c r="F35" s="362">
        <f>IF(E35=0,"",'- 6 -'!$E35/E35*100)</f>
        <v>56.423443694417664</v>
      </c>
      <c r="G35" s="362">
        <f>IF(E35=0,"",'- 6 -'!$F35/E35*100)</f>
        <v>0</v>
      </c>
      <c r="H35" s="362">
        <f>IF(E35=0,"",'- 6 -'!$G35/E35*100)</f>
        <v>34.254794814100507</v>
      </c>
      <c r="I35" s="362">
        <f>IF(E35=0,"",'- 6 -'!$H35/E35*100)</f>
        <v>9.3217614914818387</v>
      </c>
    </row>
    <row r="36" spans="1:9" ht="14.1" customHeight="1">
      <c r="A36" s="23" t="s">
        <v>254</v>
      </c>
      <c r="B36" s="24">
        <v>0</v>
      </c>
      <c r="C36" s="353">
        <f>B36/'- 3 -'!$D36*100</f>
        <v>0</v>
      </c>
      <c r="D36" s="228" t="str">
        <f t="shared" si="0"/>
        <v/>
      </c>
      <c r="E36" s="229">
        <f>SUM('- 6 -'!$E36:H36)</f>
        <v>0</v>
      </c>
      <c r="F36" s="353" t="str">
        <f>IF(E36=0,"",'- 6 -'!$E36/E36*100)</f>
        <v/>
      </c>
      <c r="G36" s="353" t="str">
        <f>IF(E36=0,"",'- 6 -'!$F36/E36*100)</f>
        <v/>
      </c>
      <c r="H36" s="353" t="str">
        <f>IF(E36=0,"",'- 6 -'!$G36/E36*100)</f>
        <v/>
      </c>
      <c r="I36" s="353" t="str">
        <f>IF(E36=0,"",'- 6 -'!$H36/E36*100)</f>
        <v/>
      </c>
    </row>
    <row r="37" spans="1:9" ht="14.1" customHeight="1">
      <c r="A37" s="360" t="s">
        <v>255</v>
      </c>
      <c r="B37" s="361">
        <v>6103310</v>
      </c>
      <c r="C37" s="362">
        <f>B37/'- 3 -'!$D37*100</f>
        <v>14.648512362279655</v>
      </c>
      <c r="D37" s="411">
        <f t="shared" si="0"/>
        <v>5216.5042735042734</v>
      </c>
      <c r="E37" s="412">
        <f>SUM('- 6 -'!$E37:H37)</f>
        <v>1170</v>
      </c>
      <c r="F37" s="362">
        <f>IF(E37=0,"",'- 6 -'!$E37/E37*100)</f>
        <v>61.495726495726501</v>
      </c>
      <c r="G37" s="362">
        <f>IF(E37=0,"",'- 6 -'!$F37/E37*100)</f>
        <v>0</v>
      </c>
      <c r="H37" s="362">
        <f>IF(E37=0,"",'- 6 -'!$G37/E37*100)</f>
        <v>38.504273504273506</v>
      </c>
      <c r="I37" s="362">
        <f>IF(E37=0,"",'- 6 -'!$H37/E37*100)</f>
        <v>0</v>
      </c>
    </row>
    <row r="38" spans="1:9" ht="14.1" customHeight="1">
      <c r="A38" s="23" t="s">
        <v>256</v>
      </c>
      <c r="B38" s="24">
        <v>23574164</v>
      </c>
      <c r="C38" s="353">
        <f>B38/'- 3 -'!$D38*100</f>
        <v>20.097693171895887</v>
      </c>
      <c r="D38" s="228">
        <f t="shared" si="0"/>
        <v>5340.7711826008153</v>
      </c>
      <c r="E38" s="229">
        <f>SUM('- 6 -'!$E38:H38)</f>
        <v>4414</v>
      </c>
      <c r="F38" s="353">
        <f>IF(E38=0,"",'- 6 -'!$E38/E38*100)</f>
        <v>70.400996828273676</v>
      </c>
      <c r="G38" s="353">
        <f>IF(E38=0,"",'- 6 -'!$F38/E38*100)</f>
        <v>0</v>
      </c>
      <c r="H38" s="353">
        <f>IF(E38=0,"",'- 6 -'!$G38/E38*100)</f>
        <v>27.016311735387404</v>
      </c>
      <c r="I38" s="353">
        <f>IF(E38=0,"",'- 6 -'!$H38/E38*100)</f>
        <v>2.582691436338922</v>
      </c>
    </row>
    <row r="39" spans="1:9" ht="14.1" customHeight="1">
      <c r="A39" s="360" t="s">
        <v>257</v>
      </c>
      <c r="B39" s="361">
        <v>0</v>
      </c>
      <c r="C39" s="362">
        <f>B39/'- 3 -'!$D39*100</f>
        <v>0</v>
      </c>
      <c r="D39" s="411" t="str">
        <f t="shared" si="0"/>
        <v/>
      </c>
      <c r="E39" s="412">
        <f>SUM('- 6 -'!$E39:H39)</f>
        <v>0</v>
      </c>
      <c r="F39" s="362" t="str">
        <f>IF(E39=0,"",'- 6 -'!$E39/E39*100)</f>
        <v/>
      </c>
      <c r="G39" s="362" t="str">
        <f>IF(E39=0,"",'- 6 -'!$F39/E39*100)</f>
        <v/>
      </c>
      <c r="H39" s="362" t="str">
        <f>IF(E39=0,"",'- 6 -'!$G39/E39*100)</f>
        <v/>
      </c>
      <c r="I39" s="362" t="str">
        <f>IF(E39=0,"",'- 6 -'!$H39/E39*100)</f>
        <v/>
      </c>
    </row>
    <row r="40" spans="1:9" ht="14.1" customHeight="1">
      <c r="A40" s="23" t="s">
        <v>258</v>
      </c>
      <c r="B40" s="24">
        <v>8208645</v>
      </c>
      <c r="C40" s="353">
        <f>B40/'- 3 -'!$D40*100</f>
        <v>8.4431619279852406</v>
      </c>
      <c r="D40" s="228">
        <f t="shared" si="0"/>
        <v>5512.48740850178</v>
      </c>
      <c r="E40" s="229">
        <f>SUM('- 6 -'!$E40:H40)</f>
        <v>1489.1</v>
      </c>
      <c r="F40" s="353">
        <f>IF(E40=0,"",'- 6 -'!$E40/E40*100)</f>
        <v>62.232220804512792</v>
      </c>
      <c r="G40" s="353">
        <f>IF(E40=0,"",'- 6 -'!$F40/E40*100)</f>
        <v>0</v>
      </c>
      <c r="H40" s="353">
        <f>IF(E40=0,"",'- 6 -'!$G40/E40*100)</f>
        <v>37.767779195487208</v>
      </c>
      <c r="I40" s="353">
        <f>IF(E40=0,"",'- 6 -'!$H40/E40*100)</f>
        <v>0</v>
      </c>
    </row>
    <row r="41" spans="1:9" ht="14.1" customHeight="1">
      <c r="A41" s="360" t="s">
        <v>259</v>
      </c>
      <c r="B41" s="361">
        <v>13559109</v>
      </c>
      <c r="C41" s="362">
        <f>B41/'- 3 -'!$D41*100</f>
        <v>23.507792495771007</v>
      </c>
      <c r="D41" s="411">
        <f t="shared" si="0"/>
        <v>5816.863577863578</v>
      </c>
      <c r="E41" s="412">
        <f>SUM('- 6 -'!$E41:H41)</f>
        <v>2331</v>
      </c>
      <c r="F41" s="362">
        <f>IF(E41=0,"",'- 6 -'!$E41/E41*100)</f>
        <v>70.227370227370216</v>
      </c>
      <c r="G41" s="362">
        <f>IF(E41=0,"",'- 6 -'!$F41/E41*100)</f>
        <v>0</v>
      </c>
      <c r="H41" s="362">
        <f>IF(E41=0,"",'- 6 -'!$G41/E41*100)</f>
        <v>27.112827112827116</v>
      </c>
      <c r="I41" s="362">
        <f>IF(E41=0,"",'- 6 -'!$H41/E41*100)</f>
        <v>2.6598026598026596</v>
      </c>
    </row>
    <row r="42" spans="1:9" ht="14.1" customHeight="1">
      <c r="A42" s="23" t="s">
        <v>260</v>
      </c>
      <c r="B42" s="24">
        <v>1402588</v>
      </c>
      <c r="C42" s="353">
        <f>B42/'- 3 -'!$D42*100</f>
        <v>6.9518881704923281</v>
      </c>
      <c r="D42" s="228">
        <f t="shared" si="0"/>
        <v>5993.9658119658116</v>
      </c>
      <c r="E42" s="229">
        <f>SUM('- 6 -'!$E42:H42)</f>
        <v>234</v>
      </c>
      <c r="F42" s="353">
        <f>IF(E42=0,"",'- 6 -'!$E42/E42*100)</f>
        <v>69.230769230769226</v>
      </c>
      <c r="G42" s="353">
        <f>IF(E42=0,"",'- 6 -'!$F42/E42*100)</f>
        <v>0</v>
      </c>
      <c r="H42" s="353">
        <f>IF(E42=0,"",'- 6 -'!$G42/E42*100)</f>
        <v>30.76923076923077</v>
      </c>
      <c r="I42" s="353">
        <f>IF(E42=0,"",'- 6 -'!$H42/E42*100)</f>
        <v>0</v>
      </c>
    </row>
    <row r="43" spans="1:9" ht="14.1" customHeight="1">
      <c r="A43" s="360" t="s">
        <v>261</v>
      </c>
      <c r="B43" s="361">
        <v>0</v>
      </c>
      <c r="C43" s="362">
        <f>B43/'- 3 -'!$D43*100</f>
        <v>0</v>
      </c>
      <c r="D43" s="411" t="str">
        <f t="shared" si="0"/>
        <v/>
      </c>
      <c r="E43" s="412">
        <f>SUM('- 6 -'!$E43:H43)</f>
        <v>0</v>
      </c>
      <c r="F43" s="362" t="str">
        <f>IF(E43=0,"",'- 6 -'!$E43/E43*100)</f>
        <v/>
      </c>
      <c r="G43" s="362" t="str">
        <f>IF(E43=0,"",'- 6 -'!$F43/E43*100)</f>
        <v/>
      </c>
      <c r="H43" s="362" t="str">
        <f>IF(E43=0,"",'- 6 -'!$G43/E43*100)</f>
        <v/>
      </c>
      <c r="I43" s="362" t="str">
        <f>IF(E43=0,"",'- 6 -'!$H43/E43*100)</f>
        <v/>
      </c>
    </row>
    <row r="44" spans="1:9" ht="14.1" customHeight="1">
      <c r="A44" s="23" t="s">
        <v>262</v>
      </c>
      <c r="B44" s="24">
        <v>0</v>
      </c>
      <c r="C44" s="353">
        <f>B44/'- 3 -'!$D44*100</f>
        <v>0</v>
      </c>
      <c r="D44" s="228" t="str">
        <f t="shared" si="0"/>
        <v/>
      </c>
      <c r="E44" s="229">
        <f>SUM('- 6 -'!$E44:H44)</f>
        <v>0</v>
      </c>
      <c r="F44" s="353" t="str">
        <f>IF(E44=0,"",'- 6 -'!$E44/E44*100)</f>
        <v/>
      </c>
      <c r="G44" s="353" t="str">
        <f>IF(E44=0,"",'- 6 -'!$F44/E44*100)</f>
        <v/>
      </c>
      <c r="H44" s="353" t="str">
        <f>IF(E44=0,"",'- 6 -'!$G44/E44*100)</f>
        <v/>
      </c>
      <c r="I44" s="353" t="str">
        <f>IF(E44=0,"",'- 6 -'!$H44/E44*100)</f>
        <v/>
      </c>
    </row>
    <row r="45" spans="1:9" ht="14.1" customHeight="1">
      <c r="A45" s="360" t="s">
        <v>263</v>
      </c>
      <c r="B45" s="361">
        <v>4205501</v>
      </c>
      <c r="C45" s="362">
        <f>B45/'- 3 -'!$D45*100</f>
        <v>24.837409648074864</v>
      </c>
      <c r="D45" s="411">
        <f t="shared" si="0"/>
        <v>4735.9245495495497</v>
      </c>
      <c r="E45" s="412">
        <f>SUM('- 6 -'!$E45:H45)</f>
        <v>888</v>
      </c>
      <c r="F45" s="362">
        <f>IF(E45=0,"",'- 6 -'!$E45/E45*100)</f>
        <v>77.36486486486487</v>
      </c>
      <c r="G45" s="362">
        <f>IF(E45=0,"",'- 6 -'!$F45/E45*100)</f>
        <v>0</v>
      </c>
      <c r="H45" s="362">
        <f>IF(E45=0,"",'- 6 -'!$G45/E45*100)</f>
        <v>22.635135135135133</v>
      </c>
      <c r="I45" s="362">
        <f>IF(E45=0,"",'- 6 -'!$H45/E45*100)</f>
        <v>0</v>
      </c>
    </row>
    <row r="46" spans="1:9" ht="14.1" customHeight="1">
      <c r="A46" s="23" t="s">
        <v>264</v>
      </c>
      <c r="B46" s="24">
        <v>25672900</v>
      </c>
      <c r="C46" s="353">
        <f>B46/'- 3 -'!$D46*100</f>
        <v>7.1183464011077531</v>
      </c>
      <c r="D46" s="228">
        <f t="shared" si="0"/>
        <v>4535.8480565371028</v>
      </c>
      <c r="E46" s="229">
        <f>SUM('- 6 -'!$E46:H46)</f>
        <v>5660</v>
      </c>
      <c r="F46" s="353">
        <f>IF(E46=0,"",'- 6 -'!$E46/E46*100)</f>
        <v>57.402826855123678</v>
      </c>
      <c r="G46" s="353">
        <f>IF(E46=0,"",'- 6 -'!$F46/E46*100)</f>
        <v>0</v>
      </c>
      <c r="H46" s="353">
        <f>IF(E46=0,"",'- 6 -'!$G46/E46*100)</f>
        <v>39.664310954063602</v>
      </c>
      <c r="I46" s="353">
        <f>IF(E46=0,"",'- 6 -'!$H46/E46*100)</f>
        <v>2.9328621908127208</v>
      </c>
    </row>
    <row r="47" spans="1:9" ht="5.0999999999999996" customHeight="1">
      <c r="A47"/>
      <c r="B47"/>
      <c r="C47"/>
      <c r="D47"/>
      <c r="E47"/>
      <c r="F47"/>
      <c r="G47"/>
      <c r="H47"/>
      <c r="I47"/>
    </row>
    <row r="48" spans="1:9" ht="14.1" customHeight="1">
      <c r="A48" s="363" t="s">
        <v>265</v>
      </c>
      <c r="B48" s="364">
        <f>SUM(B11:B46)</f>
        <v>156617266</v>
      </c>
      <c r="C48" s="625">
        <f>B48/'- 3 -'!$D48*100</f>
        <v>7.52174825862713</v>
      </c>
      <c r="D48" s="626">
        <f>B48/E48</f>
        <v>5309.9418547487548</v>
      </c>
      <c r="E48" s="627">
        <f>SUM(E11:E46)</f>
        <v>29495.1</v>
      </c>
      <c r="F48" s="413">
        <f>IF(E48=0,"",'- 6 -'!$E48/E48*100)</f>
        <v>63.967235235683219</v>
      </c>
      <c r="G48" s="365">
        <f>IF(E48=0,"",'- 6 -'!$F48/E48*100)</f>
        <v>0.74419140806439044</v>
      </c>
      <c r="H48" s="365">
        <f>IF(E48=0,"",'- 6 -'!$G48/E48*100)</f>
        <v>32.201619930090082</v>
      </c>
      <c r="I48" s="365">
        <f>IF(E48=0,"",'- 6 -'!$H48/E48*100)</f>
        <v>3.0869534261623119</v>
      </c>
    </row>
    <row r="49" spans="1:9" ht="5.0999999999999996" customHeight="1">
      <c r="A49" s="25" t="s">
        <v>3</v>
      </c>
      <c r="B49" s="26"/>
      <c r="C49" s="351"/>
      <c r="D49" s="26"/>
      <c r="E49" s="230"/>
      <c r="F49" s="351"/>
      <c r="G49" s="351"/>
      <c r="H49" s="351"/>
      <c r="I49" s="351"/>
    </row>
    <row r="50" spans="1:9" ht="14.1" customHeight="1">
      <c r="A50" s="23" t="s">
        <v>266</v>
      </c>
      <c r="B50" s="24">
        <v>0</v>
      </c>
      <c r="C50" s="353">
        <f>B50/'- 3 -'!$D50*100</f>
        <v>0</v>
      </c>
      <c r="D50" s="228" t="str">
        <f>IF(E50=0,"",B50/E50)</f>
        <v/>
      </c>
      <c r="E50" s="229">
        <f>SUM('- 6 -'!$E50:H50)</f>
        <v>0</v>
      </c>
      <c r="F50" s="353" t="str">
        <f>IF(E50=0,"",'- 6 -'!$E50/E50*100)</f>
        <v/>
      </c>
      <c r="G50" s="353" t="str">
        <f>IF(E50=0,"",'- 6 -'!$F50/E50*100)</f>
        <v/>
      </c>
      <c r="H50" s="353" t="str">
        <f>IF(E50=0,"",'- 6 -'!$G50/E50*100)</f>
        <v/>
      </c>
      <c r="I50" s="353" t="str">
        <f>IF(E50=0,"",'- 6 -'!$H50/E50*100)</f>
        <v/>
      </c>
    </row>
    <row r="51" spans="1:9" ht="14.1" customHeight="1">
      <c r="A51" s="360" t="s">
        <v>267</v>
      </c>
      <c r="B51" s="361">
        <v>0</v>
      </c>
      <c r="C51" s="362">
        <f>B51/'- 3 -'!$D51*100</f>
        <v>0</v>
      </c>
      <c r="D51" s="411" t="str">
        <f>IF(E51=0,"",B51/E51)</f>
        <v/>
      </c>
      <c r="E51" s="412">
        <f>SUM('- 6 -'!$E51:H51)</f>
        <v>0</v>
      </c>
      <c r="F51" s="362" t="str">
        <f>IF(E51=0,"",'- 6 -'!$E51/E51*100)</f>
        <v/>
      </c>
      <c r="G51" s="362" t="str">
        <f>IF(E51=0,"",'- 6 -'!$F51/E51*100)</f>
        <v/>
      </c>
      <c r="H51" s="362" t="str">
        <f>IF(E51=0,"",'- 6 -'!$G51/E51*100)</f>
        <v/>
      </c>
      <c r="I51" s="362" t="str">
        <f>IF(E51=0,"",'- 6 -'!$H51/E51*100)</f>
        <v/>
      </c>
    </row>
    <row r="52" spans="1:9" ht="50.1" customHeight="1">
      <c r="A52" s="27"/>
      <c r="B52" s="71"/>
      <c r="C52" s="71"/>
      <c r="D52" s="71"/>
      <c r="E52" s="71"/>
      <c r="F52" s="71"/>
      <c r="G52" s="71"/>
      <c r="H52" s="71"/>
      <c r="I52" s="71"/>
    </row>
    <row r="53" spans="1:9" ht="15" customHeight="1">
      <c r="A53" s="66" t="s">
        <v>607</v>
      </c>
      <c r="C53" s="66"/>
      <c r="D53" s="66"/>
      <c r="E53" s="66"/>
      <c r="F53" s="66"/>
      <c r="G53" s="66"/>
      <c r="H53" s="66"/>
      <c r="I53" s="66"/>
    </row>
    <row r="54" spans="1:9" ht="14.45" customHeight="1"/>
    <row r="55" spans="1:9" ht="14.45" customHeight="1"/>
    <row r="56" spans="1:9" ht="14.45" customHeight="1"/>
    <row r="57" spans="1:9" ht="14.45" customHeight="1">
      <c r="A57" s="28"/>
    </row>
    <row r="58" spans="1:9" ht="14.45" customHeight="1"/>
    <row r="59" spans="1:9" ht="14.45" customHeight="1">
      <c r="A59" s="28"/>
    </row>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17.xml><?xml version="1.0" encoding="utf-8"?>
<worksheet xmlns="http://schemas.openxmlformats.org/spreadsheetml/2006/main" xmlns:r="http://schemas.openxmlformats.org/officeDocument/2006/relationships">
  <sheetPr codeName="Sheet16"/>
  <dimension ref="A1:J59"/>
  <sheetViews>
    <sheetView showGridLines="0" showZeros="0" workbookViewId="0"/>
  </sheetViews>
  <sheetFormatPr defaultColWidth="15.83203125" defaultRowHeight="12"/>
  <cols>
    <col min="1" max="1" width="31.83203125" style="1" customWidth="1"/>
    <col min="2" max="2" width="15.6640625" style="1" customWidth="1"/>
    <col min="3" max="3" width="7.83203125" style="1" customWidth="1"/>
    <col min="4" max="4" width="8.6640625" style="1" customWidth="1"/>
    <col min="5" max="5" width="13" style="1" customWidth="1"/>
    <col min="6" max="6" width="7.83203125" style="1" customWidth="1"/>
    <col min="7" max="7" width="9.83203125" style="1" customWidth="1"/>
    <col min="8" max="8" width="14.6640625" style="1" customWidth="1"/>
    <col min="9" max="9" width="7.83203125" style="1" customWidth="1"/>
    <col min="10" max="10" width="11.5" style="1" customWidth="1"/>
    <col min="11" max="16384" width="15.83203125" style="1"/>
  </cols>
  <sheetData>
    <row r="1" spans="1:10" ht="6.95" customHeight="1">
      <c r="A1" s="3"/>
      <c r="B1" s="4"/>
      <c r="C1" s="4"/>
      <c r="D1" s="4"/>
      <c r="E1" s="4"/>
      <c r="F1" s="4"/>
      <c r="G1" s="4"/>
      <c r="H1" s="4"/>
      <c r="I1" s="4"/>
      <c r="J1" s="4"/>
    </row>
    <row r="2" spans="1:10" ht="15.95" customHeight="1">
      <c r="A2" s="161"/>
      <c r="B2" s="5" t="s">
        <v>483</v>
      </c>
      <c r="C2" s="6"/>
      <c r="D2" s="6"/>
      <c r="E2" s="6"/>
      <c r="F2" s="6"/>
      <c r="G2" s="106"/>
      <c r="H2" s="106"/>
      <c r="I2" s="210"/>
      <c r="J2" s="184" t="s">
        <v>442</v>
      </c>
    </row>
    <row r="3" spans="1:10" ht="15.95" customHeight="1">
      <c r="A3" s="164"/>
      <c r="B3" s="7" t="str">
        <f>OPYEAR</f>
        <v>OPERATING FUND 2013/2014 BUDGET</v>
      </c>
      <c r="C3" s="8"/>
      <c r="D3" s="8"/>
      <c r="E3" s="8"/>
      <c r="F3" s="8"/>
      <c r="G3" s="108"/>
      <c r="H3" s="108"/>
      <c r="I3" s="108"/>
      <c r="J3" s="101"/>
    </row>
    <row r="4" spans="1:10" ht="15.95" customHeight="1">
      <c r="B4" s="4"/>
      <c r="C4" s="4"/>
      <c r="D4" s="101"/>
      <c r="E4" s="4"/>
      <c r="F4" s="4"/>
      <c r="G4" s="4"/>
      <c r="H4" s="4"/>
      <c r="I4" s="4"/>
      <c r="J4" s="4"/>
    </row>
    <row r="5" spans="1:10" ht="15.95" customHeight="1">
      <c r="B5" s="166" t="s">
        <v>447</v>
      </c>
      <c r="C5" s="186"/>
      <c r="D5" s="187"/>
      <c r="E5" s="187"/>
      <c r="F5" s="187"/>
      <c r="G5" s="187"/>
      <c r="H5" s="187"/>
      <c r="I5" s="187"/>
      <c r="J5" s="188"/>
    </row>
    <row r="6" spans="1:10" ht="15.95" customHeight="1">
      <c r="B6" s="354" t="s">
        <v>10</v>
      </c>
      <c r="C6" s="355"/>
      <c r="D6" s="356"/>
      <c r="E6" s="414"/>
      <c r="F6" s="415"/>
      <c r="G6" s="416"/>
      <c r="H6" s="354" t="s">
        <v>11</v>
      </c>
      <c r="I6" s="355"/>
      <c r="J6" s="356"/>
    </row>
    <row r="7" spans="1:10" ht="15.95" customHeight="1">
      <c r="B7" s="357" t="s">
        <v>34</v>
      </c>
      <c r="C7" s="358"/>
      <c r="D7" s="359"/>
      <c r="E7" s="357" t="s">
        <v>400</v>
      </c>
      <c r="F7" s="358"/>
      <c r="G7" s="359"/>
      <c r="H7" s="357" t="s">
        <v>35</v>
      </c>
      <c r="I7" s="358"/>
      <c r="J7" s="359"/>
    </row>
    <row r="8" spans="1:10" ht="15.95" customHeight="1">
      <c r="A8" s="102"/>
      <c r="B8" s="170"/>
      <c r="C8" s="169"/>
      <c r="D8" s="169" t="s">
        <v>60</v>
      </c>
      <c r="E8" s="170"/>
      <c r="F8" s="169"/>
      <c r="G8" s="169" t="s">
        <v>60</v>
      </c>
      <c r="H8" s="170"/>
      <c r="I8" s="169"/>
      <c r="J8" s="169" t="s">
        <v>60</v>
      </c>
    </row>
    <row r="9" spans="1:10" ht="15.95" customHeight="1">
      <c r="A9" s="35" t="s">
        <v>81</v>
      </c>
      <c r="B9" s="113" t="s">
        <v>82</v>
      </c>
      <c r="C9" s="113" t="s">
        <v>83</v>
      </c>
      <c r="D9" s="113" t="s">
        <v>84</v>
      </c>
      <c r="E9" s="113" t="s">
        <v>82</v>
      </c>
      <c r="F9" s="113" t="s">
        <v>83</v>
      </c>
      <c r="G9" s="113" t="s">
        <v>84</v>
      </c>
      <c r="H9" s="113" t="s">
        <v>82</v>
      </c>
      <c r="I9" s="113" t="s">
        <v>83</v>
      </c>
      <c r="J9" s="113" t="s">
        <v>84</v>
      </c>
    </row>
    <row r="10" spans="1:10" ht="5.0999999999999996" customHeight="1">
      <c r="A10" s="37"/>
    </row>
    <row r="11" spans="1:10" ht="14.1" customHeight="1">
      <c r="A11" s="360" t="s">
        <v>230</v>
      </c>
      <c r="B11" s="361">
        <v>140565</v>
      </c>
      <c r="C11" s="362">
        <f>B11/'- 3 -'!$D11*100</f>
        <v>0.83887195310266249</v>
      </c>
      <c r="D11" s="361">
        <f>B11/'- 7 -'!$F11</f>
        <v>91.782566111655242</v>
      </c>
      <c r="E11" s="361">
        <v>0</v>
      </c>
      <c r="F11" s="362">
        <f>E11/'- 3 -'!$D11*100</f>
        <v>0</v>
      </c>
      <c r="G11" s="361">
        <f>E11/'- 7 -'!$F11</f>
        <v>0</v>
      </c>
      <c r="H11" s="361">
        <v>124765</v>
      </c>
      <c r="I11" s="362">
        <f>H11/'- 3 -'!$D11*100</f>
        <v>0.74457979745209457</v>
      </c>
      <c r="J11" s="361">
        <f>H11/'- 7 -'!$F11</f>
        <v>81.465883121123085</v>
      </c>
    </row>
    <row r="12" spans="1:10" ht="14.1" customHeight="1">
      <c r="A12" s="23" t="s">
        <v>231</v>
      </c>
      <c r="B12" s="24">
        <v>286842</v>
      </c>
      <c r="C12" s="353">
        <f>B12/'- 3 -'!$D12*100</f>
        <v>0.92612126111497584</v>
      </c>
      <c r="D12" s="24">
        <f>B12/'- 7 -'!$F12</f>
        <v>125.91282208858257</v>
      </c>
      <c r="E12" s="24">
        <v>0</v>
      </c>
      <c r="F12" s="353">
        <f>E12/'- 3 -'!$D12*100</f>
        <v>0</v>
      </c>
      <c r="G12" s="24">
        <f>E12/'- 7 -'!$F12</f>
        <v>0</v>
      </c>
      <c r="H12" s="24">
        <v>592405</v>
      </c>
      <c r="I12" s="353">
        <f>H12/'- 3 -'!$D12*100</f>
        <v>1.9126866556878606</v>
      </c>
      <c r="J12" s="24">
        <f>H12/'- 7 -'!$F12</f>
        <v>260.0434572670207</v>
      </c>
    </row>
    <row r="13" spans="1:10" ht="14.1" customHeight="1">
      <c r="A13" s="360" t="s">
        <v>232</v>
      </c>
      <c r="B13" s="361">
        <v>127900</v>
      </c>
      <c r="C13" s="362">
        <f>B13/'- 3 -'!$D13*100</f>
        <v>0.14809085530284521</v>
      </c>
      <c r="D13" s="361">
        <f>B13/'- 7 -'!$F13</f>
        <v>15.821316843208152</v>
      </c>
      <c r="E13" s="361">
        <v>0</v>
      </c>
      <c r="F13" s="362">
        <f>E13/'- 3 -'!$D13*100</f>
        <v>0</v>
      </c>
      <c r="G13" s="361">
        <f>E13/'- 7 -'!$F13</f>
        <v>0</v>
      </c>
      <c r="H13" s="361">
        <v>1960200</v>
      </c>
      <c r="I13" s="362">
        <f>H13/'- 3 -'!$D13*100</f>
        <v>2.2696457745475933</v>
      </c>
      <c r="J13" s="361">
        <f>H13/'- 7 -'!$F13</f>
        <v>242.47807096213148</v>
      </c>
    </row>
    <row r="14" spans="1:10" ht="14.1" customHeight="1">
      <c r="A14" s="23" t="s">
        <v>578</v>
      </c>
      <c r="B14" s="24">
        <v>318478</v>
      </c>
      <c r="C14" s="353">
        <f>B14/'- 3 -'!$D14*100</f>
        <v>0.42481878759814279</v>
      </c>
      <c r="D14" s="24">
        <f>B14/'- 7 -'!$F14</f>
        <v>61.069606903163951</v>
      </c>
      <c r="E14" s="24">
        <v>0</v>
      </c>
      <c r="F14" s="353">
        <f>E14/'- 3 -'!$D14*100</f>
        <v>0</v>
      </c>
      <c r="G14" s="24">
        <f>E14/'- 7 -'!$F14</f>
        <v>0</v>
      </c>
      <c r="H14" s="24">
        <v>879009</v>
      </c>
      <c r="I14" s="353">
        <f>H14/'- 3 -'!$D14*100</f>
        <v>1.1725128193088874</v>
      </c>
      <c r="J14" s="24">
        <f>H14/'- 7 -'!$F14</f>
        <v>168.55397890699905</v>
      </c>
    </row>
    <row r="15" spans="1:10" ht="14.1" customHeight="1">
      <c r="A15" s="360" t="s">
        <v>233</v>
      </c>
      <c r="B15" s="361">
        <v>268150</v>
      </c>
      <c r="C15" s="362">
        <f>B15/'- 3 -'!$D15*100</f>
        <v>1.3722622178930302</v>
      </c>
      <c r="D15" s="361">
        <f>B15/'- 7 -'!$F15</f>
        <v>176.41447368421052</v>
      </c>
      <c r="E15" s="361">
        <v>0</v>
      </c>
      <c r="F15" s="362">
        <f>E15/'- 3 -'!$D15*100</f>
        <v>0</v>
      </c>
      <c r="G15" s="361">
        <f>E15/'- 7 -'!$F15</f>
        <v>0</v>
      </c>
      <c r="H15" s="361">
        <v>266100</v>
      </c>
      <c r="I15" s="362">
        <f>H15/'- 3 -'!$D15*100</f>
        <v>1.3617713077804785</v>
      </c>
      <c r="J15" s="361">
        <f>H15/'- 7 -'!$F15</f>
        <v>175.06578947368422</v>
      </c>
    </row>
    <row r="16" spans="1:10" ht="14.1" customHeight="1">
      <c r="A16" s="23" t="s">
        <v>234</v>
      </c>
      <c r="B16" s="24">
        <v>206304</v>
      </c>
      <c r="C16" s="353">
        <f>B16/'- 3 -'!$D16*100</f>
        <v>1.5753619692391148</v>
      </c>
      <c r="D16" s="24">
        <f>B16/'- 7 -'!$F16</f>
        <v>207.34070351758794</v>
      </c>
      <c r="E16" s="24">
        <v>0</v>
      </c>
      <c r="F16" s="353">
        <f>E16/'- 3 -'!$D16*100</f>
        <v>0</v>
      </c>
      <c r="G16" s="24">
        <f>E16/'- 7 -'!$F16</f>
        <v>0</v>
      </c>
      <c r="H16" s="24">
        <v>177413</v>
      </c>
      <c r="I16" s="353">
        <f>H16/'- 3 -'!$D16*100</f>
        <v>1.3547468446982081</v>
      </c>
      <c r="J16" s="24">
        <f>H16/'- 7 -'!$F16</f>
        <v>178.30452261306533</v>
      </c>
    </row>
    <row r="17" spans="1:10" ht="14.1" customHeight="1">
      <c r="A17" s="360" t="s">
        <v>235</v>
      </c>
      <c r="B17" s="361">
        <v>118845</v>
      </c>
      <c r="C17" s="362">
        <f>B17/'- 3 -'!$D17*100</f>
        <v>0.72089864205734022</v>
      </c>
      <c r="D17" s="361">
        <f>B17/'- 7 -'!$F17</f>
        <v>91.384083044982702</v>
      </c>
      <c r="E17" s="361">
        <v>0</v>
      </c>
      <c r="F17" s="362">
        <f>E17/'- 3 -'!$D17*100</f>
        <v>0</v>
      </c>
      <c r="G17" s="361">
        <f>E17/'- 7 -'!$F17</f>
        <v>0</v>
      </c>
      <c r="H17" s="361">
        <v>315040</v>
      </c>
      <c r="I17" s="362">
        <f>H17/'- 3 -'!$D17*100</f>
        <v>1.910992538127346</v>
      </c>
      <c r="J17" s="361">
        <f>H17/'- 7 -'!$F17</f>
        <v>242.24529027297194</v>
      </c>
    </row>
    <row r="18" spans="1:10" ht="14.1" customHeight="1">
      <c r="A18" s="23" t="s">
        <v>236</v>
      </c>
      <c r="B18" s="24">
        <v>0</v>
      </c>
      <c r="C18" s="353">
        <f>B18/'- 3 -'!$D18*100</f>
        <v>0</v>
      </c>
      <c r="D18" s="24">
        <f>B18/'- 7 -'!$F18</f>
        <v>0</v>
      </c>
      <c r="E18" s="24">
        <v>0</v>
      </c>
      <c r="F18" s="353">
        <f>E18/'- 3 -'!$D18*100</f>
        <v>0</v>
      </c>
      <c r="G18" s="24">
        <f>E18/'- 7 -'!$F18</f>
        <v>0</v>
      </c>
      <c r="H18" s="24">
        <v>3283727</v>
      </c>
      <c r="I18" s="353">
        <f>H18/'- 3 -'!$D18*100</f>
        <v>2.7551020673566535</v>
      </c>
      <c r="J18" s="24">
        <f>H18/'- 7 -'!$F18</f>
        <v>526.87156036903332</v>
      </c>
    </row>
    <row r="19" spans="1:10" ht="14.1" customHeight="1">
      <c r="A19" s="360" t="s">
        <v>237</v>
      </c>
      <c r="B19" s="361">
        <v>165300</v>
      </c>
      <c r="C19" s="362">
        <f>B19/'- 3 -'!$D19*100</f>
        <v>0.38079665285962044</v>
      </c>
      <c r="D19" s="361">
        <f>B19/'- 7 -'!$F19</f>
        <v>39.272986457590875</v>
      </c>
      <c r="E19" s="361">
        <v>0</v>
      </c>
      <c r="F19" s="362">
        <f>E19/'- 3 -'!$D19*100</f>
        <v>0</v>
      </c>
      <c r="G19" s="361">
        <f>E19/'- 7 -'!$F19</f>
        <v>0</v>
      </c>
      <c r="H19" s="361">
        <v>764350</v>
      </c>
      <c r="I19" s="362">
        <f>H19/'- 3 -'!$D19*100</f>
        <v>1.7608101730989165</v>
      </c>
      <c r="J19" s="361">
        <f>H19/'- 7 -'!$F19</f>
        <v>181.59895462105013</v>
      </c>
    </row>
    <row r="20" spans="1:10" ht="14.1" customHeight="1">
      <c r="A20" s="23" t="s">
        <v>238</v>
      </c>
      <c r="B20" s="24">
        <v>536000</v>
      </c>
      <c r="C20" s="353">
        <f>B20/'- 3 -'!$D20*100</f>
        <v>0.754120225898402</v>
      </c>
      <c r="D20" s="24">
        <f>B20/'- 7 -'!$F20</f>
        <v>71.09224749651834</v>
      </c>
      <c r="E20" s="24">
        <v>6000</v>
      </c>
      <c r="F20" s="353">
        <f>E20/'- 3 -'!$D20*100</f>
        <v>8.4416443197582319E-3</v>
      </c>
      <c r="G20" s="24">
        <f>E20/'- 7 -'!$F20</f>
        <v>0.79580874063266793</v>
      </c>
      <c r="H20" s="24">
        <v>1198200</v>
      </c>
      <c r="I20" s="353">
        <f>H20/'- 3 -'!$D20*100</f>
        <v>1.6857963706557189</v>
      </c>
      <c r="J20" s="24">
        <f>H20/'- 7 -'!$F20</f>
        <v>158.92300550434379</v>
      </c>
    </row>
    <row r="21" spans="1:10" ht="14.1" customHeight="1">
      <c r="A21" s="360" t="s">
        <v>239</v>
      </c>
      <c r="B21" s="361">
        <v>171000</v>
      </c>
      <c r="C21" s="362">
        <f>B21/'- 3 -'!$D21*100</f>
        <v>0.50222997451226936</v>
      </c>
      <c r="D21" s="361">
        <f>B21/'- 7 -'!$F21</f>
        <v>63.568773234200741</v>
      </c>
      <c r="E21" s="361">
        <v>0</v>
      </c>
      <c r="F21" s="362">
        <f>E21/'- 3 -'!$D21*100</f>
        <v>0</v>
      </c>
      <c r="G21" s="361">
        <f>E21/'- 7 -'!$F21</f>
        <v>0</v>
      </c>
      <c r="H21" s="361">
        <v>553566</v>
      </c>
      <c r="I21" s="362">
        <f>H21/'- 3 -'!$D21*100</f>
        <v>1.6258329711746133</v>
      </c>
      <c r="J21" s="361">
        <f>H21/'- 7 -'!$F21</f>
        <v>205.78661710037176</v>
      </c>
    </row>
    <row r="22" spans="1:10" ht="14.1" customHeight="1">
      <c r="A22" s="23" t="s">
        <v>240</v>
      </c>
      <c r="B22" s="24">
        <v>128940</v>
      </c>
      <c r="C22" s="353">
        <f>B22/'- 3 -'!$D22*100</f>
        <v>0.64751663260014747</v>
      </c>
      <c r="D22" s="24">
        <f>B22/'- 7 -'!$F22</f>
        <v>79.641754169240272</v>
      </c>
      <c r="E22" s="24">
        <v>0</v>
      </c>
      <c r="F22" s="353">
        <f>E22/'- 3 -'!$D22*100</f>
        <v>0</v>
      </c>
      <c r="G22" s="24">
        <f>E22/'- 7 -'!$F22</f>
        <v>0</v>
      </c>
      <c r="H22" s="24">
        <v>162495</v>
      </c>
      <c r="I22" s="353">
        <f>H22/'- 3 -'!$D22*100</f>
        <v>0.81602462551854316</v>
      </c>
      <c r="J22" s="24">
        <f>H22/'- 7 -'!$F22</f>
        <v>100.36751080914145</v>
      </c>
    </row>
    <row r="23" spans="1:10" ht="14.1" customHeight="1">
      <c r="A23" s="360" t="s">
        <v>241</v>
      </c>
      <c r="B23" s="361">
        <v>113900</v>
      </c>
      <c r="C23" s="362">
        <f>B23/'- 3 -'!$D23*100</f>
        <v>0.71080967400109085</v>
      </c>
      <c r="D23" s="361">
        <f>B23/'- 7 -'!$F23</f>
        <v>96.362098138747882</v>
      </c>
      <c r="E23" s="361">
        <v>0</v>
      </c>
      <c r="F23" s="362">
        <f>E23/'- 3 -'!$D23*100</f>
        <v>0</v>
      </c>
      <c r="G23" s="361">
        <f>E23/'- 7 -'!$F23</f>
        <v>0</v>
      </c>
      <c r="H23" s="361">
        <v>314500</v>
      </c>
      <c r="I23" s="362">
        <f>H23/'- 3 -'!$D23*100</f>
        <v>1.9626834282119674</v>
      </c>
      <c r="J23" s="361">
        <f>H23/'- 7 -'!$F23</f>
        <v>266.07445008460235</v>
      </c>
    </row>
    <row r="24" spans="1:10" ht="14.1" customHeight="1">
      <c r="A24" s="23" t="s">
        <v>242</v>
      </c>
      <c r="B24" s="24">
        <v>191160</v>
      </c>
      <c r="C24" s="353">
        <f>B24/'- 3 -'!$D24*100</f>
        <v>0.36227012377278295</v>
      </c>
      <c r="D24" s="24">
        <f>B24/'- 7 -'!$F24</f>
        <v>45.552245919218393</v>
      </c>
      <c r="E24" s="24">
        <v>0</v>
      </c>
      <c r="F24" s="353">
        <f>E24/'- 3 -'!$D24*100</f>
        <v>0</v>
      </c>
      <c r="G24" s="24">
        <f>E24/'- 7 -'!$F24</f>
        <v>0</v>
      </c>
      <c r="H24" s="24">
        <v>1321735</v>
      </c>
      <c r="I24" s="353">
        <f>H24/'- 3 -'!$D24*100</f>
        <v>2.5048394122453401</v>
      </c>
      <c r="J24" s="24">
        <f>H24/'- 7 -'!$F24</f>
        <v>314.96127725485525</v>
      </c>
    </row>
    <row r="25" spans="1:10" ht="14.1" customHeight="1">
      <c r="A25" s="360" t="s">
        <v>243</v>
      </c>
      <c r="B25" s="361">
        <v>1290353</v>
      </c>
      <c r="C25" s="362">
        <f>B25/'- 3 -'!$D25*100</f>
        <v>0.83328002984005434</v>
      </c>
      <c r="D25" s="361">
        <f>B25/'- 7 -'!$F25</f>
        <v>93.456435141594838</v>
      </c>
      <c r="E25" s="361">
        <v>0</v>
      </c>
      <c r="F25" s="362">
        <f>E25/'- 3 -'!$D25*100</f>
        <v>0</v>
      </c>
      <c r="G25" s="361">
        <f>E25/'- 7 -'!$F25</f>
        <v>0</v>
      </c>
      <c r="H25" s="361">
        <v>3081148</v>
      </c>
      <c r="I25" s="362">
        <f>H25/'- 3 -'!$D25*100</f>
        <v>1.9897338924942429</v>
      </c>
      <c r="J25" s="361">
        <f>H25/'- 7 -'!$F25</f>
        <v>223.15839791410156</v>
      </c>
    </row>
    <row r="26" spans="1:10" ht="14.1" customHeight="1">
      <c r="A26" s="23" t="s">
        <v>244</v>
      </c>
      <c r="B26" s="24">
        <v>184572</v>
      </c>
      <c r="C26" s="353">
        <f>B26/'- 3 -'!$D26*100</f>
        <v>0.48644598329824512</v>
      </c>
      <c r="D26" s="24">
        <f>B26/'- 7 -'!$F26</f>
        <v>59.761049052938318</v>
      </c>
      <c r="E26" s="24">
        <v>7650</v>
      </c>
      <c r="F26" s="353">
        <f>E26/'- 3 -'!$D26*100</f>
        <v>2.0161843466135573E-2</v>
      </c>
      <c r="G26" s="24">
        <f>E26/'- 7 -'!$F26</f>
        <v>2.4769305488101021</v>
      </c>
      <c r="H26" s="24">
        <v>569753</v>
      </c>
      <c r="I26" s="353">
        <f>H26/'- 3 -'!$D26*100</f>
        <v>1.5016040261909991</v>
      </c>
      <c r="J26" s="24">
        <f>H26/'- 7 -'!$F26</f>
        <v>184.47563542172577</v>
      </c>
    </row>
    <row r="27" spans="1:10" ht="14.1" customHeight="1">
      <c r="A27" s="360" t="s">
        <v>245</v>
      </c>
      <c r="B27" s="361">
        <v>186898</v>
      </c>
      <c r="C27" s="362">
        <f>B27/'- 3 -'!$D27*100</f>
        <v>0.48573454621863049</v>
      </c>
      <c r="D27" s="361">
        <f>B27/'- 7 -'!$F27</f>
        <v>67.938204289349329</v>
      </c>
      <c r="E27" s="361">
        <v>0</v>
      </c>
      <c r="F27" s="362">
        <f>E27/'- 3 -'!$D27*100</f>
        <v>0</v>
      </c>
      <c r="G27" s="361">
        <f>E27/'- 7 -'!$F27</f>
        <v>0</v>
      </c>
      <c r="H27" s="361">
        <v>541129</v>
      </c>
      <c r="I27" s="362">
        <f>H27/'- 3 -'!$D27*100</f>
        <v>1.4063556017760559</v>
      </c>
      <c r="J27" s="361">
        <f>H27/'- 7 -'!$F27</f>
        <v>196.70265358051617</v>
      </c>
    </row>
    <row r="28" spans="1:10" ht="14.1" customHeight="1">
      <c r="A28" s="23" t="s">
        <v>246</v>
      </c>
      <c r="B28" s="24">
        <v>135758</v>
      </c>
      <c r="C28" s="353">
        <f>B28/'- 3 -'!$D28*100</f>
        <v>0.52068315434010914</v>
      </c>
      <c r="D28" s="24">
        <f>B28/'- 7 -'!$F28</f>
        <v>68.738227848101261</v>
      </c>
      <c r="E28" s="24">
        <v>0</v>
      </c>
      <c r="F28" s="353">
        <f>E28/'- 3 -'!$D28*100</f>
        <v>0</v>
      </c>
      <c r="G28" s="24">
        <f>E28/'- 7 -'!$F28</f>
        <v>0</v>
      </c>
      <c r="H28" s="24">
        <v>380131</v>
      </c>
      <c r="I28" s="353">
        <f>H28/'- 3 -'!$D28*100</f>
        <v>1.4579458163972661</v>
      </c>
      <c r="J28" s="24">
        <f>H28/'- 7 -'!$F28</f>
        <v>192.47139240506328</v>
      </c>
    </row>
    <row r="29" spans="1:10" ht="14.1" customHeight="1">
      <c r="A29" s="360" t="s">
        <v>247</v>
      </c>
      <c r="B29" s="361">
        <v>558736</v>
      </c>
      <c r="C29" s="362">
        <f>B29/'- 3 -'!$D29*100</f>
        <v>0.39342914129824219</v>
      </c>
      <c r="D29" s="361">
        <f>B29/'- 7 -'!$F29</f>
        <v>46.22428128231644</v>
      </c>
      <c r="E29" s="361">
        <v>0</v>
      </c>
      <c r="F29" s="362">
        <f>E29/'- 3 -'!$D29*100</f>
        <v>0</v>
      </c>
      <c r="G29" s="361">
        <f>E29/'- 7 -'!$F29</f>
        <v>0</v>
      </c>
      <c r="H29" s="361">
        <v>2741386</v>
      </c>
      <c r="I29" s="362">
        <f>H29/'- 3 -'!$D29*100</f>
        <v>1.9303233368657524</v>
      </c>
      <c r="J29" s="361">
        <f>H29/'- 7 -'!$F29</f>
        <v>226.79511892450878</v>
      </c>
    </row>
    <row r="30" spans="1:10" ht="14.1" customHeight="1">
      <c r="A30" s="23" t="s">
        <v>248</v>
      </c>
      <c r="B30" s="24">
        <v>140045</v>
      </c>
      <c r="C30" s="353">
        <f>B30/'- 3 -'!$D30*100</f>
        <v>1.0408190278470091</v>
      </c>
      <c r="D30" s="24">
        <f>B30/'- 7 -'!$F30</f>
        <v>130.88317757009347</v>
      </c>
      <c r="E30" s="24">
        <v>0</v>
      </c>
      <c r="F30" s="353">
        <f>E30/'- 3 -'!$D30*100</f>
        <v>0</v>
      </c>
      <c r="G30" s="24">
        <f>E30/'- 7 -'!$F30</f>
        <v>0</v>
      </c>
      <c r="H30" s="24">
        <v>144900</v>
      </c>
      <c r="I30" s="353">
        <f>H30/'- 3 -'!$D30*100</f>
        <v>1.0769015468958665</v>
      </c>
      <c r="J30" s="24">
        <f>H30/'- 7 -'!$F30</f>
        <v>135.42056074766356</v>
      </c>
    </row>
    <row r="31" spans="1:10" ht="14.1" customHeight="1">
      <c r="A31" s="360" t="s">
        <v>249</v>
      </c>
      <c r="B31" s="361">
        <v>144042</v>
      </c>
      <c r="C31" s="362">
        <f>B31/'- 3 -'!$D31*100</f>
        <v>0.42837345283688338</v>
      </c>
      <c r="D31" s="361">
        <f>B31/'- 7 -'!$F31</f>
        <v>45.154231974921629</v>
      </c>
      <c r="E31" s="361">
        <v>6000</v>
      </c>
      <c r="F31" s="362">
        <f>E31/'- 3 -'!$D31*100</f>
        <v>1.7843689458777998E-2</v>
      </c>
      <c r="G31" s="361">
        <f>E31/'- 7 -'!$F31</f>
        <v>1.8808777429467085</v>
      </c>
      <c r="H31" s="361">
        <v>461456</v>
      </c>
      <c r="I31" s="362">
        <f>H31/'- 3 -'!$D31*100</f>
        <v>1.3723462604816434</v>
      </c>
      <c r="J31" s="361">
        <f>H31/'- 7 -'!$F31</f>
        <v>144.65705329153604</v>
      </c>
    </row>
    <row r="32" spans="1:10" ht="14.1" customHeight="1">
      <c r="A32" s="23" t="s">
        <v>250</v>
      </c>
      <c r="B32" s="24">
        <v>136800</v>
      </c>
      <c r="C32" s="353">
        <f>B32/'- 3 -'!$D32*100</f>
        <v>0.53556290362475079</v>
      </c>
      <c r="D32" s="24">
        <f>B32/'- 7 -'!$F32</f>
        <v>66.878513810804208</v>
      </c>
      <c r="E32" s="24">
        <v>0</v>
      </c>
      <c r="F32" s="353">
        <f>E32/'- 3 -'!$D32*100</f>
        <v>0</v>
      </c>
      <c r="G32" s="24">
        <f>E32/'- 7 -'!$F32</f>
        <v>0</v>
      </c>
      <c r="H32" s="24">
        <v>321700</v>
      </c>
      <c r="I32" s="353">
        <f>H32/'- 3 -'!$D32*100</f>
        <v>1.2594341088894907</v>
      </c>
      <c r="J32" s="24">
        <f>H32/'- 7 -'!$F32</f>
        <v>157.2720606208751</v>
      </c>
    </row>
    <row r="33" spans="1:10" ht="14.1" customHeight="1">
      <c r="A33" s="360" t="s">
        <v>251</v>
      </c>
      <c r="B33" s="361">
        <v>200500</v>
      </c>
      <c r="C33" s="362">
        <f>B33/'- 3 -'!$D33*100</f>
        <v>0.76342272296322244</v>
      </c>
      <c r="D33" s="361">
        <f>B33/'- 7 -'!$F33</f>
        <v>98.963474827245804</v>
      </c>
      <c r="E33" s="361">
        <v>0</v>
      </c>
      <c r="F33" s="362">
        <f>E33/'- 3 -'!$D33*100</f>
        <v>0</v>
      </c>
      <c r="G33" s="361">
        <f>E33/'- 7 -'!$F33</f>
        <v>0</v>
      </c>
      <c r="H33" s="361">
        <v>503800</v>
      </c>
      <c r="I33" s="362">
        <f>H33/'- 3 -'!$D33*100</f>
        <v>1.9182661737100821</v>
      </c>
      <c r="J33" s="361">
        <f>H33/'- 7 -'!$F33</f>
        <v>248.66732477788747</v>
      </c>
    </row>
    <row r="34" spans="1:10" ht="14.1" customHeight="1">
      <c r="A34" s="23" t="s">
        <v>252</v>
      </c>
      <c r="B34" s="24">
        <v>210558</v>
      </c>
      <c r="C34" s="353">
        <f>B34/'- 3 -'!$D34*100</f>
        <v>0.82432418359771908</v>
      </c>
      <c r="D34" s="24">
        <f>B34/'- 7 -'!$F34</f>
        <v>104.5279665602645</v>
      </c>
      <c r="E34" s="24">
        <v>0</v>
      </c>
      <c r="F34" s="353">
        <f>E34/'- 3 -'!$D34*100</f>
        <v>0</v>
      </c>
      <c r="G34" s="24">
        <f>E34/'- 7 -'!$F34</f>
        <v>0</v>
      </c>
      <c r="H34" s="24">
        <v>337932</v>
      </c>
      <c r="I34" s="353">
        <f>H34/'- 3 -'!$D34*100</f>
        <v>1.3229871104947066</v>
      </c>
      <c r="J34" s="24">
        <f>H34/'- 7 -'!$F34</f>
        <v>167.76063980301535</v>
      </c>
    </row>
    <row r="35" spans="1:10" ht="14.1" customHeight="1">
      <c r="A35" s="360" t="s">
        <v>253</v>
      </c>
      <c r="B35" s="361">
        <v>796900</v>
      </c>
      <c r="C35" s="362">
        <f>B35/'- 3 -'!$D35*100</f>
        <v>0.47562584369274352</v>
      </c>
      <c r="D35" s="361">
        <f>B35/'- 7 -'!$F35</f>
        <v>50.483038231288205</v>
      </c>
      <c r="E35" s="361">
        <v>0</v>
      </c>
      <c r="F35" s="362">
        <f>E35/'- 3 -'!$D35*100</f>
        <v>0</v>
      </c>
      <c r="G35" s="361">
        <f>E35/'- 7 -'!$F35</f>
        <v>0</v>
      </c>
      <c r="H35" s="361">
        <v>2883946</v>
      </c>
      <c r="I35" s="362">
        <f>H35/'- 3 -'!$D35*100</f>
        <v>1.7212689790617555</v>
      </c>
      <c r="J35" s="361">
        <f>H35/'- 7 -'!$F35</f>
        <v>182.6958917994362</v>
      </c>
    </row>
    <row r="36" spans="1:10" ht="14.1" customHeight="1">
      <c r="A36" s="23" t="s">
        <v>254</v>
      </c>
      <c r="B36" s="24">
        <v>163405</v>
      </c>
      <c r="C36" s="353">
        <f>B36/'- 3 -'!$D36*100</f>
        <v>0.75761334063414099</v>
      </c>
      <c r="D36" s="24">
        <f>B36/'- 7 -'!$F36</f>
        <v>97.351802204349127</v>
      </c>
      <c r="E36" s="24">
        <v>0</v>
      </c>
      <c r="F36" s="353">
        <f>E36/'- 3 -'!$D36*100</f>
        <v>0</v>
      </c>
      <c r="G36" s="24">
        <f>E36/'- 7 -'!$F36</f>
        <v>0</v>
      </c>
      <c r="H36" s="24">
        <v>268195</v>
      </c>
      <c r="I36" s="353">
        <f>H36/'- 3 -'!$D36*100</f>
        <v>1.24346323485434</v>
      </c>
      <c r="J36" s="24">
        <f>H36/'- 7 -'!$F36</f>
        <v>159.78254393803991</v>
      </c>
    </row>
    <row r="37" spans="1:10" ht="14.1" customHeight="1">
      <c r="A37" s="360" t="s">
        <v>255</v>
      </c>
      <c r="B37" s="361">
        <v>300677</v>
      </c>
      <c r="C37" s="362">
        <f>B37/'- 3 -'!$D37*100</f>
        <v>0.72165280012864497</v>
      </c>
      <c r="D37" s="361">
        <f>B37/'- 7 -'!$F37</f>
        <v>80.642885879039824</v>
      </c>
      <c r="E37" s="361">
        <v>0</v>
      </c>
      <c r="F37" s="362">
        <f>E37/'- 3 -'!$D37*100</f>
        <v>0</v>
      </c>
      <c r="G37" s="361">
        <f>E37/'- 7 -'!$F37</f>
        <v>0</v>
      </c>
      <c r="H37" s="361">
        <v>785424</v>
      </c>
      <c r="I37" s="362">
        <f>H37/'- 3 -'!$D37*100</f>
        <v>1.8850907415207709</v>
      </c>
      <c r="J37" s="361">
        <f>H37/'- 7 -'!$F37</f>
        <v>210.65415046265255</v>
      </c>
    </row>
    <row r="38" spans="1:10" ht="14.1" customHeight="1">
      <c r="A38" s="23" t="s">
        <v>256</v>
      </c>
      <c r="B38" s="24">
        <v>457830</v>
      </c>
      <c r="C38" s="353">
        <f>B38/'- 3 -'!$D38*100</f>
        <v>0.39031402618939509</v>
      </c>
      <c r="D38" s="24">
        <f>B38/'- 7 -'!$F38</f>
        <v>43.387983320697501</v>
      </c>
      <c r="E38" s="24">
        <v>0</v>
      </c>
      <c r="F38" s="353">
        <f>E38/'- 3 -'!$D38*100</f>
        <v>0</v>
      </c>
      <c r="G38" s="24">
        <f>E38/'- 7 -'!$F38</f>
        <v>0</v>
      </c>
      <c r="H38" s="24">
        <v>1738980</v>
      </c>
      <c r="I38" s="353">
        <f>H38/'- 3 -'!$D38*100</f>
        <v>1.482533440934046</v>
      </c>
      <c r="J38" s="24">
        <f>H38/'- 7 -'!$F38</f>
        <v>164.80098559514784</v>
      </c>
    </row>
    <row r="39" spans="1:10" ht="14.1" customHeight="1">
      <c r="A39" s="360" t="s">
        <v>257</v>
      </c>
      <c r="B39" s="361">
        <v>184517</v>
      </c>
      <c r="C39" s="362">
        <f>B39/'- 3 -'!$D39*100</f>
        <v>0.89793777538479524</v>
      </c>
      <c r="D39" s="361">
        <f>B39/'- 7 -'!$F39</f>
        <v>116.56159191408717</v>
      </c>
      <c r="E39" s="361">
        <v>45000</v>
      </c>
      <c r="F39" s="362">
        <f>E39/'- 3 -'!$D39*100</f>
        <v>0.21898903565696273</v>
      </c>
      <c r="G39" s="361">
        <f>E39/'- 7 -'!$F39</f>
        <v>28.427037271004423</v>
      </c>
      <c r="H39" s="361">
        <v>271607</v>
      </c>
      <c r="I39" s="362">
        <f>H39/'- 3 -'!$D39*100</f>
        <v>1.3217545557262373</v>
      </c>
      <c r="J39" s="361">
        <f>H39/'- 7 -'!$F39</f>
        <v>171.57738471257107</v>
      </c>
    </row>
    <row r="40" spans="1:10" ht="14.1" customHeight="1">
      <c r="A40" s="23" t="s">
        <v>258</v>
      </c>
      <c r="B40" s="24">
        <v>232971</v>
      </c>
      <c r="C40" s="353">
        <f>B40/'- 3 -'!$D40*100</f>
        <v>0.23962686625193921</v>
      </c>
      <c r="D40" s="24">
        <f>B40/'- 7 -'!$F40</f>
        <v>29.184486451952353</v>
      </c>
      <c r="E40" s="24">
        <v>0</v>
      </c>
      <c r="F40" s="353">
        <f>E40/'- 3 -'!$D40*100</f>
        <v>0</v>
      </c>
      <c r="G40" s="24">
        <f>E40/'- 7 -'!$F40</f>
        <v>0</v>
      </c>
      <c r="H40" s="24">
        <v>2021651</v>
      </c>
      <c r="I40" s="353">
        <f>H40/'- 3 -'!$D40*100</f>
        <v>2.0794085692429491</v>
      </c>
      <c r="J40" s="24">
        <f>H40/'- 7 -'!$F40</f>
        <v>253.25403685469831</v>
      </c>
    </row>
    <row r="41" spans="1:10" ht="14.1" customHeight="1">
      <c r="A41" s="360" t="s">
        <v>259</v>
      </c>
      <c r="B41" s="361">
        <v>323107</v>
      </c>
      <c r="C41" s="362">
        <f>B41/'- 3 -'!$D41*100</f>
        <v>0.56017930897458545</v>
      </c>
      <c r="D41" s="361">
        <f>B41/'- 7 -'!$F41</f>
        <v>72.657297054193833</v>
      </c>
      <c r="E41" s="361">
        <v>121533</v>
      </c>
      <c r="F41" s="362">
        <f>E41/'- 3 -'!$D41*100</f>
        <v>0.21070503566189619</v>
      </c>
      <c r="G41" s="361">
        <f>E41/'- 7 -'!$F41</f>
        <v>27.329210703845288</v>
      </c>
      <c r="H41" s="361">
        <v>1029395</v>
      </c>
      <c r="I41" s="362">
        <f>H41/'- 3 -'!$D41*100</f>
        <v>1.7846898388518151</v>
      </c>
      <c r="J41" s="361">
        <f>H41/'- 7 -'!$F41</f>
        <v>231.48077355520576</v>
      </c>
    </row>
    <row r="42" spans="1:10" ht="14.1" customHeight="1">
      <c r="A42" s="23" t="s">
        <v>260</v>
      </c>
      <c r="B42" s="24">
        <v>152301</v>
      </c>
      <c r="C42" s="353">
        <f>B42/'- 3 -'!$D42*100</f>
        <v>0.7548756443475575</v>
      </c>
      <c r="D42" s="24">
        <f>B42/'- 7 -'!$F42</f>
        <v>108.86418870621873</v>
      </c>
      <c r="E42" s="24">
        <v>0</v>
      </c>
      <c r="F42" s="353">
        <f>E42/'- 3 -'!$D42*100</f>
        <v>0</v>
      </c>
      <c r="G42" s="24">
        <f>E42/'- 7 -'!$F42</f>
        <v>0</v>
      </c>
      <c r="H42" s="24">
        <v>309285</v>
      </c>
      <c r="I42" s="353">
        <f>H42/'- 3 -'!$D42*100</f>
        <v>1.5329624471410845</v>
      </c>
      <c r="J42" s="24">
        <f>H42/'- 7 -'!$F42</f>
        <v>221.0757684060043</v>
      </c>
    </row>
    <row r="43" spans="1:10" ht="14.1" customHeight="1">
      <c r="A43" s="360" t="s">
        <v>261</v>
      </c>
      <c r="B43" s="361">
        <v>168510</v>
      </c>
      <c r="C43" s="362">
        <f>B43/'- 3 -'!$D43*100</f>
        <v>1.4094214020276064</v>
      </c>
      <c r="D43" s="361">
        <f>B43/'- 7 -'!$F43</f>
        <v>174.53133091662352</v>
      </c>
      <c r="E43" s="361">
        <v>0</v>
      </c>
      <c r="F43" s="362">
        <f>E43/'- 3 -'!$D43*100</f>
        <v>0</v>
      </c>
      <c r="G43" s="361">
        <f>E43/'- 7 -'!$F43</f>
        <v>0</v>
      </c>
      <c r="H43" s="361">
        <v>209767</v>
      </c>
      <c r="I43" s="362">
        <f>H43/'- 3 -'!$D43*100</f>
        <v>1.7544958711003791</v>
      </c>
      <c r="J43" s="361">
        <f>H43/'- 7 -'!$F43</f>
        <v>217.26255825996893</v>
      </c>
    </row>
    <row r="44" spans="1:10" ht="14.1" customHeight="1">
      <c r="A44" s="23" t="s">
        <v>262</v>
      </c>
      <c r="B44" s="24">
        <v>84746</v>
      </c>
      <c r="C44" s="353">
        <f>B44/'- 3 -'!$D44*100</f>
        <v>0.80415183976326166</v>
      </c>
      <c r="D44" s="24">
        <f>B44/'- 7 -'!$F44</f>
        <v>112.54448871181938</v>
      </c>
      <c r="E44" s="24">
        <v>0</v>
      </c>
      <c r="F44" s="353">
        <f>E44/'- 3 -'!$D44*100</f>
        <v>0</v>
      </c>
      <c r="G44" s="24">
        <f>E44/'- 7 -'!$F44</f>
        <v>0</v>
      </c>
      <c r="H44" s="24">
        <v>149365</v>
      </c>
      <c r="I44" s="353">
        <f>H44/'- 3 -'!$D44*100</f>
        <v>1.4173192781516484</v>
      </c>
      <c r="J44" s="24">
        <f>H44/'- 7 -'!$F44</f>
        <v>198.35989375830013</v>
      </c>
    </row>
    <row r="45" spans="1:10" ht="14.1" customHeight="1">
      <c r="A45" s="360" t="s">
        <v>263</v>
      </c>
      <c r="B45" s="361">
        <v>133571</v>
      </c>
      <c r="C45" s="362">
        <f>B45/'- 3 -'!$D45*100</f>
        <v>0.78886145648354566</v>
      </c>
      <c r="D45" s="361">
        <f>B45/'- 7 -'!$F45</f>
        <v>79.270623145400592</v>
      </c>
      <c r="E45" s="361">
        <v>0</v>
      </c>
      <c r="F45" s="362">
        <f>E45/'- 3 -'!$D45*100</f>
        <v>0</v>
      </c>
      <c r="G45" s="361">
        <f>E45/'- 7 -'!$F45</f>
        <v>0</v>
      </c>
      <c r="H45" s="361">
        <v>213136</v>
      </c>
      <c r="I45" s="362">
        <f>H45/'- 3 -'!$D45*100</f>
        <v>1.2587670631280519</v>
      </c>
      <c r="J45" s="361">
        <f>H45/'- 7 -'!$F45</f>
        <v>126.49020771513354</v>
      </c>
    </row>
    <row r="46" spans="1:10" ht="14.1" customHeight="1">
      <c r="A46" s="23" t="s">
        <v>264</v>
      </c>
      <c r="B46" s="24">
        <v>754800</v>
      </c>
      <c r="C46" s="353">
        <f>B46/'- 3 -'!$D46*100</f>
        <v>0.20928402570633359</v>
      </c>
      <c r="D46" s="24">
        <f>B46/'- 7 -'!$F46</f>
        <v>24.878048780487806</v>
      </c>
      <c r="E46" s="24">
        <v>70900</v>
      </c>
      <c r="F46" s="353">
        <f>E46/'- 3 -'!$D46*100</f>
        <v>1.9658502149680776E-2</v>
      </c>
      <c r="G46" s="24">
        <f>E46/'- 7 -'!$F46</f>
        <v>2.3368490441661174</v>
      </c>
      <c r="H46" s="24">
        <v>10130400</v>
      </c>
      <c r="I46" s="353">
        <f>H46/'- 3 -'!$D46*100</f>
        <v>2.8088644594799175</v>
      </c>
      <c r="J46" s="24">
        <f>H46/'- 7 -'!$F46</f>
        <v>333.89584706657877</v>
      </c>
    </row>
    <row r="47" spans="1:10" ht="5.0999999999999996" customHeight="1">
      <c r="A47"/>
      <c r="B47"/>
      <c r="C47"/>
      <c r="D47"/>
      <c r="E47"/>
      <c r="F47"/>
      <c r="G47"/>
      <c r="H47"/>
      <c r="I47"/>
      <c r="J47"/>
    </row>
    <row r="48" spans="1:10" ht="14.1" customHeight="1">
      <c r="A48" s="363" t="s">
        <v>265</v>
      </c>
      <c r="B48" s="364">
        <f>SUM(B11:B46)</f>
        <v>9714981</v>
      </c>
      <c r="C48" s="365">
        <f>B48/'- 3 -'!$D48*100</f>
        <v>0.46657462031897334</v>
      </c>
      <c r="D48" s="364">
        <f>B48/'- 7 -'!$F48</f>
        <v>55.978897959748124</v>
      </c>
      <c r="E48" s="364">
        <f>SUM(E11:E46)</f>
        <v>257083</v>
      </c>
      <c r="F48" s="365">
        <f>E48/'- 3 -'!$D48*100</f>
        <v>1.2346746032283813E-2</v>
      </c>
      <c r="G48" s="364">
        <f>E48/'- 7 -'!$F48</f>
        <v>1.4813434039846221</v>
      </c>
      <c r="H48" s="364">
        <f>SUM(H11:H46)</f>
        <v>41007991</v>
      </c>
      <c r="I48" s="365">
        <f>H48/'- 3 -'!$D48*100</f>
        <v>1.9694621976994988</v>
      </c>
      <c r="J48" s="364">
        <f>H48/'- 7 -'!$F48</f>
        <v>236.29301423474419</v>
      </c>
    </row>
    <row r="49" spans="1:10" ht="5.0999999999999996" customHeight="1">
      <c r="A49" s="25" t="s">
        <v>3</v>
      </c>
      <c r="B49" s="26"/>
      <c r="C49" s="351"/>
      <c r="D49" s="26"/>
      <c r="E49" s="26"/>
      <c r="F49" s="351"/>
      <c r="H49" s="26"/>
      <c r="I49" s="351"/>
      <c r="J49" s="26"/>
    </row>
    <row r="50" spans="1:10" ht="14.1" customHeight="1">
      <c r="A50" s="23" t="s">
        <v>266</v>
      </c>
      <c r="B50" s="24">
        <v>8000</v>
      </c>
      <c r="C50" s="353">
        <f>B50/'- 3 -'!$D50*100</f>
        <v>0.2437723032612773</v>
      </c>
      <c r="D50" s="24">
        <f>B50/'- 7 -'!$F50</f>
        <v>47.904191616766468</v>
      </c>
      <c r="E50" s="24">
        <v>7000</v>
      </c>
      <c r="F50" s="353">
        <f>E50/'- 3 -'!$D50*100</f>
        <v>0.21330076535361764</v>
      </c>
      <c r="G50" s="24">
        <f>E50/'- 7 -'!$F50</f>
        <v>41.91616766467066</v>
      </c>
      <c r="H50" s="24">
        <v>38000</v>
      </c>
      <c r="I50" s="353">
        <f>H50/'- 3 -'!$D50*100</f>
        <v>1.1579184404910672</v>
      </c>
      <c r="J50" s="24">
        <f>H50/'- 7 -'!$F50</f>
        <v>227.54491017964071</v>
      </c>
    </row>
    <row r="51" spans="1:10" ht="14.1" customHeight="1">
      <c r="A51" s="360" t="s">
        <v>267</v>
      </c>
      <c r="B51" s="361">
        <v>0</v>
      </c>
      <c r="C51" s="362">
        <f>B51/'- 3 -'!$D51*100</f>
        <v>0</v>
      </c>
      <c r="D51" s="361">
        <f>B51/'- 7 -'!$F51</f>
        <v>0</v>
      </c>
      <c r="E51" s="361">
        <v>0</v>
      </c>
      <c r="F51" s="362">
        <f>E51/'- 3 -'!$D51*100</f>
        <v>0</v>
      </c>
      <c r="G51" s="361">
        <f>E51/'- 7 -'!$F51</f>
        <v>0</v>
      </c>
      <c r="H51" s="361">
        <v>0</v>
      </c>
      <c r="I51" s="362">
        <f>H51/'- 3 -'!$D51*100</f>
        <v>0</v>
      </c>
      <c r="J51" s="361">
        <f>H51/'- 7 -'!$F51</f>
        <v>0</v>
      </c>
    </row>
    <row r="52" spans="1:10" ht="50.1" customHeight="1">
      <c r="A52" s="27"/>
      <c r="B52" s="27"/>
      <c r="C52" s="27"/>
      <c r="D52" s="27"/>
      <c r="E52" s="27"/>
      <c r="F52" s="27"/>
      <c r="G52" s="27"/>
      <c r="H52" s="27"/>
      <c r="I52" s="27"/>
      <c r="J52" s="27"/>
    </row>
    <row r="53" spans="1:10" ht="15" customHeight="1">
      <c r="A53" s="28" t="s">
        <v>640</v>
      </c>
      <c r="B53" s="157"/>
      <c r="C53" s="115"/>
      <c r="D53" s="115"/>
      <c r="E53" s="115"/>
      <c r="F53" s="115"/>
      <c r="G53" s="115"/>
      <c r="H53" s="115"/>
      <c r="I53" s="115"/>
      <c r="J53" s="115"/>
    </row>
    <row r="54" spans="1:10" ht="12" customHeight="1">
      <c r="A54" s="1" t="s">
        <v>641</v>
      </c>
      <c r="C54" s="115"/>
      <c r="D54" s="115"/>
      <c r="E54" s="115"/>
      <c r="F54" s="115"/>
      <c r="G54" s="115"/>
      <c r="H54" s="115"/>
      <c r="I54" s="115"/>
      <c r="J54" s="115"/>
    </row>
    <row r="55" spans="1:10" ht="12" customHeight="1">
      <c r="A55" s="1" t="s">
        <v>453</v>
      </c>
      <c r="C55" s="115"/>
      <c r="D55" s="115"/>
      <c r="E55" s="211"/>
      <c r="F55" s="115"/>
      <c r="G55" s="115"/>
      <c r="H55" s="115"/>
      <c r="I55" s="115"/>
      <c r="J55" s="115"/>
    </row>
    <row r="56" spans="1:10" ht="14.45" customHeight="1">
      <c r="C56" s="115"/>
      <c r="D56" s="115"/>
      <c r="E56" s="211"/>
      <c r="F56" s="115"/>
      <c r="G56" s="115"/>
      <c r="H56" s="115"/>
      <c r="I56" s="115"/>
      <c r="J56" s="115"/>
    </row>
    <row r="57" spans="1:10" ht="14.45" customHeight="1">
      <c r="C57" s="115"/>
      <c r="D57" s="115"/>
      <c r="E57" s="211"/>
      <c r="F57" s="115"/>
      <c r="G57" s="115"/>
      <c r="H57" s="115"/>
      <c r="I57" s="115"/>
      <c r="J57" s="115"/>
    </row>
    <row r="58" spans="1:10" ht="14.45" customHeight="1"/>
    <row r="59" spans="1:10"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18.xml><?xml version="1.0" encoding="utf-8"?>
<worksheet xmlns="http://schemas.openxmlformats.org/spreadsheetml/2006/main" xmlns:r="http://schemas.openxmlformats.org/officeDocument/2006/relationships">
  <sheetPr codeName="Sheet17"/>
  <dimension ref="A1:I58"/>
  <sheetViews>
    <sheetView showGridLines="0" showZeros="0" workbookViewId="0"/>
  </sheetViews>
  <sheetFormatPr defaultColWidth="15.83203125" defaultRowHeight="12"/>
  <cols>
    <col min="1" max="1" width="30.83203125" style="1" customWidth="1"/>
    <col min="2" max="2" width="15.33203125" style="1" customWidth="1"/>
    <col min="3" max="3" width="7" style="1" customWidth="1"/>
    <col min="4" max="4" width="15" style="1" customWidth="1"/>
    <col min="5" max="5" width="7.83203125" style="1" customWidth="1"/>
    <col min="6" max="6" width="8.83203125" style="1" customWidth="1"/>
    <col min="7" max="7" width="14.5" style="1" customWidth="1"/>
    <col min="8" max="8" width="7.83203125" style="1" customWidth="1"/>
    <col min="9" max="9" width="8.83203125" style="1" customWidth="1"/>
    <col min="10" max="16384" width="15.83203125" style="1"/>
  </cols>
  <sheetData>
    <row r="1" spans="1:9" ht="6.95" customHeight="1">
      <c r="A1" s="3"/>
      <c r="B1" s="4"/>
      <c r="C1" s="4"/>
      <c r="D1" s="4"/>
      <c r="E1" s="4"/>
      <c r="F1" s="4"/>
      <c r="G1" s="4"/>
      <c r="H1" s="4"/>
      <c r="I1" s="4"/>
    </row>
    <row r="2" spans="1:9" ht="15.95" customHeight="1">
      <c r="A2" s="161"/>
      <c r="B2" s="5" t="s">
        <v>483</v>
      </c>
      <c r="C2" s="6"/>
      <c r="D2" s="6"/>
      <c r="E2" s="6"/>
      <c r="F2" s="6"/>
      <c r="G2" s="106"/>
      <c r="H2" s="106"/>
      <c r="I2" s="184" t="s">
        <v>441</v>
      </c>
    </row>
    <row r="3" spans="1:9" ht="15.95" customHeight="1">
      <c r="A3" s="164"/>
      <c r="B3" s="7" t="str">
        <f>OPYEAR</f>
        <v>OPERATING FUND 2013/2014 BUDGET</v>
      </c>
      <c r="C3" s="8"/>
      <c r="D3" s="8"/>
      <c r="E3" s="8"/>
      <c r="F3" s="8"/>
      <c r="G3" s="108"/>
      <c r="H3" s="108"/>
      <c r="I3" s="101"/>
    </row>
    <row r="4" spans="1:9" ht="15.95" customHeight="1">
      <c r="B4" s="4"/>
      <c r="C4" s="4"/>
      <c r="D4" s="4"/>
      <c r="E4" s="4"/>
      <c r="F4" s="4"/>
      <c r="G4" s="4"/>
      <c r="H4" s="4"/>
      <c r="I4" s="4"/>
    </row>
    <row r="5" spans="1:9" ht="15.95" customHeight="1">
      <c r="B5" s="166" t="s">
        <v>448</v>
      </c>
      <c r="C5" s="194"/>
      <c r="D5" s="195"/>
      <c r="E5" s="195"/>
      <c r="F5" s="195"/>
      <c r="G5" s="195"/>
      <c r="H5" s="195"/>
      <c r="I5" s="196"/>
    </row>
    <row r="6" spans="1:9" ht="15.95" customHeight="1">
      <c r="B6" s="354" t="s">
        <v>112</v>
      </c>
      <c r="C6" s="355"/>
      <c r="D6" s="354" t="s">
        <v>62</v>
      </c>
      <c r="E6" s="355"/>
      <c r="F6" s="356"/>
      <c r="G6" s="354" t="s">
        <v>179</v>
      </c>
      <c r="H6" s="355"/>
      <c r="I6" s="356"/>
    </row>
    <row r="7" spans="1:9" ht="15.95" customHeight="1">
      <c r="B7" s="357" t="s">
        <v>465</v>
      </c>
      <c r="C7" s="358"/>
      <c r="D7" s="357" t="s">
        <v>542</v>
      </c>
      <c r="E7" s="358"/>
      <c r="F7" s="359"/>
      <c r="G7" s="357" t="s">
        <v>139</v>
      </c>
      <c r="H7" s="358"/>
      <c r="I7" s="359"/>
    </row>
    <row r="8" spans="1:9" ht="15.95" customHeight="1">
      <c r="A8" s="102"/>
      <c r="B8" s="170"/>
      <c r="C8" s="169"/>
      <c r="D8" s="170"/>
      <c r="E8" s="169"/>
      <c r="F8" s="169" t="s">
        <v>60</v>
      </c>
      <c r="G8" s="170"/>
      <c r="H8" s="169"/>
      <c r="I8" s="169" t="s">
        <v>60</v>
      </c>
    </row>
    <row r="9" spans="1:9" ht="15.95" customHeight="1">
      <c r="A9" s="35" t="s">
        <v>81</v>
      </c>
      <c r="B9" s="113" t="s">
        <v>82</v>
      </c>
      <c r="C9" s="113" t="s">
        <v>83</v>
      </c>
      <c r="D9" s="113" t="s">
        <v>82</v>
      </c>
      <c r="E9" s="113" t="s">
        <v>83</v>
      </c>
      <c r="F9" s="113" t="s">
        <v>84</v>
      </c>
      <c r="G9" s="113" t="s">
        <v>82</v>
      </c>
      <c r="H9" s="113" t="s">
        <v>83</v>
      </c>
      <c r="I9" s="113" t="s">
        <v>84</v>
      </c>
    </row>
    <row r="10" spans="1:9" ht="5.0999999999999996" customHeight="1">
      <c r="A10" s="37"/>
    </row>
    <row r="11" spans="1:9" ht="14.1" customHeight="1">
      <c r="A11" s="360" t="s">
        <v>230</v>
      </c>
      <c r="B11" s="361">
        <v>452555</v>
      </c>
      <c r="C11" s="362">
        <f>B11/'- 3 -'!$D11*100</f>
        <v>2.7007839557242228</v>
      </c>
      <c r="D11" s="361">
        <v>562350</v>
      </c>
      <c r="E11" s="362">
        <f>D11/'- 3 -'!$D11*100</f>
        <v>3.3560249196263809</v>
      </c>
      <c r="F11" s="361">
        <f>D11/'- 7 -'!$F11</f>
        <v>367.18903036238981</v>
      </c>
      <c r="G11" s="361">
        <v>636125</v>
      </c>
      <c r="H11" s="362">
        <f>G11/'- 3 -'!$D11*100</f>
        <v>3.7963036400770549</v>
      </c>
      <c r="I11" s="361">
        <f>G11/'- 7 -'!$F11</f>
        <v>415.36075742735881</v>
      </c>
    </row>
    <row r="12" spans="1:9" ht="14.1" customHeight="1">
      <c r="A12" s="23" t="s">
        <v>231</v>
      </c>
      <c r="B12" s="24">
        <v>0</v>
      </c>
      <c r="C12" s="353">
        <f>B12/'- 3 -'!$D12*100</f>
        <v>0</v>
      </c>
      <c r="D12" s="24">
        <v>2226187</v>
      </c>
      <c r="E12" s="353">
        <f>D12/'- 3 -'!$D12*100</f>
        <v>7.1876472480242244</v>
      </c>
      <c r="F12" s="24">
        <f>D12/'- 7 -'!$F12</f>
        <v>977.21215047627391</v>
      </c>
      <c r="G12" s="24">
        <v>1238344</v>
      </c>
      <c r="H12" s="353">
        <f>G12/'- 3 -'!$D12*100</f>
        <v>3.9982175098980055</v>
      </c>
      <c r="I12" s="24">
        <f>G12/'- 7 -'!$F12</f>
        <v>543.58632193494566</v>
      </c>
    </row>
    <row r="13" spans="1:9" ht="14.1" customHeight="1">
      <c r="A13" s="360" t="s">
        <v>232</v>
      </c>
      <c r="B13" s="361">
        <v>2494900</v>
      </c>
      <c r="C13" s="362">
        <f>B13/'- 3 -'!$D13*100</f>
        <v>2.8887558631357977</v>
      </c>
      <c r="D13" s="361">
        <v>7349600</v>
      </c>
      <c r="E13" s="362">
        <f>D13/'- 3 -'!$D13*100</f>
        <v>8.5098401105065768</v>
      </c>
      <c r="F13" s="361">
        <f>D13/'- 7 -'!$F13</f>
        <v>909.1505103271511</v>
      </c>
      <c r="G13" s="361">
        <v>4418200</v>
      </c>
      <c r="H13" s="362">
        <f>G13/'- 3 -'!$D13*100</f>
        <v>5.1156764417437905</v>
      </c>
      <c r="I13" s="361">
        <f>G13/'- 7 -'!$F13</f>
        <v>546.53433992699183</v>
      </c>
    </row>
    <row r="14" spans="1:9" ht="14.1" customHeight="1">
      <c r="A14" s="23" t="s">
        <v>578</v>
      </c>
      <c r="B14" s="24">
        <v>1066279</v>
      </c>
      <c r="C14" s="353">
        <f>B14/'- 3 -'!$D14*100</f>
        <v>1.4223128505622369</v>
      </c>
      <c r="D14" s="24">
        <v>3391088</v>
      </c>
      <c r="E14" s="353">
        <f>D14/'- 3 -'!$D14*100</f>
        <v>4.5233827542204192</v>
      </c>
      <c r="F14" s="24">
        <f>D14/'- 7 -'!$F14</f>
        <v>650.25656759348033</v>
      </c>
      <c r="G14" s="24">
        <v>2612299</v>
      </c>
      <c r="H14" s="353">
        <f>G14/'- 3 -'!$D14*100</f>
        <v>3.4845537023714059</v>
      </c>
      <c r="I14" s="24">
        <f>G14/'- 7 -'!$F14</f>
        <v>500.92023010546501</v>
      </c>
    </row>
    <row r="15" spans="1:9" ht="14.1" customHeight="1">
      <c r="A15" s="360" t="s">
        <v>233</v>
      </c>
      <c r="B15" s="361">
        <v>0</v>
      </c>
      <c r="C15" s="362">
        <f>B15/'- 3 -'!$D15*100</f>
        <v>0</v>
      </c>
      <c r="D15" s="361">
        <v>1416250</v>
      </c>
      <c r="E15" s="362">
        <f>D15/'- 3 -'!$D15*100</f>
        <v>7.2476836326347343</v>
      </c>
      <c r="F15" s="361">
        <f>D15/'- 7 -'!$F15</f>
        <v>931.74342105263156</v>
      </c>
      <c r="G15" s="361">
        <v>890650</v>
      </c>
      <c r="H15" s="362">
        <f>G15/'- 3 -'!$D15*100</f>
        <v>4.557916630119065</v>
      </c>
      <c r="I15" s="361">
        <f>G15/'- 7 -'!$F15</f>
        <v>585.95394736842104</v>
      </c>
    </row>
    <row r="16" spans="1:9" ht="14.1" customHeight="1">
      <c r="A16" s="23" t="s">
        <v>234</v>
      </c>
      <c r="B16" s="24">
        <v>139344</v>
      </c>
      <c r="C16" s="353">
        <f>B16/'- 3 -'!$D16*100</f>
        <v>1.0640474166359122</v>
      </c>
      <c r="D16" s="24">
        <v>944522</v>
      </c>
      <c r="E16" s="353">
        <f>D16/'- 3 -'!$D16*100</f>
        <v>7.2124827337796029</v>
      </c>
      <c r="F16" s="24">
        <f>D16/'- 7 -'!$F16</f>
        <v>949.26834170854272</v>
      </c>
      <c r="G16" s="24">
        <v>722118</v>
      </c>
      <c r="H16" s="353">
        <f>G16/'- 3 -'!$D16*100</f>
        <v>5.51417924278255</v>
      </c>
      <c r="I16" s="24">
        <f>G16/'- 7 -'!$F16</f>
        <v>725.74673366834168</v>
      </c>
    </row>
    <row r="17" spans="1:9" ht="14.1" customHeight="1">
      <c r="A17" s="360" t="s">
        <v>235</v>
      </c>
      <c r="B17" s="361">
        <v>0</v>
      </c>
      <c r="C17" s="362">
        <f>B17/'- 3 -'!$D17*100</f>
        <v>0</v>
      </c>
      <c r="D17" s="361">
        <v>970143</v>
      </c>
      <c r="E17" s="362">
        <f>D17/'- 3 -'!$D17*100</f>
        <v>5.8847639471701312</v>
      </c>
      <c r="F17" s="361">
        <f>D17/'- 7 -'!$F17</f>
        <v>745.97693194925034</v>
      </c>
      <c r="G17" s="361">
        <v>850139</v>
      </c>
      <c r="H17" s="362">
        <f>G17/'- 3 -'!$D17*100</f>
        <v>5.1568349586434863</v>
      </c>
      <c r="I17" s="361">
        <f>G17/'- 7 -'!$F17</f>
        <v>653.70165321030368</v>
      </c>
    </row>
    <row r="18" spans="1:9" ht="14.1" customHeight="1">
      <c r="A18" s="23" t="s">
        <v>236</v>
      </c>
      <c r="B18" s="24">
        <v>0</v>
      </c>
      <c r="C18" s="353">
        <f>B18/'- 3 -'!$D18*100</f>
        <v>0</v>
      </c>
      <c r="D18" s="24">
        <v>10854472</v>
      </c>
      <c r="E18" s="353">
        <f>D18/'- 3 -'!$D18*100</f>
        <v>9.1070841903924737</v>
      </c>
      <c r="F18" s="24">
        <f>D18/'- 7 -'!$F18</f>
        <v>1741.591977537104</v>
      </c>
      <c r="G18" s="24">
        <v>3168917</v>
      </c>
      <c r="H18" s="353">
        <f>G18/'- 3 -'!$D18*100</f>
        <v>2.6587745503757301</v>
      </c>
      <c r="I18" s="24">
        <f>G18/'- 7 -'!$F18</f>
        <v>508.45038106698757</v>
      </c>
    </row>
    <row r="19" spans="1:9" ht="14.1" customHeight="1">
      <c r="A19" s="360" t="s">
        <v>237</v>
      </c>
      <c r="B19" s="361">
        <v>1972850</v>
      </c>
      <c r="C19" s="362">
        <f>B19/'- 3 -'!$D19*100</f>
        <v>4.5447953816945077</v>
      </c>
      <c r="D19" s="361">
        <v>2006850</v>
      </c>
      <c r="E19" s="362">
        <f>D19/'- 3 -'!$D19*100</f>
        <v>4.623120162077007</v>
      </c>
      <c r="F19" s="361">
        <f>D19/'- 7 -'!$F19</f>
        <v>476.79971489665002</v>
      </c>
      <c r="G19" s="361">
        <v>1826800</v>
      </c>
      <c r="H19" s="362">
        <f>G19/'- 3 -'!$D19*100</f>
        <v>4.2083443765514499</v>
      </c>
      <c r="I19" s="361">
        <f>G19/'- 7 -'!$F19</f>
        <v>434.02233309574723</v>
      </c>
    </row>
    <row r="20" spans="1:9" ht="14.1" customHeight="1">
      <c r="A20" s="23" t="s">
        <v>238</v>
      </c>
      <c r="B20" s="24">
        <v>608600</v>
      </c>
      <c r="C20" s="353">
        <f>B20/'- 3 -'!$D20*100</f>
        <v>0.8562641221674766</v>
      </c>
      <c r="D20" s="24">
        <v>4018800</v>
      </c>
      <c r="E20" s="353">
        <f>D20/'- 3 -'!$D20*100</f>
        <v>5.6542133653740629</v>
      </c>
      <c r="F20" s="24">
        <f>D20/'- 7 -'!$F20</f>
        <v>533.03269447576099</v>
      </c>
      <c r="G20" s="24">
        <v>3405700</v>
      </c>
      <c r="H20" s="353">
        <f>G20/'- 3 -'!$D20*100</f>
        <v>4.7916180099667676</v>
      </c>
      <c r="I20" s="24">
        <f>G20/'- 7 -'!$F20</f>
        <v>451.71430466211285</v>
      </c>
    </row>
    <row r="21" spans="1:9" ht="14.1" customHeight="1">
      <c r="A21" s="360" t="s">
        <v>239</v>
      </c>
      <c r="B21" s="361">
        <v>109000</v>
      </c>
      <c r="C21" s="362">
        <f>B21/'- 3 -'!$D21*100</f>
        <v>0.32013489603413658</v>
      </c>
      <c r="D21" s="361">
        <v>1996434</v>
      </c>
      <c r="E21" s="362">
        <f>D21/'- 3 -'!$D21*100</f>
        <v>5.8635613855872979</v>
      </c>
      <c r="F21" s="361">
        <f>D21/'- 7 -'!$F21</f>
        <v>742.16877323420078</v>
      </c>
      <c r="G21" s="361">
        <v>1863000</v>
      </c>
      <c r="H21" s="362">
        <f>G21/'- 3 -'!$D21*100</f>
        <v>5.4716634065284087</v>
      </c>
      <c r="I21" s="361">
        <f>G21/'- 7 -'!$F21</f>
        <v>692.56505576208178</v>
      </c>
    </row>
    <row r="22" spans="1:9" ht="14.1" customHeight="1">
      <c r="A22" s="23" t="s">
        <v>240</v>
      </c>
      <c r="B22" s="24">
        <v>1602583</v>
      </c>
      <c r="C22" s="353">
        <f>B22/'- 3 -'!$D22*100</f>
        <v>8.0479226587733983</v>
      </c>
      <c r="D22" s="24">
        <v>870839</v>
      </c>
      <c r="E22" s="353">
        <f>D22/'- 3 -'!$D22*100</f>
        <v>4.3732180612446081</v>
      </c>
      <c r="F22" s="24">
        <f>D22/'- 7 -'!$F22</f>
        <v>537.88696726374303</v>
      </c>
      <c r="G22" s="24">
        <v>1175860</v>
      </c>
      <c r="H22" s="353">
        <f>G22/'- 3 -'!$D22*100</f>
        <v>5.9049860990321799</v>
      </c>
      <c r="I22" s="24">
        <f>G22/'- 7 -'!$F22</f>
        <v>726.2878319950587</v>
      </c>
    </row>
    <row r="23" spans="1:9" ht="14.1" customHeight="1">
      <c r="A23" s="360" t="s">
        <v>241</v>
      </c>
      <c r="B23" s="361">
        <v>0</v>
      </c>
      <c r="C23" s="362">
        <f>B23/'- 3 -'!$D23*100</f>
        <v>0</v>
      </c>
      <c r="D23" s="361">
        <v>1661000</v>
      </c>
      <c r="E23" s="362">
        <f>D23/'- 3 -'!$D23*100</f>
        <v>10.365714385564635</v>
      </c>
      <c r="F23" s="361">
        <f>D23/'- 7 -'!$F23</f>
        <v>1405.2453468697124</v>
      </c>
      <c r="G23" s="361">
        <v>602000</v>
      </c>
      <c r="H23" s="362">
        <f>G23/'- 3 -'!$D23*100</f>
        <v>3.7568693919987419</v>
      </c>
      <c r="I23" s="361">
        <f>G23/'- 7 -'!$F23</f>
        <v>509.30626057529611</v>
      </c>
    </row>
    <row r="24" spans="1:9" ht="14.1" customHeight="1">
      <c r="A24" s="23" t="s">
        <v>242</v>
      </c>
      <c r="B24" s="24">
        <v>1103975</v>
      </c>
      <c r="C24" s="353">
        <f>B24/'- 3 -'!$D24*100</f>
        <v>2.0921592377697116</v>
      </c>
      <c r="D24" s="24">
        <v>3443945</v>
      </c>
      <c r="E24" s="353">
        <f>D24/'- 3 -'!$D24*100</f>
        <v>6.5266707544290492</v>
      </c>
      <c r="F24" s="24">
        <f>D24/'- 7 -'!$F24</f>
        <v>820.67079709281541</v>
      </c>
      <c r="G24" s="24">
        <v>2364220</v>
      </c>
      <c r="H24" s="353">
        <f>G24/'- 3 -'!$D24*100</f>
        <v>4.4804680478452026</v>
      </c>
      <c r="I24" s="24">
        <f>G24/'- 7 -'!$F24</f>
        <v>563.37900631478612</v>
      </c>
    </row>
    <row r="25" spans="1:9" ht="14.1" customHeight="1">
      <c r="A25" s="360" t="s">
        <v>243</v>
      </c>
      <c r="B25" s="361">
        <v>7785116</v>
      </c>
      <c r="C25" s="362">
        <f>B25/'- 3 -'!$D25*100</f>
        <v>5.0274472898410627</v>
      </c>
      <c r="D25" s="361">
        <v>8780187</v>
      </c>
      <c r="E25" s="362">
        <f>D25/'- 3 -'!$D25*100</f>
        <v>5.6700410549371041</v>
      </c>
      <c r="F25" s="361">
        <f>D25/'- 7 -'!$F25</f>
        <v>635.92286521329765</v>
      </c>
      <c r="G25" s="361">
        <v>6629146</v>
      </c>
      <c r="H25" s="362">
        <f>G25/'- 3 -'!$D25*100</f>
        <v>4.280948683572694</v>
      </c>
      <c r="I25" s="361">
        <f>G25/'- 7 -'!$F25</f>
        <v>480.12935467516479</v>
      </c>
    </row>
    <row r="26" spans="1:9" ht="14.1" customHeight="1">
      <c r="A26" s="23" t="s">
        <v>244</v>
      </c>
      <c r="B26" s="24">
        <v>293781</v>
      </c>
      <c r="C26" s="353">
        <f>B26/'- 3 -'!$D26*100</f>
        <v>0.77427013533657185</v>
      </c>
      <c r="D26" s="24">
        <v>1779866</v>
      </c>
      <c r="E26" s="353">
        <f>D26/'- 3 -'!$D26*100</f>
        <v>4.6908993049276937</v>
      </c>
      <c r="F26" s="24">
        <f>D26/'- 7 -'!$F26</f>
        <v>576.28816577626685</v>
      </c>
      <c r="G26" s="24">
        <v>1778741</v>
      </c>
      <c r="H26" s="353">
        <f>G26/'- 3 -'!$D26*100</f>
        <v>4.6879343279473806</v>
      </c>
      <c r="I26" s="24">
        <f>G26/'- 7 -'!$F26</f>
        <v>575.92391128379472</v>
      </c>
    </row>
    <row r="27" spans="1:9" ht="14.1" customHeight="1">
      <c r="A27" s="360" t="s">
        <v>245</v>
      </c>
      <c r="B27" s="361">
        <v>1804722</v>
      </c>
      <c r="C27" s="362">
        <f>B27/'- 3 -'!$D27*100</f>
        <v>4.6903435120802754</v>
      </c>
      <c r="D27" s="361">
        <v>1633766</v>
      </c>
      <c r="E27" s="362">
        <f>D27/'- 3 -'!$D27*100</f>
        <v>4.2460410846420347</v>
      </c>
      <c r="F27" s="361">
        <f>D27/'- 7 -'!$F27</f>
        <v>593.88077062886225</v>
      </c>
      <c r="G27" s="361">
        <v>1746913</v>
      </c>
      <c r="H27" s="362">
        <f>G27/'- 3 -'!$D27*100</f>
        <v>4.5401020521269695</v>
      </c>
      <c r="I27" s="361">
        <f>G27/'- 7 -'!$F27</f>
        <v>635.01017811704833</v>
      </c>
    </row>
    <row r="28" spans="1:9" ht="14.1" customHeight="1">
      <c r="A28" s="23" t="s">
        <v>246</v>
      </c>
      <c r="B28" s="24">
        <v>0</v>
      </c>
      <c r="C28" s="353">
        <f>B28/'- 3 -'!$D28*100</f>
        <v>0</v>
      </c>
      <c r="D28" s="24">
        <v>1525600</v>
      </c>
      <c r="E28" s="353">
        <f>D28/'- 3 -'!$D28*100</f>
        <v>5.8512516408703021</v>
      </c>
      <c r="F28" s="24">
        <f>D28/'- 7 -'!$F28</f>
        <v>772.45569620253161</v>
      </c>
      <c r="G28" s="24">
        <v>882527</v>
      </c>
      <c r="H28" s="353">
        <f>G28/'- 3 -'!$D28*100</f>
        <v>3.3848240409428061</v>
      </c>
      <c r="I28" s="24">
        <f>G28/'- 7 -'!$F28</f>
        <v>446.84911392405064</v>
      </c>
    </row>
    <row r="29" spans="1:9" ht="14.1" customHeight="1">
      <c r="A29" s="360" t="s">
        <v>247</v>
      </c>
      <c r="B29" s="361">
        <v>247000</v>
      </c>
      <c r="C29" s="362">
        <f>B29/'- 3 -'!$D29*100</f>
        <v>0.17392292227575426</v>
      </c>
      <c r="D29" s="361">
        <v>12406721</v>
      </c>
      <c r="E29" s="362">
        <f>D29/'- 3 -'!$D29*100</f>
        <v>8.7360857173278053</v>
      </c>
      <c r="F29" s="361">
        <f>D29/'- 7 -'!$F29</f>
        <v>1026.4091830403308</v>
      </c>
      <c r="G29" s="361">
        <v>9297953</v>
      </c>
      <c r="H29" s="362">
        <f>G29/'- 3 -'!$D29*100</f>
        <v>6.5470735098891346</v>
      </c>
      <c r="I29" s="361">
        <f>G29/'- 7 -'!$F29</f>
        <v>769.22051706308173</v>
      </c>
    </row>
    <row r="30" spans="1:9" ht="14.1" customHeight="1">
      <c r="A30" s="23" t="s">
        <v>248</v>
      </c>
      <c r="B30" s="24">
        <v>0</v>
      </c>
      <c r="C30" s="353">
        <f>B30/'- 3 -'!$D30*100</f>
        <v>0</v>
      </c>
      <c r="D30" s="24">
        <v>490836</v>
      </c>
      <c r="E30" s="353">
        <f>D30/'- 3 -'!$D30*100</f>
        <v>3.6479092316920605</v>
      </c>
      <c r="F30" s="24">
        <f>D30/'- 7 -'!$F30</f>
        <v>458.72523364485983</v>
      </c>
      <c r="G30" s="24">
        <v>516900</v>
      </c>
      <c r="H30" s="353">
        <f>G30/'- 3 -'!$D30*100</f>
        <v>3.8416177335436403</v>
      </c>
      <c r="I30" s="24">
        <f>G30/'- 7 -'!$F30</f>
        <v>483.0841121495327</v>
      </c>
    </row>
    <row r="31" spans="1:9" ht="14.1" customHeight="1">
      <c r="A31" s="360" t="s">
        <v>249</v>
      </c>
      <c r="B31" s="361">
        <v>2536887</v>
      </c>
      <c r="C31" s="362">
        <f>B31/'- 3 -'!$D31*100</f>
        <v>7.5445706366684906</v>
      </c>
      <c r="D31" s="361">
        <v>1666946</v>
      </c>
      <c r="E31" s="362">
        <f>D31/'- 3 -'!$D31*100</f>
        <v>4.9574111280920246</v>
      </c>
      <c r="F31" s="361">
        <f>D31/'- 7 -'!$F31</f>
        <v>522.55360501567395</v>
      </c>
      <c r="G31" s="361">
        <v>1032239</v>
      </c>
      <c r="H31" s="362">
        <f>G31/'- 3 -'!$D31*100</f>
        <v>3.0698253605399239</v>
      </c>
      <c r="I31" s="361">
        <f>G31/'- 7 -'!$F31</f>
        <v>323.58589341692789</v>
      </c>
    </row>
    <row r="32" spans="1:9" ht="14.1" customHeight="1">
      <c r="A32" s="23" t="s">
        <v>250</v>
      </c>
      <c r="B32" s="24">
        <v>0</v>
      </c>
      <c r="C32" s="353">
        <f>B32/'- 3 -'!$D32*100</f>
        <v>0</v>
      </c>
      <c r="D32" s="24">
        <v>1162500</v>
      </c>
      <c r="E32" s="353">
        <f>D32/'- 3 -'!$D32*100</f>
        <v>4.5511102007585729</v>
      </c>
      <c r="F32" s="24">
        <f>D32/'- 7 -'!$F32</f>
        <v>568.32070398435587</v>
      </c>
      <c r="G32" s="24">
        <v>1777030</v>
      </c>
      <c r="H32" s="353">
        <f>G32/'- 3 -'!$D32*100</f>
        <v>6.9569542882185003</v>
      </c>
      <c r="I32" s="24">
        <f>G32/'- 7 -'!$F32</f>
        <v>868.75091664629679</v>
      </c>
    </row>
    <row r="33" spans="1:9" ht="14.1" customHeight="1">
      <c r="A33" s="360" t="s">
        <v>251</v>
      </c>
      <c r="B33" s="361">
        <v>0</v>
      </c>
      <c r="C33" s="362">
        <f>B33/'- 3 -'!$D33*100</f>
        <v>0</v>
      </c>
      <c r="D33" s="361">
        <v>1607000</v>
      </c>
      <c r="E33" s="362">
        <f>D33/'- 3 -'!$D33*100</f>
        <v>6.1188045675905158</v>
      </c>
      <c r="F33" s="361">
        <f>D33/'- 7 -'!$F33</f>
        <v>793.1885488647581</v>
      </c>
      <c r="G33" s="361">
        <v>973000</v>
      </c>
      <c r="H33" s="362">
        <f>G33/'- 3 -'!$D33*100</f>
        <v>3.70478957328287</v>
      </c>
      <c r="I33" s="361">
        <f>G33/'- 7 -'!$F33</f>
        <v>480.25666337611057</v>
      </c>
    </row>
    <row r="34" spans="1:9" ht="14.1" customHeight="1">
      <c r="A34" s="23" t="s">
        <v>252</v>
      </c>
      <c r="B34" s="24">
        <v>341131</v>
      </c>
      <c r="C34" s="353">
        <f>B34/'- 3 -'!$D34*100</f>
        <v>1.3355110376944761</v>
      </c>
      <c r="D34" s="24">
        <v>1199365</v>
      </c>
      <c r="E34" s="353">
        <f>D34/'- 3 -'!$D34*100</f>
        <v>4.6954548127389053</v>
      </c>
      <c r="F34" s="24">
        <f>D34/'- 7 -'!$F34</f>
        <v>595.40451853433092</v>
      </c>
      <c r="G34" s="24">
        <v>1034135</v>
      </c>
      <c r="H34" s="353">
        <f>G34/'- 3 -'!$D34*100</f>
        <v>4.0485875132021922</v>
      </c>
      <c r="I34" s="24">
        <f>G34/'- 7 -'!$F34</f>
        <v>513.3788727989396</v>
      </c>
    </row>
    <row r="35" spans="1:9" ht="14.1" customHeight="1">
      <c r="A35" s="360" t="s">
        <v>253</v>
      </c>
      <c r="B35" s="361">
        <v>3066597</v>
      </c>
      <c r="C35" s="362">
        <f>B35/'- 3 -'!$D35*100</f>
        <v>1.8302833296406529</v>
      </c>
      <c r="D35" s="361">
        <v>13766234</v>
      </c>
      <c r="E35" s="362">
        <f>D35/'- 3 -'!$D35*100</f>
        <v>8.2163090233677138</v>
      </c>
      <c r="F35" s="361">
        <f>D35/'- 7 -'!$F35</f>
        <v>872.08096037502776</v>
      </c>
      <c r="G35" s="361">
        <v>9049886</v>
      </c>
      <c r="H35" s="362">
        <f>G35/'- 3 -'!$D35*100</f>
        <v>5.40137992730976</v>
      </c>
      <c r="I35" s="361">
        <f>G35/'- 7 -'!$F35</f>
        <v>573.30372810490644</v>
      </c>
    </row>
    <row r="36" spans="1:9" ht="14.1" customHeight="1">
      <c r="A36" s="23" t="s">
        <v>254</v>
      </c>
      <c r="B36" s="24">
        <v>10000</v>
      </c>
      <c r="C36" s="353">
        <f>B36/'- 3 -'!$D36*100</f>
        <v>4.6364146790743306E-2</v>
      </c>
      <c r="D36" s="24">
        <v>1164300</v>
      </c>
      <c r="E36" s="353">
        <f>D36/'- 3 -'!$D36*100</f>
        <v>5.3981776108462425</v>
      </c>
      <c r="F36" s="24">
        <f>D36/'- 7 -'!$F36</f>
        <v>693.6550491510277</v>
      </c>
      <c r="G36" s="24">
        <v>856050</v>
      </c>
      <c r="H36" s="353">
        <f>G36/'- 3 -'!$D36*100</f>
        <v>3.9690027860215804</v>
      </c>
      <c r="I36" s="24">
        <f>G36/'- 7 -'!$F36</f>
        <v>510.00893655049151</v>
      </c>
    </row>
    <row r="37" spans="1:9" ht="14.1" customHeight="1">
      <c r="A37" s="360" t="s">
        <v>255</v>
      </c>
      <c r="B37" s="361">
        <v>0</v>
      </c>
      <c r="C37" s="362">
        <f>B37/'- 3 -'!$D37*100</f>
        <v>0</v>
      </c>
      <c r="D37" s="361">
        <v>3763257</v>
      </c>
      <c r="E37" s="362">
        <f>D37/'- 3 -'!$D37*100</f>
        <v>9.0321672480892268</v>
      </c>
      <c r="F37" s="361">
        <f>D37/'- 7 -'!$F37</f>
        <v>1009.3219793482634</v>
      </c>
      <c r="G37" s="361">
        <v>1895748</v>
      </c>
      <c r="H37" s="362">
        <f>G37/'- 3 -'!$D37*100</f>
        <v>4.5499717389034693</v>
      </c>
      <c r="I37" s="361">
        <f>G37/'- 7 -'!$F37</f>
        <v>508.44790130079122</v>
      </c>
    </row>
    <row r="38" spans="1:9" ht="14.1" customHeight="1">
      <c r="A38" s="23" t="s">
        <v>256</v>
      </c>
      <c r="B38" s="24">
        <v>759650</v>
      </c>
      <c r="C38" s="353">
        <f>B38/'- 3 -'!$D38*100</f>
        <v>0.64762477337608715</v>
      </c>
      <c r="D38" s="24">
        <v>10542050</v>
      </c>
      <c r="E38" s="353">
        <f>D38/'- 3 -'!$D38*100</f>
        <v>8.9874188668062658</v>
      </c>
      <c r="F38" s="24">
        <f>D38/'- 7 -'!$F38</f>
        <v>999.05705079605764</v>
      </c>
      <c r="G38" s="24">
        <v>4124380</v>
      </c>
      <c r="H38" s="353">
        <f>G38/'- 3 -'!$D38*100</f>
        <v>3.5161596298517299</v>
      </c>
      <c r="I38" s="24">
        <f>G38/'- 7 -'!$F38</f>
        <v>390.86239575435934</v>
      </c>
    </row>
    <row r="39" spans="1:9" ht="14.1" customHeight="1">
      <c r="A39" s="360" t="s">
        <v>257</v>
      </c>
      <c r="B39" s="361">
        <v>0</v>
      </c>
      <c r="C39" s="362">
        <f>B39/'- 3 -'!$D39*100</f>
        <v>0</v>
      </c>
      <c r="D39" s="361">
        <v>1300400</v>
      </c>
      <c r="E39" s="362">
        <f>D39/'- 3 -'!$D39*100</f>
        <v>6.3282964881847636</v>
      </c>
      <c r="F39" s="361">
        <f>D39/'- 7 -'!$F39</f>
        <v>821.47820593809217</v>
      </c>
      <c r="G39" s="361">
        <v>672850</v>
      </c>
      <c r="H39" s="362">
        <f>G39/'- 3 -'!$D39*100</f>
        <v>3.2743727253730528</v>
      </c>
      <c r="I39" s="361">
        <f>G39/'- 7 -'!$F39</f>
        <v>425.04737839545169</v>
      </c>
    </row>
    <row r="40" spans="1:9" ht="14.1" customHeight="1">
      <c r="A40" s="23" t="s">
        <v>258</v>
      </c>
      <c r="B40" s="24">
        <v>239368</v>
      </c>
      <c r="C40" s="353">
        <f>B40/'- 3 -'!$D40*100</f>
        <v>0.24620662537824101</v>
      </c>
      <c r="D40" s="24">
        <v>10244927</v>
      </c>
      <c r="E40" s="353">
        <f>D40/'- 3 -'!$D40*100</f>
        <v>10.537619497662288</v>
      </c>
      <c r="F40" s="24">
        <f>D40/'- 7 -'!$F40</f>
        <v>1283.3912084883561</v>
      </c>
      <c r="G40" s="24">
        <v>5561113</v>
      </c>
      <c r="H40" s="353">
        <f>G40/'- 3 -'!$D40*100</f>
        <v>5.7199912481077924</v>
      </c>
      <c r="I40" s="24">
        <f>G40/'- 7 -'!$F40</f>
        <v>696.64562115574938</v>
      </c>
    </row>
    <row r="41" spans="1:9" ht="14.1" customHeight="1">
      <c r="A41" s="360" t="s">
        <v>259</v>
      </c>
      <c r="B41" s="361">
        <v>536237</v>
      </c>
      <c r="C41" s="362">
        <f>B41/'- 3 -'!$D41*100</f>
        <v>0.92968853075484215</v>
      </c>
      <c r="D41" s="361">
        <v>6215045</v>
      </c>
      <c r="E41" s="362">
        <f>D41/'- 3 -'!$D41*100</f>
        <v>10.775190922344462</v>
      </c>
      <c r="F41" s="361">
        <f>D41/'- 7 -'!$F41</f>
        <v>1397.5815156285137</v>
      </c>
      <c r="G41" s="361">
        <v>1699487</v>
      </c>
      <c r="H41" s="362">
        <f>G41/'- 3 -'!$D41*100</f>
        <v>2.9464463885687757</v>
      </c>
      <c r="I41" s="361">
        <f>G41/'- 7 -'!$F41</f>
        <v>382.16483022262202</v>
      </c>
    </row>
    <row r="42" spans="1:9" ht="14.1" customHeight="1">
      <c r="A42" s="23" t="s">
        <v>260</v>
      </c>
      <c r="B42" s="24">
        <v>0</v>
      </c>
      <c r="C42" s="353">
        <f>B42/'- 3 -'!$D42*100</f>
        <v>0</v>
      </c>
      <c r="D42" s="24">
        <v>1952634</v>
      </c>
      <c r="E42" s="353">
        <f>D42/'- 3 -'!$D42*100</f>
        <v>9.6781757764226679</v>
      </c>
      <c r="F42" s="24">
        <f>D42/'- 7 -'!$F42</f>
        <v>1395.735525375268</v>
      </c>
      <c r="G42" s="24">
        <v>868087</v>
      </c>
      <c r="H42" s="353">
        <f>G42/'- 3 -'!$D42*100</f>
        <v>4.3026489220342485</v>
      </c>
      <c r="I42" s="24">
        <f>G42/'- 7 -'!$F42</f>
        <v>620.50536097212296</v>
      </c>
    </row>
    <row r="43" spans="1:9" ht="14.1" customHeight="1">
      <c r="A43" s="360" t="s">
        <v>261</v>
      </c>
      <c r="B43" s="361">
        <v>0</v>
      </c>
      <c r="C43" s="362">
        <f>B43/'- 3 -'!$D43*100</f>
        <v>0</v>
      </c>
      <c r="D43" s="361">
        <v>544213</v>
      </c>
      <c r="E43" s="362">
        <f>D43/'- 3 -'!$D43*100</f>
        <v>4.5518096816904023</v>
      </c>
      <c r="F43" s="361">
        <f>D43/'- 7 -'!$F43</f>
        <v>563.65924391506996</v>
      </c>
      <c r="G43" s="361">
        <v>1029437</v>
      </c>
      <c r="H43" s="362">
        <f>G43/'- 3 -'!$D43*100</f>
        <v>8.610234050436727</v>
      </c>
      <c r="I43" s="361">
        <f>G43/'- 7 -'!$F43</f>
        <v>1066.2216468151216</v>
      </c>
    </row>
    <row r="44" spans="1:9" ht="14.1" customHeight="1">
      <c r="A44" s="23" t="s">
        <v>262</v>
      </c>
      <c r="B44" s="24">
        <v>0</v>
      </c>
      <c r="C44" s="353">
        <f>B44/'- 3 -'!$D44*100</f>
        <v>0</v>
      </c>
      <c r="D44" s="24">
        <v>914124</v>
      </c>
      <c r="E44" s="353">
        <f>D44/'- 3 -'!$D44*100</f>
        <v>8.6740907697325156</v>
      </c>
      <c r="F44" s="24">
        <f>D44/'- 7 -'!$F44</f>
        <v>1213.9760956175298</v>
      </c>
      <c r="G44" s="24">
        <v>643704</v>
      </c>
      <c r="H44" s="353">
        <f>G44/'- 3 -'!$D44*100</f>
        <v>6.108084816545567</v>
      </c>
      <c r="I44" s="24">
        <f>G44/'- 7 -'!$F44</f>
        <v>854.85258964143429</v>
      </c>
    </row>
    <row r="45" spans="1:9" ht="14.1" customHeight="1">
      <c r="A45" s="360" t="s">
        <v>263</v>
      </c>
      <c r="B45" s="361">
        <v>228472</v>
      </c>
      <c r="C45" s="362">
        <f>B45/'- 3 -'!$D45*100</f>
        <v>1.3493404607714898</v>
      </c>
      <c r="D45" s="361">
        <v>899207</v>
      </c>
      <c r="E45" s="362">
        <f>D45/'- 3 -'!$D45*100</f>
        <v>5.310656831948549</v>
      </c>
      <c r="F45" s="361">
        <f>D45/'- 7 -'!$F45</f>
        <v>533.65400593471816</v>
      </c>
      <c r="G45" s="361">
        <v>786965</v>
      </c>
      <c r="H45" s="362">
        <f>G45/'- 3 -'!$D45*100</f>
        <v>4.6477630331552025</v>
      </c>
      <c r="I45" s="361">
        <f>G45/'- 7 -'!$F45</f>
        <v>467.04154302670622</v>
      </c>
    </row>
    <row r="46" spans="1:9" ht="14.1" customHeight="1">
      <c r="A46" s="23" t="s">
        <v>264</v>
      </c>
      <c r="B46" s="24">
        <v>31826500</v>
      </c>
      <c r="C46" s="353">
        <f>B46/'- 3 -'!$D46*100</f>
        <v>8.8245602068662237</v>
      </c>
      <c r="D46" s="24">
        <v>18556200</v>
      </c>
      <c r="E46" s="353">
        <f>D46/'- 3 -'!$D46*100</f>
        <v>5.1450930548646889</v>
      </c>
      <c r="F46" s="24">
        <f>D46/'- 7 -'!$F46</f>
        <v>611.60843770599865</v>
      </c>
      <c r="G46" s="24">
        <v>20051100</v>
      </c>
      <c r="H46" s="353">
        <f>G46/'- 3 -'!$D46*100</f>
        <v>5.5595852250136</v>
      </c>
      <c r="I46" s="24">
        <f>G46/'- 7 -'!$F46</f>
        <v>660.88002636783119</v>
      </c>
    </row>
    <row r="47" spans="1:9" ht="5.0999999999999996" customHeight="1">
      <c r="A47"/>
      <c r="B47"/>
      <c r="C47"/>
      <c r="D47"/>
      <c r="E47"/>
      <c r="F47"/>
      <c r="G47"/>
      <c r="H47"/>
      <c r="I47"/>
    </row>
    <row r="48" spans="1:9" ht="14.1" customHeight="1">
      <c r="A48" s="363" t="s">
        <v>265</v>
      </c>
      <c r="B48" s="364">
        <f>SUM(B11:B46)</f>
        <v>59225547</v>
      </c>
      <c r="C48" s="365">
        <f>B48/'- 3 -'!$D48*100</f>
        <v>2.8443840605255439</v>
      </c>
      <c r="D48" s="364">
        <f>SUM(D11:D46)</f>
        <v>143827858</v>
      </c>
      <c r="E48" s="365">
        <f>D48/'- 3 -'!$D48*100</f>
        <v>6.9075202759162586</v>
      </c>
      <c r="F48" s="364">
        <f>D48/'- 7 -'!$F48</f>
        <v>828.753549466658</v>
      </c>
      <c r="G48" s="364">
        <f>SUM(G11:G46)</f>
        <v>98681763</v>
      </c>
      <c r="H48" s="365">
        <f>G48/'- 3 -'!$D48*100</f>
        <v>4.7393202420191978</v>
      </c>
      <c r="I48" s="364">
        <f>G48/'- 7 -'!$F48</f>
        <v>568.61627845335443</v>
      </c>
    </row>
    <row r="49" spans="1:9" ht="5.0999999999999996" customHeight="1">
      <c r="A49" s="25" t="s">
        <v>3</v>
      </c>
      <c r="B49" s="26"/>
      <c r="C49" s="351"/>
      <c r="D49" s="26"/>
      <c r="E49" s="351"/>
      <c r="G49" s="26"/>
      <c r="H49" s="351"/>
      <c r="I49" s="26"/>
    </row>
    <row r="50" spans="1:9" ht="14.1" customHeight="1">
      <c r="A50" s="23" t="s">
        <v>266</v>
      </c>
      <c r="B50" s="24">
        <v>0</v>
      </c>
      <c r="C50" s="353">
        <f>B50/'- 3 -'!$D50*100</f>
        <v>0</v>
      </c>
      <c r="D50" s="24">
        <v>226765</v>
      </c>
      <c r="E50" s="353">
        <f>D50/'- 3 -'!$D50*100</f>
        <v>6.9098782936304435</v>
      </c>
      <c r="F50" s="24">
        <f>D50/'- 7 -'!$F50</f>
        <v>1357.8742514970061</v>
      </c>
      <c r="G50" s="24">
        <v>147243</v>
      </c>
      <c r="H50" s="353">
        <f>G50/'- 3 -'!$D50*100</f>
        <v>4.486720656137531</v>
      </c>
      <c r="I50" s="24">
        <f>G50/'- 7 -'!$F50</f>
        <v>881.69461077844312</v>
      </c>
    </row>
    <row r="51" spans="1:9" ht="14.1" customHeight="1">
      <c r="A51" s="360" t="s">
        <v>267</v>
      </c>
      <c r="B51" s="361">
        <v>0</v>
      </c>
      <c r="C51" s="362">
        <f>B51/'- 3 -'!$D51*100</f>
        <v>0</v>
      </c>
      <c r="D51" s="361">
        <v>72900</v>
      </c>
      <c r="E51" s="362">
        <f>D51/'- 3 -'!$D51*100</f>
        <v>0.35074497462800347</v>
      </c>
      <c r="F51" s="361">
        <f>D51/'- 7 -'!$F51</f>
        <v>117.39130434782609</v>
      </c>
      <c r="G51" s="361">
        <v>373436</v>
      </c>
      <c r="H51" s="362">
        <f>G51/'- 3 -'!$D51*100</f>
        <v>1.796718797601963</v>
      </c>
      <c r="I51" s="361">
        <f>G51/'- 7 -'!$F51</f>
        <v>601.34621578099836</v>
      </c>
    </row>
    <row r="52" spans="1:9" ht="50.1" customHeight="1">
      <c r="A52" s="27"/>
      <c r="B52" s="27"/>
      <c r="C52" s="27"/>
      <c r="D52" s="27"/>
      <c r="E52" s="27"/>
      <c r="F52" s="27"/>
      <c r="G52" s="27"/>
      <c r="H52" s="27"/>
      <c r="I52" s="27"/>
    </row>
    <row r="53" spans="1:9" ht="12" customHeight="1">
      <c r="A53" s="155" t="s">
        <v>637</v>
      </c>
      <c r="C53" s="115"/>
      <c r="D53" s="115"/>
      <c r="E53" s="115"/>
      <c r="F53" s="115"/>
      <c r="G53" s="115"/>
      <c r="H53" s="115"/>
      <c r="I53" s="115"/>
    </row>
    <row r="54" spans="1:9" ht="12" customHeight="1">
      <c r="A54" s="1" t="s">
        <v>638</v>
      </c>
      <c r="C54" s="115"/>
      <c r="D54" s="211"/>
      <c r="E54" s="115"/>
      <c r="F54" s="115"/>
      <c r="G54" s="115"/>
      <c r="H54" s="115"/>
      <c r="I54" s="115"/>
    </row>
    <row r="55" spans="1:9" ht="14.45" customHeight="1">
      <c r="B55" s="115"/>
    </row>
    <row r="56" spans="1:9" ht="14.45" customHeight="1">
      <c r="B56" s="115"/>
    </row>
    <row r="57" spans="1:9" ht="14.45" customHeight="1"/>
    <row r="58" spans="1:9"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19.xml><?xml version="1.0" encoding="utf-8"?>
<worksheet xmlns="http://schemas.openxmlformats.org/spreadsheetml/2006/main" xmlns:r="http://schemas.openxmlformats.org/officeDocument/2006/relationships">
  <sheetPr codeName="Sheet23">
    <pageSetUpPr fitToPage="1"/>
  </sheetPr>
  <dimension ref="A1:E59"/>
  <sheetViews>
    <sheetView showGridLines="0" showZeros="0" workbookViewId="0"/>
  </sheetViews>
  <sheetFormatPr defaultColWidth="15.83203125" defaultRowHeight="12"/>
  <cols>
    <col min="1" max="1" width="36.83203125" style="1" customWidth="1"/>
    <col min="2" max="2" width="21.6640625" style="1" customWidth="1"/>
    <col min="3" max="3" width="11.1640625" style="1" customWidth="1"/>
    <col min="4" max="4" width="14.1640625" style="1" customWidth="1"/>
    <col min="5" max="5" width="40.83203125" style="1" customWidth="1"/>
    <col min="6" max="16384" width="15.83203125" style="1"/>
  </cols>
  <sheetData>
    <row r="1" spans="1:5" ht="6.95" customHeight="1">
      <c r="A1" s="3"/>
      <c r="B1" s="4"/>
      <c r="C1" s="4"/>
      <c r="D1" s="4"/>
      <c r="E1" s="4"/>
    </row>
    <row r="2" spans="1:5" ht="15.95" customHeight="1">
      <c r="A2" s="161"/>
      <c r="B2" s="5" t="s">
        <v>483</v>
      </c>
      <c r="C2" s="6"/>
      <c r="D2" s="6"/>
      <c r="E2" s="184" t="s">
        <v>440</v>
      </c>
    </row>
    <row r="3" spans="1:5" ht="15.95" customHeight="1">
      <c r="A3" s="164"/>
      <c r="B3" s="7" t="str">
        <f>OPYEAR</f>
        <v>OPERATING FUND 2013/2014 BUDGET</v>
      </c>
      <c r="C3" s="8"/>
      <c r="D3" s="8"/>
      <c r="E3" s="101"/>
    </row>
    <row r="4" spans="1:5" ht="15.95" customHeight="1">
      <c r="B4" s="4"/>
      <c r="C4" s="4"/>
      <c r="D4" s="4"/>
      <c r="E4" s="4"/>
    </row>
    <row r="5" spans="1:5" ht="15.95" customHeight="1">
      <c r="B5" s="520" t="s">
        <v>468</v>
      </c>
      <c r="C5" s="174"/>
      <c r="D5" s="168"/>
      <c r="E5" s="75"/>
    </row>
    <row r="6" spans="1:5" ht="15.95" customHeight="1">
      <c r="B6" s="354" t="s">
        <v>18</v>
      </c>
      <c r="C6" s="355"/>
      <c r="D6" s="356"/>
      <c r="E6" s="105"/>
    </row>
    <row r="7" spans="1:5" ht="15.95" customHeight="1">
      <c r="B7" s="357" t="s">
        <v>463</v>
      </c>
      <c r="C7" s="358"/>
      <c r="D7" s="359"/>
      <c r="E7" s="105"/>
    </row>
    <row r="8" spans="1:5" ht="15.95" customHeight="1">
      <c r="A8" s="102"/>
      <c r="B8" s="170"/>
      <c r="C8" s="169"/>
      <c r="D8" s="169" t="s">
        <v>60</v>
      </c>
      <c r="E8" s="105"/>
    </row>
    <row r="9" spans="1:5" ht="15.95" customHeight="1">
      <c r="A9" s="35" t="s">
        <v>81</v>
      </c>
      <c r="B9" s="113" t="s">
        <v>82</v>
      </c>
      <c r="C9" s="113" t="s">
        <v>83</v>
      </c>
      <c r="D9" s="113" t="s">
        <v>84</v>
      </c>
    </row>
    <row r="10" spans="1:5" ht="5.0999999999999996" customHeight="1">
      <c r="A10" s="37"/>
    </row>
    <row r="11" spans="1:5" ht="14.1" customHeight="1">
      <c r="A11" s="360" t="s">
        <v>230</v>
      </c>
      <c r="B11" s="361">
        <v>267500</v>
      </c>
      <c r="C11" s="362">
        <f>B11/'- 3 -'!$D11*100</f>
        <v>1.5964020023118288</v>
      </c>
      <c r="D11" s="361">
        <f>B11/'- 7 -'!$F11</f>
        <v>174.66536075742735</v>
      </c>
    </row>
    <row r="12" spans="1:5" ht="14.1" customHeight="1">
      <c r="A12" s="23" t="s">
        <v>231</v>
      </c>
      <c r="B12" s="24">
        <v>318049</v>
      </c>
      <c r="C12" s="353">
        <f>B12/'- 3 -'!$D12*100</f>
        <v>1.0268787031758144</v>
      </c>
      <c r="D12" s="24">
        <f>B12/'- 7 -'!$F12</f>
        <v>139.61151837057196</v>
      </c>
    </row>
    <row r="13" spans="1:5" ht="14.1" customHeight="1">
      <c r="A13" s="360" t="s">
        <v>232</v>
      </c>
      <c r="B13" s="361">
        <v>2048300</v>
      </c>
      <c r="C13" s="362">
        <f>B13/'- 3 -'!$D13*100</f>
        <v>2.3716536271838771</v>
      </c>
      <c r="D13" s="361">
        <f>B13/'- 7 -'!$F13</f>
        <v>253.37610078141716</v>
      </c>
    </row>
    <row r="14" spans="1:5" ht="14.1" customHeight="1">
      <c r="A14" s="23" t="s">
        <v>578</v>
      </c>
      <c r="B14" s="24">
        <v>1319652</v>
      </c>
      <c r="C14" s="353">
        <f>B14/'- 3 -'!$D14*100</f>
        <v>1.7602878776287978</v>
      </c>
      <c r="D14" s="24">
        <f>B14/'- 7 -'!$F14</f>
        <v>253.04928092042186</v>
      </c>
    </row>
    <row r="15" spans="1:5" ht="14.1" customHeight="1">
      <c r="A15" s="360" t="s">
        <v>233</v>
      </c>
      <c r="B15" s="361">
        <v>562750</v>
      </c>
      <c r="C15" s="362">
        <f>B15/'- 3 -'!$D15*100</f>
        <v>2.8798827638236166</v>
      </c>
      <c r="D15" s="361">
        <f>B15/'- 7 -'!$F15</f>
        <v>370.23026315789474</v>
      </c>
    </row>
    <row r="16" spans="1:5" ht="14.1" customHeight="1">
      <c r="A16" s="23" t="s">
        <v>234</v>
      </c>
      <c r="B16" s="24">
        <v>280406</v>
      </c>
      <c r="C16" s="353">
        <f>B16/'- 3 -'!$D16*100</f>
        <v>2.1412136863389137</v>
      </c>
      <c r="D16" s="24">
        <f>B16/'- 7 -'!$F16</f>
        <v>281.81507537688441</v>
      </c>
    </row>
    <row r="17" spans="1:4" ht="14.1" customHeight="1">
      <c r="A17" s="360" t="s">
        <v>235</v>
      </c>
      <c r="B17" s="361">
        <v>264172</v>
      </c>
      <c r="C17" s="362">
        <f>B17/'- 3 -'!$D17*100</f>
        <v>1.6024337251846665</v>
      </c>
      <c r="D17" s="361">
        <f>B17/'- 7 -'!$F17</f>
        <v>203.13110342176086</v>
      </c>
    </row>
    <row r="18" spans="1:4" ht="14.1" customHeight="1">
      <c r="A18" s="23" t="s">
        <v>236</v>
      </c>
      <c r="B18" s="24">
        <v>1431188</v>
      </c>
      <c r="C18" s="353">
        <f>B18/'- 3 -'!$D18*100</f>
        <v>1.2007907531825983</v>
      </c>
      <c r="D18" s="24">
        <f>B18/'- 7 -'!$F18</f>
        <v>229.63305254713197</v>
      </c>
    </row>
    <row r="19" spans="1:4" ht="14.1" customHeight="1">
      <c r="A19" s="360" t="s">
        <v>237</v>
      </c>
      <c r="B19" s="361">
        <v>912900</v>
      </c>
      <c r="C19" s="362">
        <f>B19/'- 3 -'!$D19*100</f>
        <v>2.1030203532700997</v>
      </c>
      <c r="D19" s="361">
        <f>B19/'- 7 -'!$F19</f>
        <v>216.89237348538845</v>
      </c>
    </row>
    <row r="20" spans="1:4" ht="14.1" customHeight="1">
      <c r="A20" s="23" t="s">
        <v>238</v>
      </c>
      <c r="B20" s="24">
        <v>745100</v>
      </c>
      <c r="C20" s="353">
        <f>B20/'- 3 -'!$D20*100</f>
        <v>1.0483115304419763</v>
      </c>
      <c r="D20" s="24">
        <f>B20/'- 7 -'!$F20</f>
        <v>98.826182107566808</v>
      </c>
    </row>
    <row r="21" spans="1:4" ht="14.1" customHeight="1">
      <c r="A21" s="360" t="s">
        <v>239</v>
      </c>
      <c r="B21" s="361">
        <v>899000</v>
      </c>
      <c r="C21" s="362">
        <f>B21/'- 3 -'!$D21*100</f>
        <v>2.6403786379329248</v>
      </c>
      <c r="D21" s="361">
        <f>B21/'- 7 -'!$F21</f>
        <v>334.20074349442382</v>
      </c>
    </row>
    <row r="22" spans="1:4" ht="14.1" customHeight="1">
      <c r="A22" s="23" t="s">
        <v>240</v>
      </c>
      <c r="B22" s="24">
        <v>569625</v>
      </c>
      <c r="C22" s="353">
        <f>B22/'- 3 -'!$D22*100</f>
        <v>2.8605681855503251</v>
      </c>
      <c r="D22" s="24">
        <f>B22/'- 7 -'!$F22</f>
        <v>351.83755404570724</v>
      </c>
    </row>
    <row r="23" spans="1:4" ht="14.1" customHeight="1">
      <c r="A23" s="360" t="s">
        <v>241</v>
      </c>
      <c r="B23" s="361">
        <v>310000</v>
      </c>
      <c r="C23" s="362">
        <f>B23/'- 3 -'!$D23*100</f>
        <v>1.934600517474435</v>
      </c>
      <c r="D23" s="361">
        <f>B23/'- 7 -'!$F23</f>
        <v>262.26734348561757</v>
      </c>
    </row>
    <row r="24" spans="1:4" ht="14.1" customHeight="1">
      <c r="A24" s="23" t="s">
        <v>242</v>
      </c>
      <c r="B24" s="24">
        <v>1035325</v>
      </c>
      <c r="C24" s="353">
        <f>B24/'- 3 -'!$D24*100</f>
        <v>1.9620596144332314</v>
      </c>
      <c r="D24" s="24">
        <f>B24/'- 7 -'!$F24</f>
        <v>246.71154533539854</v>
      </c>
    </row>
    <row r="25" spans="1:4" ht="14.1" customHeight="1">
      <c r="A25" s="360" t="s">
        <v>243</v>
      </c>
      <c r="B25" s="361">
        <v>2684292</v>
      </c>
      <c r="C25" s="362">
        <f>B25/'- 3 -'!$D25*100</f>
        <v>1.7334534951749012</v>
      </c>
      <c r="D25" s="361">
        <f>B25/'- 7 -'!$F25</f>
        <v>194.41529658868689</v>
      </c>
    </row>
    <row r="26" spans="1:4" ht="14.1" customHeight="1">
      <c r="A26" s="23" t="s">
        <v>244</v>
      </c>
      <c r="B26" s="24">
        <v>968807</v>
      </c>
      <c r="C26" s="353">
        <f>B26/'- 3 -'!$D26*100</f>
        <v>2.5533248474374388</v>
      </c>
      <c r="D26" s="24">
        <f>B26/'- 7 -'!$F26</f>
        <v>313.68204630079327</v>
      </c>
    </row>
    <row r="27" spans="1:4" ht="14.1" customHeight="1">
      <c r="A27" s="360" t="s">
        <v>245</v>
      </c>
      <c r="B27" s="361">
        <v>1045536</v>
      </c>
      <c r="C27" s="362">
        <f>B27/'- 3 -'!$D27*100</f>
        <v>2.7172733497161126</v>
      </c>
      <c r="D27" s="361">
        <f>B27/'- 7 -'!$F27</f>
        <v>380.05670665212648</v>
      </c>
    </row>
    <row r="28" spans="1:4" ht="14.1" customHeight="1">
      <c r="A28" s="23" t="s">
        <v>246</v>
      </c>
      <c r="B28" s="24">
        <v>444342</v>
      </c>
      <c r="C28" s="353">
        <f>B28/'- 3 -'!$D28*100</f>
        <v>1.7042192295540062</v>
      </c>
      <c r="D28" s="24">
        <f>B28/'- 7 -'!$F28</f>
        <v>224.98329113924049</v>
      </c>
    </row>
    <row r="29" spans="1:4" ht="14.1" customHeight="1">
      <c r="A29" s="360" t="s">
        <v>247</v>
      </c>
      <c r="B29" s="361">
        <v>2823190</v>
      </c>
      <c r="C29" s="362">
        <f>B29/'- 3 -'!$D29*100</f>
        <v>1.9879249187841568</v>
      </c>
      <c r="D29" s="361">
        <f>B29/'- 7 -'!$F29</f>
        <v>233.56277145811788</v>
      </c>
    </row>
    <row r="30" spans="1:4" ht="14.1" customHeight="1">
      <c r="A30" s="23" t="s">
        <v>248</v>
      </c>
      <c r="B30" s="24">
        <v>153220</v>
      </c>
      <c r="C30" s="353">
        <f>B30/'- 3 -'!$D30*100</f>
        <v>1.1387360594574512</v>
      </c>
      <c r="D30" s="24">
        <f>B30/'- 7 -'!$F30</f>
        <v>143.19626168224298</v>
      </c>
    </row>
    <row r="31" spans="1:4" ht="14.1" customHeight="1">
      <c r="A31" s="360" t="s">
        <v>249</v>
      </c>
      <c r="B31" s="361">
        <v>859259</v>
      </c>
      <c r="C31" s="362">
        <f>B31/'- 3 -'!$D31*100</f>
        <v>2.5553917934433539</v>
      </c>
      <c r="D31" s="361">
        <f>B31/'- 7 -'!$F31</f>
        <v>269.3601880877743</v>
      </c>
    </row>
    <row r="32" spans="1:4" ht="14.1" customHeight="1">
      <c r="A32" s="23" t="s">
        <v>250</v>
      </c>
      <c r="B32" s="24">
        <v>290435</v>
      </c>
      <c r="C32" s="353">
        <f>B32/'- 3 -'!$D32*100</f>
        <v>1.1370337128234977</v>
      </c>
      <c r="D32" s="24">
        <f>B32/'- 7 -'!$F32</f>
        <v>141.98728917135176</v>
      </c>
    </row>
    <row r="33" spans="1:5" ht="14.1" customHeight="1">
      <c r="A33" s="360" t="s">
        <v>251</v>
      </c>
      <c r="B33" s="361">
        <v>333200</v>
      </c>
      <c r="C33" s="362">
        <f>B33/'- 3 -'!$D33*100</f>
        <v>1.2686905301314002</v>
      </c>
      <c r="D33" s="361">
        <f>B33/'- 7 -'!$F33</f>
        <v>164.46199407699902</v>
      </c>
    </row>
    <row r="34" spans="1:5" ht="14.1" customHeight="1">
      <c r="A34" s="23" t="s">
        <v>252</v>
      </c>
      <c r="B34" s="24">
        <v>667555</v>
      </c>
      <c r="C34" s="353">
        <f>B34/'- 3 -'!$D34*100</f>
        <v>2.6134448958556566</v>
      </c>
      <c r="D34" s="24">
        <f>B34/'- 7 -'!$F34</f>
        <v>331.3964167456823</v>
      </c>
    </row>
    <row r="35" spans="1:5" ht="14.1" customHeight="1">
      <c r="A35" s="360" t="s">
        <v>253</v>
      </c>
      <c r="B35" s="361">
        <v>2640238</v>
      </c>
      <c r="C35" s="362">
        <f>B35/'- 3 -'!$D35*100</f>
        <v>1.5758130584761474</v>
      </c>
      <c r="D35" s="361">
        <f>B35/'- 7 -'!$F35</f>
        <v>167.25716638687402</v>
      </c>
    </row>
    <row r="36" spans="1:5" ht="14.1" customHeight="1">
      <c r="A36" s="23" t="s">
        <v>254</v>
      </c>
      <c r="B36" s="24">
        <v>462305</v>
      </c>
      <c r="C36" s="353">
        <f>B36/'- 3 -'!$D36*100</f>
        <v>2.1434376882094583</v>
      </c>
      <c r="D36" s="24">
        <f>B36/'- 7 -'!$F36</f>
        <v>275.42746499851057</v>
      </c>
    </row>
    <row r="37" spans="1:5" ht="14.1" customHeight="1">
      <c r="A37" s="360" t="s">
        <v>255</v>
      </c>
      <c r="B37" s="361">
        <v>937839</v>
      </c>
      <c r="C37" s="362">
        <f>B37/'- 3 -'!$D37*100</f>
        <v>2.2509009349562765</v>
      </c>
      <c r="D37" s="361">
        <f>B37/'- 7 -'!$F37</f>
        <v>251.53251978007242</v>
      </c>
    </row>
    <row r="38" spans="1:5" ht="14.1" customHeight="1">
      <c r="A38" s="23" t="s">
        <v>256</v>
      </c>
      <c r="B38" s="24">
        <v>2423360</v>
      </c>
      <c r="C38" s="353">
        <f>B38/'- 3 -'!$D38*100</f>
        <v>2.0659882456508587</v>
      </c>
      <c r="D38" s="24">
        <f>B38/'- 7 -'!$F38</f>
        <v>229.65883244882485</v>
      </c>
    </row>
    <row r="39" spans="1:5" ht="14.1" customHeight="1">
      <c r="A39" s="360" t="s">
        <v>257</v>
      </c>
      <c r="B39" s="361">
        <v>236000</v>
      </c>
      <c r="C39" s="362">
        <f>B39/'- 3 -'!$D39*100</f>
        <v>1.1484758314454047</v>
      </c>
      <c r="D39" s="361">
        <f>B39/'- 7 -'!$F39</f>
        <v>149.08401768793431</v>
      </c>
    </row>
    <row r="40" spans="1:5" ht="14.1" customHeight="1">
      <c r="A40" s="23" t="s">
        <v>258</v>
      </c>
      <c r="B40" s="24">
        <v>2208688</v>
      </c>
      <c r="C40" s="353">
        <f>B40/'- 3 -'!$D40*100</f>
        <v>2.2717891238319923</v>
      </c>
      <c r="D40" s="24">
        <f>B40/'- 7 -'!$F40</f>
        <v>276.68432986332948</v>
      </c>
    </row>
    <row r="41" spans="1:5" ht="14.1" customHeight="1">
      <c r="A41" s="360" t="s">
        <v>259</v>
      </c>
      <c r="B41" s="361">
        <v>1124908</v>
      </c>
      <c r="C41" s="362">
        <f>B41/'- 3 -'!$D41*100</f>
        <v>1.9502832996499087</v>
      </c>
      <c r="D41" s="361">
        <f>B41/'- 7 -'!$F41</f>
        <v>252.95884866201934</v>
      </c>
    </row>
    <row r="42" spans="1:5" ht="14.1" customHeight="1">
      <c r="A42" s="23" t="s">
        <v>260</v>
      </c>
      <c r="B42" s="24">
        <v>226236</v>
      </c>
      <c r="C42" s="353">
        <f>B42/'- 3 -'!$D42*100</f>
        <v>1.121332402772234</v>
      </c>
      <c r="D42" s="24">
        <f>B42/'- 7 -'!$F42</f>
        <v>161.71265189421015</v>
      </c>
    </row>
    <row r="43" spans="1:5" ht="14.1" customHeight="1">
      <c r="A43" s="360" t="s">
        <v>261</v>
      </c>
      <c r="B43" s="361">
        <v>201374</v>
      </c>
      <c r="C43" s="362">
        <f>B43/'- 3 -'!$D43*100</f>
        <v>1.6842966317245693</v>
      </c>
      <c r="D43" s="361">
        <f>B43/'- 7 -'!$F43</f>
        <v>208.56965302951838</v>
      </c>
    </row>
    <row r="44" spans="1:5" ht="14.1" customHeight="1">
      <c r="A44" s="23" t="s">
        <v>262</v>
      </c>
      <c r="B44" s="24">
        <v>74257</v>
      </c>
      <c r="C44" s="353">
        <f>B44/'- 3 -'!$D44*100</f>
        <v>0.70462208440870988</v>
      </c>
      <c r="D44" s="24">
        <f>B44/'- 7 -'!$F44</f>
        <v>98.614873837981406</v>
      </c>
    </row>
    <row r="45" spans="1:5" ht="14.1" customHeight="1">
      <c r="A45" s="360" t="s">
        <v>263</v>
      </c>
      <c r="B45" s="361">
        <v>430892</v>
      </c>
      <c r="C45" s="362">
        <f>B45/'- 3 -'!$D45*100</f>
        <v>2.5448195394741973</v>
      </c>
      <c r="D45" s="361">
        <f>B45/'- 7 -'!$F45</f>
        <v>255.72225519287835</v>
      </c>
    </row>
    <row r="46" spans="1:5" ht="14.1" customHeight="1">
      <c r="A46" s="23" t="s">
        <v>264</v>
      </c>
      <c r="B46" s="24">
        <v>5384500</v>
      </c>
      <c r="C46" s="353">
        <f>B46/'- 3 -'!$D46*100</f>
        <v>1.4929648071220896</v>
      </c>
      <c r="D46" s="24">
        <f>B46/'- 7 -'!$F46</f>
        <v>177.47198417930124</v>
      </c>
    </row>
    <row r="47" spans="1:5" ht="5.0999999999999996" customHeight="1">
      <c r="A47"/>
      <c r="B47"/>
      <c r="C47"/>
      <c r="D47"/>
    </row>
    <row r="48" spans="1:5" ht="14.1" customHeight="1">
      <c r="A48" s="363" t="s">
        <v>265</v>
      </c>
      <c r="B48" s="364">
        <f>SUM(B11:B46)</f>
        <v>37584400</v>
      </c>
      <c r="C48" s="365">
        <f>B48/'- 3 -'!$D48*100</f>
        <v>1.805039779276606</v>
      </c>
      <c r="D48" s="364">
        <f>B48/'- 7 -'!$F48</f>
        <v>216.56586795984032</v>
      </c>
      <c r="E48" s="37"/>
    </row>
    <row r="49" spans="1:5" ht="5.0999999999999996" customHeight="1">
      <c r="A49" s="25" t="s">
        <v>3</v>
      </c>
      <c r="B49" s="26"/>
      <c r="C49" s="351"/>
      <c r="D49" s="26"/>
    </row>
    <row r="50" spans="1:5" ht="14.1" customHeight="1">
      <c r="A50" s="23" t="s">
        <v>266</v>
      </c>
      <c r="B50" s="24">
        <v>90851</v>
      </c>
      <c r="C50" s="353">
        <f>B50/'- 3 -'!$D50*100</f>
        <v>2.7683696904487878</v>
      </c>
      <c r="D50" s="24">
        <f>B50/'- 7 -'!$F50</f>
        <v>544.01796407185634</v>
      </c>
    </row>
    <row r="51" spans="1:5" ht="14.1" customHeight="1">
      <c r="A51" s="360" t="s">
        <v>267</v>
      </c>
      <c r="B51" s="361">
        <v>546914</v>
      </c>
      <c r="C51" s="362">
        <f>B51/'- 3 -'!$D51*100</f>
        <v>2.6313763656200257</v>
      </c>
      <c r="D51" s="361">
        <f>B51/'- 7 -'!$F51</f>
        <v>880.69887278582928</v>
      </c>
    </row>
    <row r="52" spans="1:5" ht="50.1" customHeight="1">
      <c r="A52"/>
      <c r="B52"/>
      <c r="C52"/>
      <c r="D52"/>
      <c r="E52"/>
    </row>
    <row r="53" spans="1:5" ht="15" customHeight="1">
      <c r="A53" s="608"/>
      <c r="B53" s="608"/>
      <c r="C53" s="608"/>
      <c r="D53" s="608"/>
      <c r="E53" s="608"/>
    </row>
    <row r="54" spans="1:5" ht="14.45" customHeight="1">
      <c r="A54" s="608"/>
      <c r="B54" s="608"/>
      <c r="C54" s="608"/>
      <c r="D54" s="608"/>
      <c r="E54" s="608"/>
    </row>
    <row r="55" spans="1:5" ht="14.45" customHeight="1"/>
    <row r="56" spans="1:5" ht="14.45" customHeight="1"/>
    <row r="57" spans="1:5" ht="14.45" customHeight="1"/>
    <row r="58" spans="1:5" ht="14.45" customHeight="1"/>
    <row r="59" spans="1:5"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xml><?xml version="1.0" encoding="utf-8"?>
<worksheet xmlns="http://schemas.openxmlformats.org/spreadsheetml/2006/main" xmlns:r="http://schemas.openxmlformats.org/officeDocument/2006/relationships">
  <sheetPr transitionEntry="1" codeName="Sheet1">
    <pageSetUpPr fitToPage="1"/>
  </sheetPr>
  <dimension ref="A1:G65536"/>
  <sheetViews>
    <sheetView showGridLines="0" showZeros="0" workbookViewId="0"/>
  </sheetViews>
  <sheetFormatPr defaultColWidth="15.83203125" defaultRowHeight="12"/>
  <cols>
    <col min="1" max="1" width="32.83203125" style="1" customWidth="1"/>
    <col min="2" max="2" width="18.83203125" style="1" customWidth="1"/>
    <col min="3" max="3" width="19.83203125" style="1" customWidth="1"/>
    <col min="4" max="4" width="21.83203125" style="1" customWidth="1"/>
    <col min="5" max="5" width="19.83203125" style="1" customWidth="1"/>
    <col min="6" max="6" width="20.83203125" style="1" customWidth="1"/>
    <col min="7" max="16384" width="15.83203125" style="1"/>
  </cols>
  <sheetData>
    <row r="1" spans="1:6" ht="6.95" customHeight="1">
      <c r="A1" s="3"/>
      <c r="B1" s="4"/>
      <c r="C1" s="4"/>
      <c r="D1" s="4"/>
      <c r="E1" s="4"/>
      <c r="F1" s="4"/>
    </row>
    <row r="2" spans="1:6" ht="15.95" customHeight="1">
      <c r="A2" s="5" t="s">
        <v>477</v>
      </c>
      <c r="B2" s="6"/>
      <c r="C2" s="6"/>
      <c r="D2" s="6"/>
      <c r="E2" s="6"/>
      <c r="F2" s="6"/>
    </row>
    <row r="3" spans="1:6" ht="15.95" customHeight="1">
      <c r="A3" s="7" t="str">
        <f>"OPERATING FUND "&amp;YEAR&amp;"/"&amp;YEAR+1&amp;" BUDGET"</f>
        <v>OPERATING FUND 2013/2014 BUDGET</v>
      </c>
      <c r="B3" s="8"/>
      <c r="C3" s="9"/>
      <c r="D3" s="8"/>
      <c r="E3" s="8"/>
      <c r="F3" s="8"/>
    </row>
    <row r="4" spans="1:6" ht="15.95" customHeight="1">
      <c r="B4" s="4"/>
      <c r="C4" s="4"/>
      <c r="D4" s="4"/>
      <c r="E4" s="4"/>
      <c r="F4" s="4"/>
    </row>
    <row r="5" spans="1:6" ht="15.95" customHeight="1">
      <c r="B5" s="4"/>
      <c r="C5" s="4"/>
      <c r="D5" s="4"/>
      <c r="E5" s="4"/>
      <c r="F5" s="4"/>
    </row>
    <row r="6" spans="1:6" ht="15.95" customHeight="1">
      <c r="B6" s="10"/>
      <c r="C6" s="11" t="s">
        <v>28</v>
      </c>
      <c r="D6" s="12"/>
      <c r="E6" s="13" t="s">
        <v>28</v>
      </c>
      <c r="F6" s="13" t="s">
        <v>29</v>
      </c>
    </row>
    <row r="7" spans="1:6" ht="15.95" customHeight="1">
      <c r="B7" s="10"/>
      <c r="C7" s="14" t="s">
        <v>108</v>
      </c>
      <c r="D7" s="15"/>
      <c r="E7" s="16" t="s">
        <v>456</v>
      </c>
      <c r="F7" s="16" t="s">
        <v>273</v>
      </c>
    </row>
    <row r="8" spans="1:6" ht="15.95" customHeight="1">
      <c r="A8" s="17"/>
      <c r="B8" s="18" t="s">
        <v>54</v>
      </c>
      <c r="C8" s="14" t="s">
        <v>121</v>
      </c>
      <c r="D8" s="16" t="s">
        <v>476</v>
      </c>
      <c r="E8" s="16" t="s">
        <v>77</v>
      </c>
      <c r="F8" s="16" t="s">
        <v>78</v>
      </c>
    </row>
    <row r="9" spans="1:6" ht="13.5">
      <c r="A9" s="19" t="s">
        <v>81</v>
      </c>
      <c r="B9" s="20" t="s">
        <v>384</v>
      </c>
      <c r="C9" s="20" t="s">
        <v>385</v>
      </c>
      <c r="D9" s="21" t="s">
        <v>475</v>
      </c>
      <c r="E9" s="21" t="s">
        <v>386</v>
      </c>
      <c r="F9" s="21" t="s">
        <v>387</v>
      </c>
    </row>
    <row r="10" spans="1:6" ht="5.0999999999999996" customHeight="1">
      <c r="A10" s="22"/>
    </row>
    <row r="11" spans="1:6" ht="14.1" customHeight="1">
      <c r="A11" s="360" t="s">
        <v>230</v>
      </c>
      <c r="B11" s="361">
        <v>16803931</v>
      </c>
      <c r="C11" s="361">
        <f>-Data!L11</f>
        <v>-47500</v>
      </c>
      <c r="D11" s="361">
        <f>B11+C11</f>
        <v>16756431</v>
      </c>
      <c r="E11" s="361">
        <f>-'- 15 -'!H11-'- 16 -'!B11</f>
        <v>-21450</v>
      </c>
      <c r="F11" s="361">
        <f>D11+E11</f>
        <v>16734981</v>
      </c>
    </row>
    <row r="12" spans="1:6" ht="14.1" customHeight="1">
      <c r="A12" s="23" t="s">
        <v>231</v>
      </c>
      <c r="B12" s="24">
        <v>31302402</v>
      </c>
      <c r="C12" s="24">
        <f>-Data!L12</f>
        <v>-330000</v>
      </c>
      <c r="D12" s="24">
        <f t="shared" ref="D12:D46" si="0">B12+C12</f>
        <v>30972402</v>
      </c>
      <c r="E12" s="24">
        <f>-'- 15 -'!H12-'- 16 -'!B12</f>
        <v>-571641</v>
      </c>
      <c r="F12" s="24">
        <f t="shared" ref="F12:F46" si="1">D12+E12</f>
        <v>30400761</v>
      </c>
    </row>
    <row r="13" spans="1:6" ht="14.1" customHeight="1">
      <c r="A13" s="360" t="s">
        <v>232</v>
      </c>
      <c r="B13" s="361">
        <v>86510300</v>
      </c>
      <c r="C13" s="361">
        <f>-Data!L13</f>
        <v>-144400</v>
      </c>
      <c r="D13" s="361">
        <f t="shared" si="0"/>
        <v>86365900</v>
      </c>
      <c r="E13" s="361">
        <f>-'- 15 -'!H13-'- 16 -'!B13</f>
        <v>-293200</v>
      </c>
      <c r="F13" s="361">
        <f t="shared" si="1"/>
        <v>86072700</v>
      </c>
    </row>
    <row r="14" spans="1:6" ht="14.1" customHeight="1">
      <c r="A14" s="23" t="s">
        <v>578</v>
      </c>
      <c r="B14" s="24">
        <v>75284865</v>
      </c>
      <c r="C14" s="24">
        <f>-Data!L14</f>
        <v>-316900</v>
      </c>
      <c r="D14" s="24">
        <f t="shared" si="0"/>
        <v>74967965</v>
      </c>
      <c r="E14" s="24">
        <f>-'- 15 -'!H14-'- 16 -'!B14</f>
        <v>-1191729</v>
      </c>
      <c r="F14" s="24">
        <f t="shared" si="1"/>
        <v>73776236</v>
      </c>
    </row>
    <row r="15" spans="1:6" ht="14.1" customHeight="1">
      <c r="A15" s="360" t="s">
        <v>233</v>
      </c>
      <c r="B15" s="361">
        <v>19583726</v>
      </c>
      <c r="C15" s="361">
        <f>-Data!L15</f>
        <v>-43000</v>
      </c>
      <c r="D15" s="361">
        <f t="shared" si="0"/>
        <v>19540726</v>
      </c>
      <c r="E15" s="361">
        <f>-'- 15 -'!H15-'- 16 -'!B15</f>
        <v>-47500</v>
      </c>
      <c r="F15" s="361">
        <f t="shared" si="1"/>
        <v>19493226</v>
      </c>
    </row>
    <row r="16" spans="1:6" ht="14.1" customHeight="1">
      <c r="A16" s="23" t="s">
        <v>234</v>
      </c>
      <c r="B16" s="24">
        <v>13095657</v>
      </c>
      <c r="C16" s="24">
        <f>-Data!L16</f>
        <v>0</v>
      </c>
      <c r="D16" s="24">
        <f t="shared" si="0"/>
        <v>13095657</v>
      </c>
      <c r="E16" s="24">
        <f>-'- 15 -'!H16-'- 16 -'!B16</f>
        <v>-110290</v>
      </c>
      <c r="F16" s="24">
        <f t="shared" si="1"/>
        <v>12985367</v>
      </c>
    </row>
    <row r="17" spans="1:6" ht="14.1" customHeight="1">
      <c r="A17" s="360" t="s">
        <v>235</v>
      </c>
      <c r="B17" s="361">
        <v>16713574</v>
      </c>
      <c r="C17" s="361">
        <f>-Data!L17</f>
        <v>-227900</v>
      </c>
      <c r="D17" s="361">
        <f t="shared" si="0"/>
        <v>16485674</v>
      </c>
      <c r="E17" s="361">
        <f>-'- 15 -'!H17-'- 16 -'!B17</f>
        <v>-235500</v>
      </c>
      <c r="F17" s="361">
        <f t="shared" si="1"/>
        <v>16250174</v>
      </c>
    </row>
    <row r="18" spans="1:6" ht="14.1" customHeight="1">
      <c r="A18" s="23" t="s">
        <v>236</v>
      </c>
      <c r="B18" s="24">
        <v>123521887</v>
      </c>
      <c r="C18" s="24">
        <f>-Data!L18</f>
        <v>-4334760</v>
      </c>
      <c r="D18" s="24">
        <f t="shared" si="0"/>
        <v>119187127</v>
      </c>
      <c r="E18" s="24">
        <f>-'- 15 -'!H18-'- 16 -'!B18</f>
        <v>-4191530</v>
      </c>
      <c r="F18" s="24">
        <f t="shared" si="1"/>
        <v>114995597</v>
      </c>
    </row>
    <row r="19" spans="1:6" ht="14.1" customHeight="1">
      <c r="A19" s="360" t="s">
        <v>237</v>
      </c>
      <c r="B19" s="361">
        <v>43706995</v>
      </c>
      <c r="C19" s="361">
        <f>-Data!L19</f>
        <v>-298000</v>
      </c>
      <c r="D19" s="361">
        <f t="shared" si="0"/>
        <v>43408995</v>
      </c>
      <c r="E19" s="361">
        <f>-'- 15 -'!H19-'- 16 -'!B19</f>
        <v>-71800</v>
      </c>
      <c r="F19" s="361">
        <f t="shared" si="1"/>
        <v>43337195</v>
      </c>
    </row>
    <row r="20" spans="1:6" ht="14.1" customHeight="1">
      <c r="A20" s="23" t="s">
        <v>238</v>
      </c>
      <c r="B20" s="24">
        <v>72070900</v>
      </c>
      <c r="C20" s="24">
        <f>-Data!L20</f>
        <v>-994700</v>
      </c>
      <c r="D20" s="24">
        <f t="shared" si="0"/>
        <v>71076200</v>
      </c>
      <c r="E20" s="24">
        <f>-'- 15 -'!H20-'- 16 -'!B20</f>
        <v>-124700</v>
      </c>
      <c r="F20" s="24">
        <f t="shared" si="1"/>
        <v>70951500</v>
      </c>
    </row>
    <row r="21" spans="1:6" ht="14.1" customHeight="1">
      <c r="A21" s="360" t="s">
        <v>239</v>
      </c>
      <c r="B21" s="361">
        <v>34424500</v>
      </c>
      <c r="C21" s="361">
        <f>-Data!L21</f>
        <v>-376353</v>
      </c>
      <c r="D21" s="361">
        <f t="shared" si="0"/>
        <v>34048147</v>
      </c>
      <c r="E21" s="361">
        <f>-'- 15 -'!H21-'- 16 -'!B21</f>
        <v>-240000</v>
      </c>
      <c r="F21" s="361">
        <f t="shared" si="1"/>
        <v>33808147</v>
      </c>
    </row>
    <row r="22" spans="1:6" ht="14.1" customHeight="1">
      <c r="A22" s="23" t="s">
        <v>240</v>
      </c>
      <c r="B22" s="24">
        <v>19940502</v>
      </c>
      <c r="C22" s="24">
        <f>-Data!L22</f>
        <v>-27500</v>
      </c>
      <c r="D22" s="24">
        <f t="shared" si="0"/>
        <v>19913002</v>
      </c>
      <c r="E22" s="24">
        <f>-'- 15 -'!H22-'- 16 -'!B22</f>
        <v>-874550</v>
      </c>
      <c r="F22" s="24">
        <f t="shared" si="1"/>
        <v>19038452</v>
      </c>
    </row>
    <row r="23" spans="1:6" ht="14.1" customHeight="1">
      <c r="A23" s="360" t="s">
        <v>241</v>
      </c>
      <c r="B23" s="361">
        <v>16060080</v>
      </c>
      <c r="C23" s="361">
        <f>-Data!L23</f>
        <v>-36100</v>
      </c>
      <c r="D23" s="361">
        <f t="shared" si="0"/>
        <v>16023980</v>
      </c>
      <c r="E23" s="361">
        <f>-'- 15 -'!H23-'- 16 -'!B23</f>
        <v>-512000</v>
      </c>
      <c r="F23" s="361">
        <f t="shared" si="1"/>
        <v>15511980</v>
      </c>
    </row>
    <row r="24" spans="1:6" ht="14.1" customHeight="1">
      <c r="A24" s="23" t="s">
        <v>242</v>
      </c>
      <c r="B24" s="24">
        <v>52922255</v>
      </c>
      <c r="C24" s="24">
        <f>-Data!L24</f>
        <v>-155000</v>
      </c>
      <c r="D24" s="24">
        <f t="shared" si="0"/>
        <v>52767255</v>
      </c>
      <c r="E24" s="24">
        <f>-'- 15 -'!H24-'- 16 -'!B24</f>
        <v>-756970</v>
      </c>
      <c r="F24" s="24">
        <f t="shared" si="1"/>
        <v>52010285</v>
      </c>
    </row>
    <row r="25" spans="1:6" ht="14.1" customHeight="1">
      <c r="A25" s="360" t="s">
        <v>243</v>
      </c>
      <c r="B25" s="361">
        <v>156024865</v>
      </c>
      <c r="C25" s="361">
        <f>-Data!L25</f>
        <v>-1172600</v>
      </c>
      <c r="D25" s="361">
        <f t="shared" si="0"/>
        <v>154852265</v>
      </c>
      <c r="E25" s="361">
        <f>-'- 15 -'!H25-'- 16 -'!B25</f>
        <v>-990932</v>
      </c>
      <c r="F25" s="361">
        <f t="shared" si="1"/>
        <v>153861333</v>
      </c>
    </row>
    <row r="26" spans="1:6" ht="14.1" customHeight="1">
      <c r="A26" s="23" t="s">
        <v>244</v>
      </c>
      <c r="B26" s="24">
        <v>37950459</v>
      </c>
      <c r="C26" s="24">
        <f>-Data!L26</f>
        <v>-7500</v>
      </c>
      <c r="D26" s="24">
        <f t="shared" si="0"/>
        <v>37942959</v>
      </c>
      <c r="E26" s="24">
        <f>-'- 15 -'!H26-'- 16 -'!B26</f>
        <v>-101005</v>
      </c>
      <c r="F26" s="24">
        <f t="shared" si="1"/>
        <v>37841954</v>
      </c>
    </row>
    <row r="27" spans="1:6" ht="14.1" customHeight="1">
      <c r="A27" s="360" t="s">
        <v>245</v>
      </c>
      <c r="B27" s="361">
        <v>38487695</v>
      </c>
      <c r="C27" s="361">
        <f>-Data!L27</f>
        <v>-10300</v>
      </c>
      <c r="D27" s="361">
        <f t="shared" si="0"/>
        <v>38477395</v>
      </c>
      <c r="E27" s="361">
        <f>-'- 15 -'!H27-'- 16 -'!B27</f>
        <v>-49981</v>
      </c>
      <c r="F27" s="361">
        <f t="shared" si="1"/>
        <v>38427414</v>
      </c>
    </row>
    <row r="28" spans="1:6" ht="14.1" customHeight="1">
      <c r="A28" s="23" t="s">
        <v>246</v>
      </c>
      <c r="B28" s="24">
        <v>26168054</v>
      </c>
      <c r="C28" s="24">
        <f>-Data!L28</f>
        <v>-95000</v>
      </c>
      <c r="D28" s="24">
        <f t="shared" si="0"/>
        <v>26073054</v>
      </c>
      <c r="E28" s="24">
        <f>-'- 15 -'!H28-'- 16 -'!B28</f>
        <v>-222644</v>
      </c>
      <c r="F28" s="24">
        <f t="shared" si="1"/>
        <v>25850410</v>
      </c>
    </row>
    <row r="29" spans="1:6" ht="14.1" customHeight="1">
      <c r="A29" s="360" t="s">
        <v>247</v>
      </c>
      <c r="B29" s="361">
        <v>143911933</v>
      </c>
      <c r="C29" s="361">
        <f>-Data!L29</f>
        <v>-1895000</v>
      </c>
      <c r="D29" s="361">
        <f t="shared" si="0"/>
        <v>142016933</v>
      </c>
      <c r="E29" s="361">
        <f>-'- 15 -'!H29-'- 16 -'!B29</f>
        <v>-591074</v>
      </c>
      <c r="F29" s="361">
        <f t="shared" si="1"/>
        <v>141425859</v>
      </c>
    </row>
    <row r="30" spans="1:6" ht="14.1" customHeight="1">
      <c r="A30" s="23" t="s">
        <v>248</v>
      </c>
      <c r="B30" s="24">
        <v>13484269</v>
      </c>
      <c r="C30" s="24">
        <f>-Data!L30</f>
        <v>-29000</v>
      </c>
      <c r="D30" s="24">
        <f t="shared" si="0"/>
        <v>13455269</v>
      </c>
      <c r="E30" s="24">
        <f>-'- 15 -'!H30-'- 16 -'!B30</f>
        <v>-13108</v>
      </c>
      <c r="F30" s="24">
        <f t="shared" si="1"/>
        <v>13442161</v>
      </c>
    </row>
    <row r="31" spans="1:6" ht="14.1" customHeight="1">
      <c r="A31" s="360" t="s">
        <v>249</v>
      </c>
      <c r="B31" s="361">
        <v>33675333</v>
      </c>
      <c r="C31" s="361">
        <f>-Data!L31</f>
        <v>-50000</v>
      </c>
      <c r="D31" s="361">
        <f t="shared" si="0"/>
        <v>33625333</v>
      </c>
      <c r="E31" s="361">
        <f>-'- 15 -'!H31-'- 16 -'!B31</f>
        <v>-48719</v>
      </c>
      <c r="F31" s="361">
        <f t="shared" si="1"/>
        <v>33576614</v>
      </c>
    </row>
    <row r="32" spans="1:6" ht="14.1" customHeight="1">
      <c r="A32" s="23" t="s">
        <v>250</v>
      </c>
      <c r="B32" s="24">
        <v>25745018</v>
      </c>
      <c r="C32" s="24">
        <f>-Data!L32</f>
        <v>-201800</v>
      </c>
      <c r="D32" s="24">
        <f t="shared" si="0"/>
        <v>25543218</v>
      </c>
      <c r="E32" s="24">
        <f>-'- 15 -'!H32-'- 16 -'!B32</f>
        <v>-286750</v>
      </c>
      <c r="F32" s="24">
        <f t="shared" si="1"/>
        <v>25256468</v>
      </c>
    </row>
    <row r="33" spans="1:7" ht="14.1" customHeight="1">
      <c r="A33" s="360" t="s">
        <v>251</v>
      </c>
      <c r="B33" s="361">
        <v>26389300</v>
      </c>
      <c r="C33" s="361">
        <f>-Data!L33</f>
        <v>-126000</v>
      </c>
      <c r="D33" s="361">
        <f t="shared" si="0"/>
        <v>26263300</v>
      </c>
      <c r="E33" s="361">
        <f>-'- 15 -'!H33-'- 16 -'!B33</f>
        <v>-30000</v>
      </c>
      <c r="F33" s="361">
        <f t="shared" si="1"/>
        <v>26233300</v>
      </c>
    </row>
    <row r="34" spans="1:7" ht="14.1" customHeight="1">
      <c r="A34" s="23" t="s">
        <v>252</v>
      </c>
      <c r="B34" s="24">
        <v>25925938</v>
      </c>
      <c r="C34" s="24">
        <f>-Data!L34</f>
        <v>-382832</v>
      </c>
      <c r="D34" s="24">
        <f t="shared" si="0"/>
        <v>25543106</v>
      </c>
      <c r="E34" s="24">
        <f>-'- 15 -'!H34-'- 16 -'!B34</f>
        <v>-29917</v>
      </c>
      <c r="F34" s="24">
        <f t="shared" si="1"/>
        <v>25513189</v>
      </c>
    </row>
    <row r="35" spans="1:7" ht="14.1" customHeight="1">
      <c r="A35" s="360" t="s">
        <v>253</v>
      </c>
      <c r="B35" s="361">
        <v>167584966</v>
      </c>
      <c r="C35" s="361">
        <f>-Data!L35</f>
        <v>-37300</v>
      </c>
      <c r="D35" s="361">
        <f t="shared" si="0"/>
        <v>167547666</v>
      </c>
      <c r="E35" s="361">
        <f>-'- 15 -'!H35-'- 16 -'!B35</f>
        <v>-609998</v>
      </c>
      <c r="F35" s="361">
        <f t="shared" si="1"/>
        <v>166937668</v>
      </c>
    </row>
    <row r="36" spans="1:7" ht="14.1" customHeight="1">
      <c r="A36" s="23" t="s">
        <v>254</v>
      </c>
      <c r="B36" s="24">
        <v>21861640</v>
      </c>
      <c r="C36" s="24">
        <f>-Data!L36</f>
        <v>-293250</v>
      </c>
      <c r="D36" s="24">
        <f t="shared" si="0"/>
        <v>21568390</v>
      </c>
      <c r="E36" s="24">
        <f>-'- 15 -'!H36-'- 16 -'!B36</f>
        <v>-28500</v>
      </c>
      <c r="F36" s="24">
        <f t="shared" si="1"/>
        <v>21539890</v>
      </c>
    </row>
    <row r="37" spans="1:7" ht="14.1" customHeight="1">
      <c r="A37" s="360" t="s">
        <v>255</v>
      </c>
      <c r="B37" s="361">
        <v>42216000</v>
      </c>
      <c r="C37" s="361">
        <f>-Data!L37</f>
        <v>-550950</v>
      </c>
      <c r="D37" s="361">
        <f t="shared" si="0"/>
        <v>41665050</v>
      </c>
      <c r="E37" s="361">
        <f>-'- 15 -'!H37-'- 16 -'!B37</f>
        <v>-172473</v>
      </c>
      <c r="F37" s="361">
        <f t="shared" si="1"/>
        <v>41492577</v>
      </c>
    </row>
    <row r="38" spans="1:7" ht="14.1" customHeight="1">
      <c r="A38" s="23" t="s">
        <v>256</v>
      </c>
      <c r="B38" s="24">
        <v>118581660</v>
      </c>
      <c r="C38" s="24">
        <f>-Data!L38</f>
        <v>-1283800</v>
      </c>
      <c r="D38" s="24">
        <f t="shared" si="0"/>
        <v>117297860</v>
      </c>
      <c r="E38" s="24">
        <f>-'- 15 -'!H38-'- 16 -'!B38</f>
        <v>-1985720</v>
      </c>
      <c r="F38" s="24">
        <f t="shared" si="1"/>
        <v>115312140</v>
      </c>
    </row>
    <row r="39" spans="1:7" ht="14.1" customHeight="1">
      <c r="A39" s="360" t="s">
        <v>257</v>
      </c>
      <c r="B39" s="361">
        <v>20655974</v>
      </c>
      <c r="C39" s="361">
        <f>-Data!L39</f>
        <v>-107000</v>
      </c>
      <c r="D39" s="361">
        <f t="shared" si="0"/>
        <v>20548974</v>
      </c>
      <c r="E39" s="361">
        <f>-'- 15 -'!H39-'- 16 -'!B39</f>
        <v>-173114</v>
      </c>
      <c r="F39" s="361">
        <f t="shared" si="1"/>
        <v>20375860</v>
      </c>
    </row>
    <row r="40" spans="1:7" ht="14.1" customHeight="1">
      <c r="A40" s="23" t="s">
        <v>258</v>
      </c>
      <c r="B40" s="24">
        <v>97688404</v>
      </c>
      <c r="C40" s="24">
        <f>-Data!L40</f>
        <v>-466000</v>
      </c>
      <c r="D40" s="24">
        <f t="shared" si="0"/>
        <v>97222404</v>
      </c>
      <c r="E40" s="24">
        <f>-'- 15 -'!H40-'- 16 -'!B40</f>
        <v>-1031026</v>
      </c>
      <c r="F40" s="24">
        <f t="shared" si="1"/>
        <v>96191378</v>
      </c>
    </row>
    <row r="41" spans="1:7" ht="14.1" customHeight="1">
      <c r="A41" s="360" t="s">
        <v>259</v>
      </c>
      <c r="B41" s="361">
        <v>58349210</v>
      </c>
      <c r="C41" s="361">
        <f>-Data!L41</f>
        <v>-670000</v>
      </c>
      <c r="D41" s="361">
        <f t="shared" si="0"/>
        <v>57679210</v>
      </c>
      <c r="E41" s="361">
        <f>-'- 15 -'!H41-'- 16 -'!B41</f>
        <v>-1299736</v>
      </c>
      <c r="F41" s="361">
        <f t="shared" si="1"/>
        <v>56379474</v>
      </c>
    </row>
    <row r="42" spans="1:7" ht="14.1" customHeight="1">
      <c r="A42" s="23" t="s">
        <v>260</v>
      </c>
      <c r="B42" s="24">
        <v>20176941</v>
      </c>
      <c r="C42" s="24">
        <f>-Data!L42</f>
        <v>-1300</v>
      </c>
      <c r="D42" s="24">
        <f t="shared" si="0"/>
        <v>20175641</v>
      </c>
      <c r="E42" s="24">
        <f>-'- 15 -'!H42-'- 16 -'!B42</f>
        <v>-224973</v>
      </c>
      <c r="F42" s="24">
        <f t="shared" si="1"/>
        <v>19950668</v>
      </c>
    </row>
    <row r="43" spans="1:7" ht="14.1" customHeight="1">
      <c r="A43" s="360" t="s">
        <v>261</v>
      </c>
      <c r="B43" s="361">
        <v>11981970</v>
      </c>
      <c r="C43" s="361">
        <f>-Data!L43</f>
        <v>-26000</v>
      </c>
      <c r="D43" s="361">
        <f t="shared" si="0"/>
        <v>11955970</v>
      </c>
      <c r="E43" s="361">
        <f>-'- 15 -'!H43-'- 16 -'!B43</f>
        <v>-267209</v>
      </c>
      <c r="F43" s="361">
        <f t="shared" si="1"/>
        <v>11688761</v>
      </c>
    </row>
    <row r="44" spans="1:7" ht="14.1" customHeight="1">
      <c r="A44" s="23" t="s">
        <v>262</v>
      </c>
      <c r="B44" s="24">
        <v>10674247</v>
      </c>
      <c r="C44" s="24">
        <f>-Data!L44</f>
        <v>-135690</v>
      </c>
      <c r="D44" s="24">
        <f t="shared" si="0"/>
        <v>10538557</v>
      </c>
      <c r="E44" s="24">
        <f>-'- 15 -'!H44-'- 16 -'!B44</f>
        <v>-9578</v>
      </c>
      <c r="F44" s="24">
        <f t="shared" si="1"/>
        <v>10528979</v>
      </c>
    </row>
    <row r="45" spans="1:7" ht="14.1" customHeight="1">
      <c r="A45" s="360" t="s">
        <v>263</v>
      </c>
      <c r="B45" s="361">
        <v>17098724</v>
      </c>
      <c r="C45" s="361">
        <f>-Data!L45</f>
        <v>-166600</v>
      </c>
      <c r="D45" s="361">
        <f t="shared" si="0"/>
        <v>16932124</v>
      </c>
      <c r="E45" s="361">
        <f>-'- 15 -'!H45-'- 16 -'!B45</f>
        <v>-433259</v>
      </c>
      <c r="F45" s="361">
        <f t="shared" si="1"/>
        <v>16498865</v>
      </c>
    </row>
    <row r="46" spans="1:7" ht="14.1" customHeight="1">
      <c r="A46" s="23" t="s">
        <v>264</v>
      </c>
      <c r="B46" s="24">
        <v>362976900</v>
      </c>
      <c r="C46" s="24">
        <f>-Data!L46</f>
        <v>-2318700</v>
      </c>
      <c r="D46" s="24">
        <f t="shared" si="0"/>
        <v>360658200</v>
      </c>
      <c r="E46" s="24">
        <f>-'- 15 -'!H46-'- 16 -'!B46</f>
        <v>-9396800</v>
      </c>
      <c r="F46" s="24">
        <f t="shared" si="1"/>
        <v>351261400</v>
      </c>
    </row>
    <row r="47" spans="1:7" ht="5.0999999999999996" customHeight="1">
      <c r="A47"/>
      <c r="B47"/>
      <c r="C47"/>
      <c r="D47"/>
      <c r="E47"/>
      <c r="F47"/>
      <c r="G47"/>
    </row>
    <row r="48" spans="1:7" ht="14.1" customHeight="1">
      <c r="A48" s="363" t="s">
        <v>265</v>
      </c>
      <c r="B48" s="364">
        <f>SUM(B11:B46)</f>
        <v>2099551074</v>
      </c>
      <c r="C48" s="364">
        <f>SUM(C11:C46)</f>
        <v>-17358735</v>
      </c>
      <c r="D48" s="364">
        <f>SUM(D11:D46)</f>
        <v>2082192339</v>
      </c>
      <c r="E48" s="364">
        <f>SUM(E11:E46)</f>
        <v>-27239376</v>
      </c>
      <c r="F48" s="364">
        <f>SUM(F11:F46)</f>
        <v>2054952963</v>
      </c>
    </row>
    <row r="49" spans="1:6" ht="5.0999999999999996" customHeight="1">
      <c r="A49" s="25" t="s">
        <v>3</v>
      </c>
      <c r="B49" s="26"/>
      <c r="C49" s="26"/>
      <c r="D49" s="26"/>
      <c r="E49" s="26"/>
      <c r="F49" s="26"/>
    </row>
    <row r="50" spans="1:6" ht="14.1" customHeight="1">
      <c r="A50" s="23" t="s">
        <v>266</v>
      </c>
      <c r="B50" s="24">
        <v>3293751</v>
      </c>
      <c r="C50" s="24">
        <f>-Data!L50</f>
        <v>-12000</v>
      </c>
      <c r="D50" s="24">
        <f>B50+C50</f>
        <v>3281751</v>
      </c>
      <c r="E50" s="24">
        <f>-'- 15 -'!H50-'- 16 -'!B50</f>
        <v>-30000</v>
      </c>
      <c r="F50" s="24">
        <f>D50+E50</f>
        <v>3251751</v>
      </c>
    </row>
    <row r="51" spans="1:6" ht="14.1" customHeight="1">
      <c r="A51" s="360" t="s">
        <v>267</v>
      </c>
      <c r="B51" s="361">
        <v>21377034</v>
      </c>
      <c r="C51" s="361">
        <f>-Data!L51</f>
        <v>-592702</v>
      </c>
      <c r="D51" s="361">
        <f>B51+C51</f>
        <v>20784332</v>
      </c>
      <c r="E51" s="361">
        <f>-'- 15 -'!H51-'- 16 -'!B51</f>
        <v>-9994840</v>
      </c>
      <c r="F51" s="361">
        <f>D51+E51</f>
        <v>10789492</v>
      </c>
    </row>
    <row r="52" spans="1:6" ht="50.1" customHeight="1">
      <c r="A52" s="27"/>
      <c r="B52" s="27"/>
      <c r="C52" s="27"/>
      <c r="D52" s="27"/>
      <c r="E52" s="27"/>
      <c r="F52" s="27"/>
    </row>
    <row r="53" spans="1:6" ht="15" customHeight="1">
      <c r="A53" s="2" t="s">
        <v>593</v>
      </c>
      <c r="B53" s="28"/>
      <c r="C53" s="28"/>
      <c r="D53" s="28"/>
      <c r="E53" s="28"/>
      <c r="F53" s="28"/>
    </row>
    <row r="54" spans="1:6" ht="12" customHeight="1">
      <c r="A54" s="607" t="s">
        <v>594</v>
      </c>
      <c r="B54" s="28"/>
      <c r="C54" s="28"/>
      <c r="D54" s="28"/>
      <c r="E54" s="28"/>
      <c r="F54" s="28"/>
    </row>
    <row r="55" spans="1:6" ht="12" customHeight="1">
      <c r="A55" s="29" t="s">
        <v>412</v>
      </c>
      <c r="B55" s="28"/>
      <c r="C55" s="28"/>
      <c r="D55" s="28"/>
      <c r="E55" s="28"/>
      <c r="F55" s="28"/>
    </row>
    <row r="56" spans="1:6" ht="12" customHeight="1">
      <c r="A56" s="607" t="s">
        <v>595</v>
      </c>
      <c r="B56" s="28"/>
      <c r="C56" s="28"/>
      <c r="D56" s="28"/>
      <c r="E56" s="28"/>
      <c r="F56" s="28"/>
    </row>
    <row r="57" spans="1:6" ht="12" customHeight="1">
      <c r="A57" s="607" t="s">
        <v>596</v>
      </c>
    </row>
    <row r="58" spans="1:6" ht="12" customHeight="1">
      <c r="A58" s="607" t="s">
        <v>597</v>
      </c>
    </row>
    <row r="59" spans="1:6" ht="14.45" customHeight="1"/>
    <row r="64" spans="1:6">
      <c r="B64" s="1">
        <v>0</v>
      </c>
    </row>
    <row r="65536" spans="2:2">
      <c r="B65536" s="1">
        <v>0</v>
      </c>
    </row>
  </sheetData>
  <phoneticPr fontId="0" type="noConversion"/>
  <printOptions horizontalCentered="1"/>
  <pageMargins left="0.5" right="0.5" top="0.6" bottom="0" header="0.3" footer="0"/>
  <pageSetup scale="89" orientation="portrait" horizontalDpi="1200" verticalDpi="1200" r:id="rId1"/>
  <headerFooter alignWithMargins="0">
    <oddHeader>&amp;C&amp;"Arial,Bold"&amp;10&amp;A</oddHeader>
  </headerFooter>
</worksheet>
</file>

<file path=xl/worksheets/sheet20.xml><?xml version="1.0" encoding="utf-8"?>
<worksheet xmlns="http://schemas.openxmlformats.org/spreadsheetml/2006/main" xmlns:r="http://schemas.openxmlformats.org/officeDocument/2006/relationships">
  <sheetPr codeName="Sheet171">
    <pageSetUpPr fitToPage="1"/>
  </sheetPr>
  <dimension ref="A1:F59"/>
  <sheetViews>
    <sheetView showGridLines="0" showZeros="0" workbookViewId="0"/>
  </sheetViews>
  <sheetFormatPr defaultColWidth="15.83203125" defaultRowHeight="12"/>
  <cols>
    <col min="1" max="1" width="34.83203125" style="1" customWidth="1"/>
    <col min="2" max="2" width="19.6640625" style="1" customWidth="1"/>
    <col min="3" max="3" width="10.33203125" style="1" customWidth="1"/>
    <col min="4" max="4" width="19" style="1" customWidth="1"/>
    <col min="5" max="5" width="10.6640625" style="1" customWidth="1"/>
    <col min="6" max="6" width="25.83203125" style="1" customWidth="1"/>
    <col min="7" max="16384" width="15.83203125" style="1"/>
  </cols>
  <sheetData>
    <row r="1" spans="1:6" ht="6.95" customHeight="1">
      <c r="A1" s="3"/>
      <c r="B1" s="4"/>
      <c r="C1" s="4"/>
      <c r="D1" s="4"/>
      <c r="E1" s="4"/>
    </row>
    <row r="2" spans="1:6" ht="15.95" customHeight="1">
      <c r="A2" s="161"/>
      <c r="B2" s="5" t="s">
        <v>483</v>
      </c>
      <c r="C2" s="6"/>
      <c r="D2" s="6"/>
      <c r="E2" s="184"/>
      <c r="F2" s="184" t="s">
        <v>439</v>
      </c>
    </row>
    <row r="3" spans="1:6" ht="15.95" customHeight="1">
      <c r="A3" s="164"/>
      <c r="B3" s="7" t="str">
        <f>OPYEAR</f>
        <v>OPERATING FUND 2013/2014 BUDGET</v>
      </c>
      <c r="C3" s="8"/>
      <c r="D3" s="8"/>
      <c r="E3" s="101"/>
      <c r="F3" s="101"/>
    </row>
    <row r="4" spans="1:6" ht="15.95" customHeight="1">
      <c r="B4" s="4"/>
      <c r="C4" s="4"/>
      <c r="D4" s="4"/>
      <c r="E4" s="4"/>
    </row>
    <row r="5" spans="1:6" ht="15.95" customHeight="1">
      <c r="B5" s="166" t="s">
        <v>332</v>
      </c>
      <c r="C5" s="195"/>
      <c r="D5" s="72"/>
      <c r="E5" s="209"/>
    </row>
    <row r="6" spans="1:6" ht="15.95" customHeight="1">
      <c r="B6" s="354" t="s">
        <v>30</v>
      </c>
      <c r="C6" s="355"/>
      <c r="D6" s="414"/>
      <c r="E6" s="416"/>
    </row>
    <row r="7" spans="1:6" ht="15.95" customHeight="1">
      <c r="B7" s="357" t="s">
        <v>214</v>
      </c>
      <c r="C7" s="358"/>
      <c r="D7" s="357" t="s">
        <v>161</v>
      </c>
      <c r="E7" s="359"/>
    </row>
    <row r="8" spans="1:6" ht="15.95" customHeight="1">
      <c r="A8" s="102"/>
      <c r="B8" s="170"/>
      <c r="C8" s="169"/>
      <c r="D8" s="169"/>
      <c r="E8" s="170"/>
    </row>
    <row r="9" spans="1:6" ht="15.95" customHeight="1">
      <c r="A9" s="35" t="s">
        <v>81</v>
      </c>
      <c r="B9" s="113" t="s">
        <v>82</v>
      </c>
      <c r="C9" s="113" t="s">
        <v>83</v>
      </c>
      <c r="D9" s="113" t="s">
        <v>82</v>
      </c>
      <c r="E9" s="113" t="s">
        <v>83</v>
      </c>
    </row>
    <row r="10" spans="1:6" ht="5.0999999999999996" customHeight="1">
      <c r="A10" s="37"/>
    </row>
    <row r="11" spans="1:6" ht="14.1" customHeight="1">
      <c r="A11" s="360" t="s">
        <v>230</v>
      </c>
      <c r="B11" s="361">
        <v>0</v>
      </c>
      <c r="C11" s="362">
        <f>B11/'- 3 -'!$D11*100</f>
        <v>0</v>
      </c>
      <c r="D11" s="361">
        <v>0</v>
      </c>
      <c r="E11" s="362">
        <f>D11/'- 3 -'!$D11*100</f>
        <v>0</v>
      </c>
    </row>
    <row r="12" spans="1:6" ht="14.1" customHeight="1">
      <c r="A12" s="23" t="s">
        <v>231</v>
      </c>
      <c r="B12" s="24">
        <v>94229</v>
      </c>
      <c r="C12" s="353">
        <f>B12/'- 3 -'!$D12*100</f>
        <v>0.30423536411544705</v>
      </c>
      <c r="D12" s="24">
        <v>430912</v>
      </c>
      <c r="E12" s="353">
        <f>D12/'- 3 -'!$D12*100</f>
        <v>1.3912773055186356</v>
      </c>
    </row>
    <row r="13" spans="1:6" ht="14.1" customHeight="1">
      <c r="A13" s="360" t="s">
        <v>232</v>
      </c>
      <c r="B13" s="361">
        <v>0</v>
      </c>
      <c r="C13" s="362">
        <f>B13/'- 3 -'!$D13*100</f>
        <v>0</v>
      </c>
      <c r="D13" s="361">
        <v>0</v>
      </c>
      <c r="E13" s="362">
        <f>D13/'- 3 -'!$D13*100</f>
        <v>0</v>
      </c>
    </row>
    <row r="14" spans="1:6" ht="14.1" customHeight="1">
      <c r="A14" s="23" t="s">
        <v>578</v>
      </c>
      <c r="B14" s="24">
        <v>102892</v>
      </c>
      <c r="C14" s="353">
        <f>B14/'- 3 -'!$D14*100</f>
        <v>0.13724795651049085</v>
      </c>
      <c r="D14" s="24">
        <v>163254</v>
      </c>
      <c r="E14" s="353">
        <f>D14/'- 3 -'!$D14*100</f>
        <v>0.21776501469661075</v>
      </c>
    </row>
    <row r="15" spans="1:6" ht="14.1" customHeight="1">
      <c r="A15" s="360" t="s">
        <v>233</v>
      </c>
      <c r="B15" s="361">
        <v>0</v>
      </c>
      <c r="C15" s="362">
        <f>B15/'- 3 -'!$D15*100</f>
        <v>0</v>
      </c>
      <c r="D15" s="361">
        <v>0</v>
      </c>
      <c r="E15" s="362">
        <f>D15/'- 3 -'!$D15*100</f>
        <v>0</v>
      </c>
    </row>
    <row r="16" spans="1:6" ht="14.1" customHeight="1">
      <c r="A16" s="23" t="s">
        <v>234</v>
      </c>
      <c r="B16" s="24">
        <v>24281</v>
      </c>
      <c r="C16" s="353">
        <f>B16/'- 3 -'!$D16*100</f>
        <v>0.18541261427357175</v>
      </c>
      <c r="D16" s="24">
        <v>72009</v>
      </c>
      <c r="E16" s="353">
        <f>D16/'- 3 -'!$D16*100</f>
        <v>0.54986931927126681</v>
      </c>
    </row>
    <row r="17" spans="1:5" ht="14.1" customHeight="1">
      <c r="A17" s="360" t="s">
        <v>235</v>
      </c>
      <c r="B17" s="361">
        <v>0</v>
      </c>
      <c r="C17" s="362">
        <f>B17/'- 3 -'!$D17*100</f>
        <v>0</v>
      </c>
      <c r="D17" s="361">
        <v>0</v>
      </c>
      <c r="E17" s="362">
        <f>D17/'- 3 -'!$D17*100</f>
        <v>0</v>
      </c>
    </row>
    <row r="18" spans="1:5" ht="14.1" customHeight="1">
      <c r="A18" s="23" t="s">
        <v>236</v>
      </c>
      <c r="B18" s="24">
        <v>233122</v>
      </c>
      <c r="C18" s="353">
        <f>B18/'- 3 -'!$D18*100</f>
        <v>0.19559327073971669</v>
      </c>
      <c r="D18" s="24">
        <v>1586159</v>
      </c>
      <c r="E18" s="353">
        <f>D18/'- 3 -'!$D18*100</f>
        <v>1.3308140232292032</v>
      </c>
    </row>
    <row r="19" spans="1:5" ht="14.1" customHeight="1">
      <c r="A19" s="360" t="s">
        <v>237</v>
      </c>
      <c r="B19" s="361">
        <v>0</v>
      </c>
      <c r="C19" s="362">
        <f>B19/'- 3 -'!$D19*100</f>
        <v>0</v>
      </c>
      <c r="D19" s="361">
        <v>0</v>
      </c>
      <c r="E19" s="362">
        <f>D19/'- 3 -'!$D19*100</f>
        <v>0</v>
      </c>
    </row>
    <row r="20" spans="1:5" ht="14.1" customHeight="1">
      <c r="A20" s="23" t="s">
        <v>238</v>
      </c>
      <c r="B20" s="24">
        <v>0</v>
      </c>
      <c r="C20" s="353">
        <f>B20/'- 3 -'!$D20*100</f>
        <v>0</v>
      </c>
      <c r="D20" s="24">
        <v>0</v>
      </c>
      <c r="E20" s="353">
        <f>D20/'- 3 -'!$D20*100</f>
        <v>0</v>
      </c>
    </row>
    <row r="21" spans="1:5" ht="14.1" customHeight="1">
      <c r="A21" s="360" t="s">
        <v>239</v>
      </c>
      <c r="B21" s="361">
        <v>0</v>
      </c>
      <c r="C21" s="362">
        <f>B21/'- 3 -'!$D21*100</f>
        <v>0</v>
      </c>
      <c r="D21" s="361">
        <v>0</v>
      </c>
      <c r="E21" s="362">
        <f>D21/'- 3 -'!$D21*100</f>
        <v>0</v>
      </c>
    </row>
    <row r="22" spans="1:5" ht="14.1" customHeight="1">
      <c r="A22" s="23" t="s">
        <v>240</v>
      </c>
      <c r="B22" s="24">
        <v>87295</v>
      </c>
      <c r="C22" s="353">
        <f>B22/'- 3 -'!$D22*100</f>
        <v>0.43838191750294603</v>
      </c>
      <c r="D22" s="24">
        <v>704905</v>
      </c>
      <c r="E22" s="353">
        <f>D22/'- 3 -'!$D22*100</f>
        <v>3.5399233124166809</v>
      </c>
    </row>
    <row r="23" spans="1:5" ht="14.1" customHeight="1">
      <c r="A23" s="360" t="s">
        <v>241</v>
      </c>
      <c r="B23" s="361">
        <v>20550</v>
      </c>
      <c r="C23" s="362">
        <f>B23/'- 3 -'!$D23*100</f>
        <v>0.12824529236806337</v>
      </c>
      <c r="D23" s="361">
        <v>219450</v>
      </c>
      <c r="E23" s="362">
        <f>D23/'- 3 -'!$D23*100</f>
        <v>1.3695099469669834</v>
      </c>
    </row>
    <row r="24" spans="1:5" ht="14.1" customHeight="1">
      <c r="A24" s="23" t="s">
        <v>242</v>
      </c>
      <c r="B24" s="24">
        <v>138165</v>
      </c>
      <c r="C24" s="353">
        <f>B24/'- 3 -'!$D24*100</f>
        <v>0.26183852087814685</v>
      </c>
      <c r="D24" s="24">
        <v>225360</v>
      </c>
      <c r="E24" s="353">
        <f>D24/'- 3 -'!$D24*100</f>
        <v>0.42708304610501346</v>
      </c>
    </row>
    <row r="25" spans="1:5" ht="14.1" customHeight="1">
      <c r="A25" s="360" t="s">
        <v>243</v>
      </c>
      <c r="B25" s="361">
        <v>0</v>
      </c>
      <c r="C25" s="362">
        <f>B25/'- 3 -'!$D25*100</f>
        <v>0</v>
      </c>
      <c r="D25" s="361">
        <v>0</v>
      </c>
      <c r="E25" s="362">
        <f>D25/'- 3 -'!$D25*100</f>
        <v>0</v>
      </c>
    </row>
    <row r="26" spans="1:5" ht="14.1" customHeight="1">
      <c r="A26" s="23" t="s">
        <v>244</v>
      </c>
      <c r="B26" s="24">
        <v>0</v>
      </c>
      <c r="C26" s="353">
        <f>B26/'- 3 -'!$D26*100</f>
        <v>0</v>
      </c>
      <c r="D26" s="24">
        <v>0</v>
      </c>
      <c r="E26" s="353">
        <f>D26/'- 3 -'!$D26*100</f>
        <v>0</v>
      </c>
    </row>
    <row r="27" spans="1:5" ht="14.1" customHeight="1">
      <c r="A27" s="360" t="s">
        <v>245</v>
      </c>
      <c r="B27" s="361">
        <v>0</v>
      </c>
      <c r="C27" s="362">
        <f>B27/'- 3 -'!$D27*100</f>
        <v>0</v>
      </c>
      <c r="D27" s="361">
        <v>0</v>
      </c>
      <c r="E27" s="362">
        <f>D27/'- 3 -'!$D27*100</f>
        <v>0</v>
      </c>
    </row>
    <row r="28" spans="1:5" ht="14.1" customHeight="1">
      <c r="A28" s="23" t="s">
        <v>246</v>
      </c>
      <c r="B28" s="24">
        <v>0</v>
      </c>
      <c r="C28" s="353">
        <f>B28/'- 3 -'!$D28*100</f>
        <v>0</v>
      </c>
      <c r="D28" s="24">
        <v>142342</v>
      </c>
      <c r="E28" s="353">
        <f>D28/'- 3 -'!$D28*100</f>
        <v>0.54593527862136904</v>
      </c>
    </row>
    <row r="29" spans="1:5" ht="14.1" customHeight="1">
      <c r="A29" s="360" t="s">
        <v>247</v>
      </c>
      <c r="B29" s="361">
        <v>0</v>
      </c>
      <c r="C29" s="362">
        <f>B29/'- 3 -'!$D29*100</f>
        <v>0</v>
      </c>
      <c r="D29" s="361">
        <v>0</v>
      </c>
      <c r="E29" s="362">
        <f>D29/'- 3 -'!$D29*100</f>
        <v>0</v>
      </c>
    </row>
    <row r="30" spans="1:5" ht="14.1" customHeight="1">
      <c r="A30" s="23" t="s">
        <v>248</v>
      </c>
      <c r="B30" s="24">
        <v>0</v>
      </c>
      <c r="C30" s="353">
        <f>B30/'- 3 -'!$D30*100</f>
        <v>0</v>
      </c>
      <c r="D30" s="24">
        <v>0</v>
      </c>
      <c r="E30" s="353">
        <f>D30/'- 3 -'!$D30*100</f>
        <v>0</v>
      </c>
    </row>
    <row r="31" spans="1:5" ht="14.1" customHeight="1">
      <c r="A31" s="360" t="s">
        <v>249</v>
      </c>
      <c r="B31" s="361">
        <v>0</v>
      </c>
      <c r="C31" s="362">
        <f>B31/'- 3 -'!$D31*100</f>
        <v>0</v>
      </c>
      <c r="D31" s="361">
        <v>0</v>
      </c>
      <c r="E31" s="362">
        <f>D31/'- 3 -'!$D31*100</f>
        <v>0</v>
      </c>
    </row>
    <row r="32" spans="1:5" ht="14.1" customHeight="1">
      <c r="A32" s="23" t="s">
        <v>250</v>
      </c>
      <c r="B32" s="24">
        <v>63025</v>
      </c>
      <c r="C32" s="353">
        <f>B32/'- 3 -'!$D32*100</f>
        <v>0.24673868421747017</v>
      </c>
      <c r="D32" s="24">
        <v>192925</v>
      </c>
      <c r="E32" s="353">
        <f>D32/'- 3 -'!$D32*100</f>
        <v>0.75528854665062173</v>
      </c>
    </row>
    <row r="33" spans="1:5" ht="14.1" customHeight="1">
      <c r="A33" s="360" t="s">
        <v>251</v>
      </c>
      <c r="B33" s="361">
        <v>0</v>
      </c>
      <c r="C33" s="362">
        <f>B33/'- 3 -'!$D33*100</f>
        <v>0</v>
      </c>
      <c r="D33" s="361">
        <v>0</v>
      </c>
      <c r="E33" s="362">
        <f>D33/'- 3 -'!$D33*100</f>
        <v>0</v>
      </c>
    </row>
    <row r="34" spans="1:5" ht="14.1" customHeight="1">
      <c r="A34" s="23" t="s">
        <v>252</v>
      </c>
      <c r="B34" s="24">
        <v>0</v>
      </c>
      <c r="C34" s="353">
        <f>B34/'- 3 -'!$D34*100</f>
        <v>0</v>
      </c>
      <c r="D34" s="24">
        <v>0</v>
      </c>
      <c r="E34" s="353">
        <f>D34/'- 3 -'!$D34*100</f>
        <v>0</v>
      </c>
    </row>
    <row r="35" spans="1:5" ht="14.1" customHeight="1">
      <c r="A35" s="360" t="s">
        <v>253</v>
      </c>
      <c r="B35" s="361">
        <v>0</v>
      </c>
      <c r="C35" s="362">
        <f>B35/'- 3 -'!$D35*100</f>
        <v>0</v>
      </c>
      <c r="D35" s="361">
        <v>0</v>
      </c>
      <c r="E35" s="362">
        <f>D35/'- 3 -'!$D35*100</f>
        <v>0</v>
      </c>
    </row>
    <row r="36" spans="1:5" ht="14.1" customHeight="1">
      <c r="A36" s="23" t="s">
        <v>254</v>
      </c>
      <c r="B36" s="24">
        <v>0</v>
      </c>
      <c r="C36" s="353">
        <f>B36/'- 3 -'!$D36*100</f>
        <v>0</v>
      </c>
      <c r="D36" s="24">
        <v>0</v>
      </c>
      <c r="E36" s="353">
        <f>D36/'- 3 -'!$D36*100</f>
        <v>0</v>
      </c>
    </row>
    <row r="37" spans="1:5" ht="14.1" customHeight="1">
      <c r="A37" s="360" t="s">
        <v>255</v>
      </c>
      <c r="B37" s="361">
        <v>0</v>
      </c>
      <c r="C37" s="362">
        <f>B37/'- 3 -'!$D37*100</f>
        <v>0</v>
      </c>
      <c r="D37" s="361">
        <v>0</v>
      </c>
      <c r="E37" s="362">
        <f>D37/'- 3 -'!$D37*100</f>
        <v>0</v>
      </c>
    </row>
    <row r="38" spans="1:5" ht="14.1" customHeight="1">
      <c r="A38" s="23" t="s">
        <v>256</v>
      </c>
      <c r="B38" s="24">
        <v>232890</v>
      </c>
      <c r="C38" s="353">
        <f>B38/'- 3 -'!$D38*100</f>
        <v>0.19854582172257876</v>
      </c>
      <c r="D38" s="24">
        <v>376410</v>
      </c>
      <c r="E38" s="353">
        <f>D38/'- 3 -'!$D38*100</f>
        <v>0.3209009951247192</v>
      </c>
    </row>
    <row r="39" spans="1:5" ht="14.1" customHeight="1">
      <c r="A39" s="360" t="s">
        <v>257</v>
      </c>
      <c r="B39" s="361">
        <v>0</v>
      </c>
      <c r="C39" s="362">
        <f>B39/'- 3 -'!$D39*100</f>
        <v>0</v>
      </c>
      <c r="D39" s="361">
        <v>0</v>
      </c>
      <c r="E39" s="362">
        <f>D39/'- 3 -'!$D39*100</f>
        <v>0</v>
      </c>
    </row>
    <row r="40" spans="1:5" ht="14.1" customHeight="1">
      <c r="A40" s="23" t="s">
        <v>258</v>
      </c>
      <c r="B40" s="24">
        <v>0</v>
      </c>
      <c r="C40" s="353">
        <f>B40/'- 3 -'!$D40*100</f>
        <v>0</v>
      </c>
      <c r="D40" s="24">
        <v>0</v>
      </c>
      <c r="E40" s="353">
        <f>D40/'- 3 -'!$D40*100</f>
        <v>0</v>
      </c>
    </row>
    <row r="41" spans="1:5" ht="14.1" customHeight="1">
      <c r="A41" s="360" t="s">
        <v>259</v>
      </c>
      <c r="B41" s="361">
        <v>398304</v>
      </c>
      <c r="C41" s="362">
        <f>B41/'- 3 -'!$D41*100</f>
        <v>0.69055037334942693</v>
      </c>
      <c r="D41" s="361">
        <v>593131</v>
      </c>
      <c r="E41" s="362">
        <f>D41/'- 3 -'!$D41*100</f>
        <v>1.0283271910277552</v>
      </c>
    </row>
    <row r="42" spans="1:5" ht="14.1" customHeight="1">
      <c r="A42" s="23" t="s">
        <v>260</v>
      </c>
      <c r="B42" s="24">
        <v>0</v>
      </c>
      <c r="C42" s="353">
        <f>B42/'- 3 -'!$D42*100</f>
        <v>0</v>
      </c>
      <c r="D42" s="24">
        <v>0</v>
      </c>
      <c r="E42" s="353">
        <f>D42/'- 3 -'!$D42*100</f>
        <v>0</v>
      </c>
    </row>
    <row r="43" spans="1:5" ht="14.1" customHeight="1">
      <c r="A43" s="360" t="s">
        <v>261</v>
      </c>
      <c r="B43" s="361">
        <v>7427</v>
      </c>
      <c r="C43" s="362">
        <f>B43/'- 3 -'!$D43*100</f>
        <v>6.2119593809619802E-2</v>
      </c>
      <c r="D43" s="361">
        <v>244335</v>
      </c>
      <c r="E43" s="362">
        <f>D43/'- 3 -'!$D43*100</f>
        <v>2.0436233948395657</v>
      </c>
    </row>
    <row r="44" spans="1:5" ht="14.1" customHeight="1">
      <c r="A44" s="23" t="s">
        <v>262</v>
      </c>
      <c r="B44" s="24">
        <v>0</v>
      </c>
      <c r="C44" s="353">
        <f>B44/'- 3 -'!$D44*100</f>
        <v>0</v>
      </c>
      <c r="D44" s="24">
        <v>0</v>
      </c>
      <c r="E44" s="353">
        <f>D44/'- 3 -'!$D44*100</f>
        <v>0</v>
      </c>
    </row>
    <row r="45" spans="1:5" ht="14.1" customHeight="1">
      <c r="A45" s="360" t="s">
        <v>263</v>
      </c>
      <c r="B45" s="361">
        <v>165235</v>
      </c>
      <c r="C45" s="362">
        <f>B45/'- 3 -'!$D45*100</f>
        <v>0.97586693789863577</v>
      </c>
      <c r="D45" s="361">
        <v>220266</v>
      </c>
      <c r="E45" s="362">
        <f>D45/'- 3 -'!$D45*100</f>
        <v>1.3008763696745902</v>
      </c>
    </row>
    <row r="46" spans="1:5" ht="14.1" customHeight="1">
      <c r="A46" s="23" t="s">
        <v>264</v>
      </c>
      <c r="B46" s="24">
        <v>123100</v>
      </c>
      <c r="C46" s="353">
        <f>B46/'- 3 -'!$D46*100</f>
        <v>3.4132039698528967E-2</v>
      </c>
      <c r="D46" s="24">
        <v>633600</v>
      </c>
      <c r="E46" s="353">
        <f>D46/'- 3 -'!$D46*100</f>
        <v>0.17567880059291596</v>
      </c>
    </row>
    <row r="47" spans="1:5" ht="5.0999999999999996" customHeight="1">
      <c r="A47"/>
      <c r="B47"/>
      <c r="C47"/>
      <c r="D47"/>
      <c r="E47"/>
    </row>
    <row r="48" spans="1:5" ht="14.1" customHeight="1">
      <c r="A48" s="363" t="s">
        <v>265</v>
      </c>
      <c r="B48" s="364">
        <f>SUM(B11:B46)</f>
        <v>1690515</v>
      </c>
      <c r="C48" s="365">
        <f>B48/'- 3 -'!$D48*100</f>
        <v>8.1189185472264863E-2</v>
      </c>
      <c r="D48" s="364">
        <f>SUM(D11:D46)</f>
        <v>5805058</v>
      </c>
      <c r="E48" s="365">
        <f>D48/'- 3 -'!$D48*100</f>
        <v>0.27879547394684751</v>
      </c>
    </row>
    <row r="49" spans="1:5" ht="5.0999999999999996" customHeight="1">
      <c r="A49" s="25" t="s">
        <v>3</v>
      </c>
      <c r="B49" s="26"/>
      <c r="C49" s="351"/>
      <c r="D49" s="26"/>
      <c r="E49" s="351"/>
    </row>
    <row r="50" spans="1:5" ht="14.1" customHeight="1">
      <c r="A50" s="23" t="s">
        <v>266</v>
      </c>
      <c r="B50" s="24">
        <v>0</v>
      </c>
      <c r="C50" s="353">
        <f>B50/'- 3 -'!$D50*100</f>
        <v>0</v>
      </c>
      <c r="D50" s="24">
        <v>0</v>
      </c>
      <c r="E50" s="353">
        <f>D50/'- 3 -'!$D50*100</f>
        <v>0</v>
      </c>
    </row>
    <row r="51" spans="1:5" ht="14.1" customHeight="1">
      <c r="A51" s="360" t="s">
        <v>267</v>
      </c>
      <c r="B51" s="361">
        <v>2452647</v>
      </c>
      <c r="C51" s="362">
        <f>B51/'- 3 -'!$D51*100</f>
        <v>11.800461039594632</v>
      </c>
      <c r="D51" s="361">
        <v>295695</v>
      </c>
      <c r="E51" s="362">
        <f>D51/'- 3 -'!$D51*100</f>
        <v>1.4226822396793892</v>
      </c>
    </row>
    <row r="52" spans="1:5" ht="50.1" customHeight="1"/>
    <row r="53" spans="1:5" ht="15" customHeight="1">
      <c r="A53" s="160"/>
    </row>
    <row r="54" spans="1:5" ht="14.45" customHeight="1"/>
    <row r="55" spans="1:5" ht="14.45" customHeight="1"/>
    <row r="56" spans="1:5" ht="14.45" customHeight="1"/>
    <row r="57" spans="1:5" ht="14.45" customHeight="1"/>
    <row r="58" spans="1:5" ht="14.45" customHeight="1">
      <c r="A58" s="28"/>
    </row>
    <row r="59" spans="1:5"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1.xml><?xml version="1.0" encoding="utf-8"?>
<worksheet xmlns="http://schemas.openxmlformats.org/spreadsheetml/2006/main" xmlns:r="http://schemas.openxmlformats.org/officeDocument/2006/relationships">
  <sheetPr codeName="Sheet20">
    <pageSetUpPr fitToPage="1"/>
  </sheetPr>
  <dimension ref="A1:I59"/>
  <sheetViews>
    <sheetView showGridLines="0" showZeros="0" workbookViewId="0"/>
  </sheetViews>
  <sheetFormatPr defaultColWidth="15.83203125" defaultRowHeight="12"/>
  <cols>
    <col min="1" max="1" width="29.33203125" style="1" customWidth="1"/>
    <col min="2" max="2" width="12.83203125" style="1" customWidth="1"/>
    <col min="3" max="3" width="8.83203125" style="1" customWidth="1"/>
    <col min="4" max="4" width="16.83203125" style="1" customWidth="1"/>
    <col min="5" max="5" width="8.83203125" style="1" customWidth="1"/>
    <col min="6" max="6" width="16.1640625" style="1" customWidth="1"/>
    <col min="7" max="7" width="8.83203125" style="1" customWidth="1"/>
    <col min="8" max="8" width="15.33203125" style="1" customWidth="1"/>
    <col min="9" max="9" width="8.83203125" style="1" customWidth="1"/>
    <col min="10" max="16384" width="15.83203125" style="1"/>
  </cols>
  <sheetData>
    <row r="1" spans="1:9" ht="6.95" customHeight="1">
      <c r="A1" s="3"/>
      <c r="B1" s="4"/>
      <c r="C1" s="4"/>
      <c r="D1" s="4"/>
      <c r="E1" s="4"/>
      <c r="F1" s="4"/>
      <c r="G1" s="4"/>
      <c r="H1" s="4"/>
      <c r="I1" s="4"/>
    </row>
    <row r="2" spans="1:9" ht="15.95" customHeight="1">
      <c r="A2" s="161"/>
      <c r="B2" s="5" t="s">
        <v>483</v>
      </c>
      <c r="C2" s="6"/>
      <c r="D2" s="6"/>
      <c r="E2" s="6"/>
      <c r="F2" s="6"/>
      <c r="G2" s="106"/>
      <c r="H2" s="106"/>
      <c r="I2" s="184" t="s">
        <v>438</v>
      </c>
    </row>
    <row r="3" spans="1:9" ht="15.95" customHeight="1">
      <c r="A3" s="164"/>
      <c r="B3" s="7" t="str">
        <f>OPYEAR</f>
        <v>OPERATING FUND 2013/2014 BUDGET</v>
      </c>
      <c r="C3" s="8"/>
      <c r="D3" s="8"/>
      <c r="E3" s="8"/>
      <c r="F3" s="8"/>
      <c r="G3" s="108"/>
      <c r="H3" s="108"/>
      <c r="I3" s="101"/>
    </row>
    <row r="4" spans="1:9" ht="15.95" customHeight="1">
      <c r="B4" s="4"/>
      <c r="C4" s="4"/>
      <c r="D4" s="4"/>
      <c r="E4" s="4"/>
      <c r="F4" s="4"/>
      <c r="G4" s="4"/>
      <c r="H4" s="4"/>
      <c r="I4" s="4"/>
    </row>
    <row r="5" spans="1:9" ht="15.95" customHeight="1">
      <c r="B5" s="185" t="s">
        <v>13</v>
      </c>
      <c r="C5" s="186"/>
      <c r="D5" s="187"/>
      <c r="E5" s="187"/>
      <c r="F5" s="187"/>
      <c r="G5" s="187"/>
      <c r="H5" s="187"/>
      <c r="I5" s="188"/>
    </row>
    <row r="6" spans="1:9" ht="15.95" customHeight="1">
      <c r="B6" s="354"/>
      <c r="C6" s="356"/>
      <c r="D6" s="354" t="s">
        <v>427</v>
      </c>
      <c r="E6" s="356"/>
      <c r="F6" s="414"/>
      <c r="G6" s="416"/>
      <c r="H6" s="354"/>
      <c r="I6" s="356"/>
    </row>
    <row r="7" spans="1:9" ht="15.95" customHeight="1">
      <c r="B7" s="433" t="s">
        <v>226</v>
      </c>
      <c r="C7" s="442"/>
      <c r="D7" s="433" t="s">
        <v>543</v>
      </c>
      <c r="E7" s="442"/>
      <c r="F7" s="433" t="s">
        <v>37</v>
      </c>
      <c r="G7" s="442"/>
      <c r="H7" s="433" t="s">
        <v>183</v>
      </c>
      <c r="I7" s="442"/>
    </row>
    <row r="8" spans="1:9" ht="15.95" customHeight="1">
      <c r="A8" s="102"/>
      <c r="B8" s="357" t="s">
        <v>77</v>
      </c>
      <c r="C8" s="359"/>
      <c r="D8" s="357" t="s">
        <v>544</v>
      </c>
      <c r="E8" s="359"/>
      <c r="F8" s="357" t="s">
        <v>61</v>
      </c>
      <c r="G8" s="359"/>
      <c r="H8" s="357" t="s">
        <v>77</v>
      </c>
      <c r="I8" s="359"/>
    </row>
    <row r="9" spans="1:9" ht="15.95" customHeight="1">
      <c r="A9" s="35" t="s">
        <v>81</v>
      </c>
      <c r="B9" s="189" t="s">
        <v>82</v>
      </c>
      <c r="C9" s="189" t="s">
        <v>83</v>
      </c>
      <c r="D9" s="189" t="s">
        <v>82</v>
      </c>
      <c r="E9" s="189" t="s">
        <v>83</v>
      </c>
      <c r="F9" s="189" t="s">
        <v>82</v>
      </c>
      <c r="G9" s="189" t="s">
        <v>83</v>
      </c>
      <c r="H9" s="189" t="s">
        <v>82</v>
      </c>
      <c r="I9" s="189" t="s">
        <v>83</v>
      </c>
    </row>
    <row r="10" spans="1:9" ht="5.0999999999999996" customHeight="1">
      <c r="A10" s="37"/>
    </row>
    <row r="11" spans="1:9" ht="14.1" customHeight="1">
      <c r="A11" s="360" t="s">
        <v>230</v>
      </c>
      <c r="B11" s="361">
        <v>0</v>
      </c>
      <c r="C11" s="362">
        <f>B11/'- 3 -'!$D11*100</f>
        <v>0</v>
      </c>
      <c r="D11" s="361">
        <v>0</v>
      </c>
      <c r="E11" s="362">
        <f>D11/'- 3 -'!$D11*100</f>
        <v>0</v>
      </c>
      <c r="F11" s="361">
        <v>0</v>
      </c>
      <c r="G11" s="362">
        <f>F11/'- 3 -'!$D11*100</f>
        <v>0</v>
      </c>
      <c r="H11" s="361">
        <v>21450</v>
      </c>
      <c r="I11" s="362">
        <f>H11/'- 3 -'!$D11*100</f>
        <v>0.12801055308257467</v>
      </c>
    </row>
    <row r="12" spans="1:9" ht="14.1" customHeight="1">
      <c r="A12" s="23" t="s">
        <v>231</v>
      </c>
      <c r="B12" s="24">
        <v>0</v>
      </c>
      <c r="C12" s="353">
        <f>B12/'- 3 -'!$D12*100</f>
        <v>0</v>
      </c>
      <c r="D12" s="24">
        <v>0</v>
      </c>
      <c r="E12" s="353">
        <f>D12/'- 3 -'!$D12*100</f>
        <v>0</v>
      </c>
      <c r="F12" s="24">
        <v>0</v>
      </c>
      <c r="G12" s="353">
        <f>F12/'- 3 -'!$D12*100</f>
        <v>0</v>
      </c>
      <c r="H12" s="24">
        <v>46500</v>
      </c>
      <c r="I12" s="353">
        <f>H12/'- 3 -'!$D12*100</f>
        <v>0.1501336576995223</v>
      </c>
    </row>
    <row r="13" spans="1:9" ht="14.1" customHeight="1">
      <c r="A13" s="360" t="s">
        <v>232</v>
      </c>
      <c r="B13" s="361">
        <v>0</v>
      </c>
      <c r="C13" s="362">
        <f>B13/'- 3 -'!$D13*100</f>
        <v>0</v>
      </c>
      <c r="D13" s="361">
        <v>0</v>
      </c>
      <c r="E13" s="362">
        <f>D13/'- 3 -'!$D13*100</f>
        <v>0</v>
      </c>
      <c r="F13" s="361">
        <v>85000</v>
      </c>
      <c r="G13" s="362">
        <f>F13/'- 3 -'!$D13*100</f>
        <v>9.8418473031601589E-2</v>
      </c>
      <c r="H13" s="361">
        <v>208200</v>
      </c>
      <c r="I13" s="362">
        <f>H13/'- 3 -'!$D13*100</f>
        <v>0.24106736570799356</v>
      </c>
    </row>
    <row r="14" spans="1:9" ht="14.1" customHeight="1">
      <c r="A14" s="23" t="s">
        <v>578</v>
      </c>
      <c r="B14" s="24">
        <v>0</v>
      </c>
      <c r="C14" s="353">
        <f>B14/'- 3 -'!$D14*100</f>
        <v>0</v>
      </c>
      <c r="D14" s="24">
        <v>0</v>
      </c>
      <c r="E14" s="353">
        <f>D14/'- 3 -'!$D14*100</f>
        <v>0</v>
      </c>
      <c r="F14" s="24">
        <v>0</v>
      </c>
      <c r="G14" s="353">
        <f>F14/'- 3 -'!$D14*100</f>
        <v>0</v>
      </c>
      <c r="H14" s="24">
        <v>925583</v>
      </c>
      <c r="I14" s="353">
        <f>H14/'- 3 -'!$D14*100</f>
        <v>1.2346380217203441</v>
      </c>
    </row>
    <row r="15" spans="1:9" ht="14.1" customHeight="1">
      <c r="A15" s="360" t="s">
        <v>233</v>
      </c>
      <c r="B15" s="361">
        <v>0</v>
      </c>
      <c r="C15" s="362">
        <f>B15/'- 3 -'!$D15*100</f>
        <v>0</v>
      </c>
      <c r="D15" s="361">
        <v>0</v>
      </c>
      <c r="E15" s="362">
        <f>D15/'- 3 -'!$D15*100</f>
        <v>0</v>
      </c>
      <c r="F15" s="361">
        <v>0</v>
      </c>
      <c r="G15" s="362">
        <f>F15/'- 3 -'!$D15*100</f>
        <v>0</v>
      </c>
      <c r="H15" s="361">
        <v>47500</v>
      </c>
      <c r="I15" s="362">
        <f>H15/'- 3 -'!$D15*100</f>
        <v>0.2430820635835127</v>
      </c>
    </row>
    <row r="16" spans="1:9" ht="14.1" customHeight="1">
      <c r="A16" s="23" t="s">
        <v>234</v>
      </c>
      <c r="B16" s="24">
        <v>0</v>
      </c>
      <c r="C16" s="353">
        <f>B16/'- 3 -'!$D16*100</f>
        <v>0</v>
      </c>
      <c r="D16" s="24">
        <v>0</v>
      </c>
      <c r="E16" s="353">
        <f>D16/'- 3 -'!$D16*100</f>
        <v>0</v>
      </c>
      <c r="F16" s="24">
        <v>0</v>
      </c>
      <c r="G16" s="353">
        <f>F16/'- 3 -'!$D16*100</f>
        <v>0</v>
      </c>
      <c r="H16" s="24">
        <v>14000</v>
      </c>
      <c r="I16" s="353">
        <f>H16/'- 3 -'!$D16*100</f>
        <v>0.10690567109385958</v>
      </c>
    </row>
    <row r="17" spans="1:9" ht="14.1" customHeight="1">
      <c r="A17" s="360" t="s">
        <v>235</v>
      </c>
      <c r="B17" s="361">
        <v>0</v>
      </c>
      <c r="C17" s="362">
        <f>B17/'- 3 -'!$D17*100</f>
        <v>0</v>
      </c>
      <c r="D17" s="361">
        <v>0</v>
      </c>
      <c r="E17" s="362">
        <f>D17/'- 3 -'!$D17*100</f>
        <v>0</v>
      </c>
      <c r="F17" s="361">
        <v>0</v>
      </c>
      <c r="G17" s="362">
        <f>F17/'- 3 -'!$D17*100</f>
        <v>0</v>
      </c>
      <c r="H17" s="361">
        <v>235500</v>
      </c>
      <c r="I17" s="362">
        <f>H17/'- 3 -'!$D17*100</f>
        <v>1.4285130228827769</v>
      </c>
    </row>
    <row r="18" spans="1:9" ht="14.1" customHeight="1">
      <c r="A18" s="23" t="s">
        <v>236</v>
      </c>
      <c r="B18" s="24">
        <v>0</v>
      </c>
      <c r="C18" s="353">
        <f>B18/'- 3 -'!$D18*100</f>
        <v>0</v>
      </c>
      <c r="D18" s="24">
        <v>0</v>
      </c>
      <c r="E18" s="353">
        <f>D18/'- 3 -'!$D18*100</f>
        <v>0</v>
      </c>
      <c r="F18" s="24">
        <v>927000</v>
      </c>
      <c r="G18" s="353">
        <f>F18/'- 3 -'!$D18*100</f>
        <v>0.77776855884780249</v>
      </c>
      <c r="H18" s="24">
        <v>1445249</v>
      </c>
      <c r="I18" s="353">
        <f>H18/'- 3 -'!$D18*100</f>
        <v>1.2125881681836328</v>
      </c>
    </row>
    <row r="19" spans="1:9" ht="14.1" customHeight="1">
      <c r="A19" s="360" t="s">
        <v>237</v>
      </c>
      <c r="B19" s="361">
        <v>0</v>
      </c>
      <c r="C19" s="362">
        <f>B19/'- 3 -'!$D19*100</f>
        <v>0</v>
      </c>
      <c r="D19" s="361">
        <v>0</v>
      </c>
      <c r="E19" s="362">
        <f>D19/'- 3 -'!$D19*100</f>
        <v>0</v>
      </c>
      <c r="F19" s="361">
        <v>0</v>
      </c>
      <c r="G19" s="362">
        <f>F19/'- 3 -'!$D19*100</f>
        <v>0</v>
      </c>
      <c r="H19" s="361">
        <v>71800</v>
      </c>
      <c r="I19" s="362">
        <f>H19/'- 3 -'!$D19*100</f>
        <v>0.16540350680774801</v>
      </c>
    </row>
    <row r="20" spans="1:9" ht="14.1" customHeight="1">
      <c r="A20" s="23" t="s">
        <v>238</v>
      </c>
      <c r="B20" s="24">
        <v>0</v>
      </c>
      <c r="C20" s="353">
        <f>B20/'- 3 -'!$D20*100</f>
        <v>0</v>
      </c>
      <c r="D20" s="24">
        <v>0</v>
      </c>
      <c r="E20" s="353">
        <f>D20/'- 3 -'!$D20*100</f>
        <v>0</v>
      </c>
      <c r="F20" s="24">
        <v>0</v>
      </c>
      <c r="G20" s="353">
        <f>F20/'- 3 -'!$D20*100</f>
        <v>0</v>
      </c>
      <c r="H20" s="24">
        <v>124700</v>
      </c>
      <c r="I20" s="353">
        <f>H20/'- 3 -'!$D20*100</f>
        <v>0.17544550777897522</v>
      </c>
    </row>
    <row r="21" spans="1:9" ht="14.1" customHeight="1">
      <c r="A21" s="360" t="s">
        <v>239</v>
      </c>
      <c r="B21" s="361">
        <v>163000</v>
      </c>
      <c r="C21" s="362">
        <f>B21/'- 3 -'!$D21*100</f>
        <v>0.47873383535380054</v>
      </c>
      <c r="D21" s="361">
        <v>0</v>
      </c>
      <c r="E21" s="362">
        <f>D21/'- 3 -'!$D21*100</f>
        <v>0</v>
      </c>
      <c r="F21" s="361">
        <v>0</v>
      </c>
      <c r="G21" s="362">
        <f>F21/'- 3 -'!$D21*100</f>
        <v>0</v>
      </c>
      <c r="H21" s="361">
        <v>77000</v>
      </c>
      <c r="I21" s="362">
        <f>H21/'- 3 -'!$D21*100</f>
        <v>0.22615033940026164</v>
      </c>
    </row>
    <row r="22" spans="1:9" ht="14.1" customHeight="1">
      <c r="A22" s="23" t="s">
        <v>240</v>
      </c>
      <c r="B22" s="24">
        <v>0</v>
      </c>
      <c r="C22" s="353">
        <f>B22/'- 3 -'!$D22*100</f>
        <v>0</v>
      </c>
      <c r="D22" s="24">
        <v>0</v>
      </c>
      <c r="E22" s="353">
        <f>D22/'- 3 -'!$D22*100</f>
        <v>0</v>
      </c>
      <c r="F22" s="24">
        <v>82350</v>
      </c>
      <c r="G22" s="353">
        <f>F22/'- 3 -'!$D22*100</f>
        <v>0.41354889634420766</v>
      </c>
      <c r="H22" s="24">
        <v>0</v>
      </c>
      <c r="I22" s="353">
        <f>H22/'- 3 -'!$D22*100</f>
        <v>0</v>
      </c>
    </row>
    <row r="23" spans="1:9" ht="14.1" customHeight="1">
      <c r="A23" s="360" t="s">
        <v>241</v>
      </c>
      <c r="B23" s="361">
        <v>119000</v>
      </c>
      <c r="C23" s="362">
        <f>B23/'- 3 -'!$D23*100</f>
        <v>0.74263697283696062</v>
      </c>
      <c r="D23" s="361">
        <v>0</v>
      </c>
      <c r="E23" s="362">
        <f>D23/'- 3 -'!$D23*100</f>
        <v>0</v>
      </c>
      <c r="F23" s="361">
        <v>113000</v>
      </c>
      <c r="G23" s="362">
        <f>F23/'- 3 -'!$D23*100</f>
        <v>0.70519309185358448</v>
      </c>
      <c r="H23" s="361">
        <v>40000</v>
      </c>
      <c r="I23" s="362">
        <f>H23/'- 3 -'!$D23*100</f>
        <v>0.24962587322250779</v>
      </c>
    </row>
    <row r="24" spans="1:9" ht="14.1" customHeight="1">
      <c r="A24" s="23" t="s">
        <v>242</v>
      </c>
      <c r="B24" s="24">
        <v>205345</v>
      </c>
      <c r="C24" s="353">
        <f>B24/'- 3 -'!$D24*100</f>
        <v>0.38915232562315399</v>
      </c>
      <c r="D24" s="24">
        <v>0</v>
      </c>
      <c r="E24" s="353">
        <f>D24/'- 3 -'!$D24*100</f>
        <v>0</v>
      </c>
      <c r="F24" s="24">
        <v>188100</v>
      </c>
      <c r="G24" s="353">
        <f>F24/'- 3 -'!$D24*100</f>
        <v>0.35647107282726759</v>
      </c>
      <c r="H24" s="24">
        <v>0</v>
      </c>
      <c r="I24" s="353">
        <f>H24/'- 3 -'!$D24*100</f>
        <v>0</v>
      </c>
    </row>
    <row r="25" spans="1:9" ht="14.1" customHeight="1">
      <c r="A25" s="360" t="s">
        <v>243</v>
      </c>
      <c r="B25" s="361">
        <v>338643</v>
      </c>
      <c r="C25" s="362">
        <f>B25/'- 3 -'!$D25*100</f>
        <v>0.21868779252276357</v>
      </c>
      <c r="D25" s="361">
        <v>0</v>
      </c>
      <c r="E25" s="362">
        <f>D25/'- 3 -'!$D25*100</f>
        <v>0</v>
      </c>
      <c r="F25" s="361">
        <v>152400</v>
      </c>
      <c r="G25" s="362">
        <f>F25/'- 3 -'!$D25*100</f>
        <v>9.8416384158152292E-2</v>
      </c>
      <c r="H25" s="361">
        <v>499889</v>
      </c>
      <c r="I25" s="362">
        <f>H25/'- 3 -'!$D25*100</f>
        <v>0.32281671824432145</v>
      </c>
    </row>
    <row r="26" spans="1:9" ht="14.1" customHeight="1">
      <c r="A26" s="23" t="s">
        <v>244</v>
      </c>
      <c r="B26" s="24">
        <v>0</v>
      </c>
      <c r="C26" s="353">
        <f>B26/'- 3 -'!$D26*100</f>
        <v>0</v>
      </c>
      <c r="D26" s="24">
        <v>0</v>
      </c>
      <c r="E26" s="353">
        <f>D26/'- 3 -'!$D26*100</f>
        <v>0</v>
      </c>
      <c r="F26" s="24">
        <v>0</v>
      </c>
      <c r="G26" s="353">
        <f>F26/'- 3 -'!$D26*100</f>
        <v>0</v>
      </c>
      <c r="H26" s="24">
        <v>101005</v>
      </c>
      <c r="I26" s="353">
        <f>H26/'- 3 -'!$D26*100</f>
        <v>0.2662022221303299</v>
      </c>
    </row>
    <row r="27" spans="1:9" ht="14.1" customHeight="1">
      <c r="A27" s="360" t="s">
        <v>245</v>
      </c>
      <c r="B27" s="361">
        <v>0</v>
      </c>
      <c r="C27" s="362">
        <f>B27/'- 3 -'!$D27*100</f>
        <v>0</v>
      </c>
      <c r="D27" s="361">
        <v>0</v>
      </c>
      <c r="E27" s="362">
        <f>D27/'- 3 -'!$D27*100</f>
        <v>0</v>
      </c>
      <c r="F27" s="361">
        <v>0</v>
      </c>
      <c r="G27" s="362">
        <f>F27/'- 3 -'!$D27*100</f>
        <v>0</v>
      </c>
      <c r="H27" s="361">
        <v>49981</v>
      </c>
      <c r="I27" s="362">
        <f>H27/'- 3 -'!$D27*100</f>
        <v>0.12989704734429139</v>
      </c>
    </row>
    <row r="28" spans="1:9" ht="14.1" customHeight="1">
      <c r="A28" s="23" t="s">
        <v>246</v>
      </c>
      <c r="B28" s="24">
        <v>0</v>
      </c>
      <c r="C28" s="353">
        <f>B28/'- 3 -'!$D28*100</f>
        <v>0</v>
      </c>
      <c r="D28" s="24">
        <v>0</v>
      </c>
      <c r="E28" s="353">
        <f>D28/'- 3 -'!$D28*100</f>
        <v>0</v>
      </c>
      <c r="F28" s="24">
        <v>0</v>
      </c>
      <c r="G28" s="353">
        <f>F28/'- 3 -'!$D28*100</f>
        <v>0</v>
      </c>
      <c r="H28" s="24">
        <v>80302</v>
      </c>
      <c r="I28" s="353">
        <f>H28/'- 3 -'!$D28*100</f>
        <v>0.30798846962845239</v>
      </c>
    </row>
    <row r="29" spans="1:9" ht="14.1" customHeight="1">
      <c r="A29" s="360" t="s">
        <v>247</v>
      </c>
      <c r="B29" s="361">
        <v>0</v>
      </c>
      <c r="C29" s="362">
        <f>B29/'- 3 -'!$D29*100</f>
        <v>0</v>
      </c>
      <c r="D29" s="361">
        <v>0</v>
      </c>
      <c r="E29" s="362">
        <f>D29/'- 3 -'!$D29*100</f>
        <v>0</v>
      </c>
      <c r="F29" s="361">
        <v>288891</v>
      </c>
      <c r="G29" s="362">
        <f>F29/'- 3 -'!$D29*100</f>
        <v>0.20342010906544503</v>
      </c>
      <c r="H29" s="361">
        <v>302183</v>
      </c>
      <c r="I29" s="362">
        <f>H29/'- 3 -'!$D29*100</f>
        <v>0.21277955636459212</v>
      </c>
    </row>
    <row r="30" spans="1:9" ht="14.1" customHeight="1">
      <c r="A30" s="23" t="s">
        <v>248</v>
      </c>
      <c r="B30" s="24">
        <v>0</v>
      </c>
      <c r="C30" s="353">
        <f>B30/'- 3 -'!$D30*100</f>
        <v>0</v>
      </c>
      <c r="D30" s="24">
        <v>0</v>
      </c>
      <c r="E30" s="353">
        <f>D30/'- 3 -'!$D30*100</f>
        <v>0</v>
      </c>
      <c r="F30" s="24">
        <v>0</v>
      </c>
      <c r="G30" s="353">
        <f>F30/'- 3 -'!$D30*100</f>
        <v>0</v>
      </c>
      <c r="H30" s="24">
        <v>13108</v>
      </c>
      <c r="I30" s="353">
        <f>H30/'- 3 -'!$D30*100</f>
        <v>9.7419085415534984E-2</v>
      </c>
    </row>
    <row r="31" spans="1:9" ht="14.1" customHeight="1">
      <c r="A31" s="360" t="s">
        <v>249</v>
      </c>
      <c r="B31" s="361">
        <v>0</v>
      </c>
      <c r="C31" s="362">
        <f>B31/'- 3 -'!$D31*100</f>
        <v>0</v>
      </c>
      <c r="D31" s="361">
        <v>0</v>
      </c>
      <c r="E31" s="362">
        <f>D31/'- 3 -'!$D31*100</f>
        <v>0</v>
      </c>
      <c r="F31" s="361">
        <v>0</v>
      </c>
      <c r="G31" s="362">
        <f>F31/'- 3 -'!$D31*100</f>
        <v>0</v>
      </c>
      <c r="H31" s="361">
        <v>48719</v>
      </c>
      <c r="I31" s="362">
        <f>H31/'- 3 -'!$D31*100</f>
        <v>0.14488778445703421</v>
      </c>
    </row>
    <row r="32" spans="1:9" ht="14.1" customHeight="1">
      <c r="A32" s="23" t="s">
        <v>250</v>
      </c>
      <c r="B32" s="24">
        <v>0</v>
      </c>
      <c r="C32" s="353">
        <f>B32/'- 3 -'!$D32*100</f>
        <v>0</v>
      </c>
      <c r="D32" s="24">
        <v>0</v>
      </c>
      <c r="E32" s="353">
        <f>D32/'- 3 -'!$D32*100</f>
        <v>0</v>
      </c>
      <c r="F32" s="24">
        <v>0</v>
      </c>
      <c r="G32" s="353">
        <f>F32/'- 3 -'!$D32*100</f>
        <v>0</v>
      </c>
      <c r="H32" s="24">
        <v>30800</v>
      </c>
      <c r="I32" s="353">
        <f>H32/'- 3 -'!$D32*100</f>
        <v>0.12057995198568952</v>
      </c>
    </row>
    <row r="33" spans="1:9" ht="14.1" customHeight="1">
      <c r="A33" s="360" t="s">
        <v>251</v>
      </c>
      <c r="B33" s="361">
        <v>0</v>
      </c>
      <c r="C33" s="362">
        <f>B33/'- 3 -'!$D33*100</f>
        <v>0</v>
      </c>
      <c r="D33" s="361">
        <v>0</v>
      </c>
      <c r="E33" s="362">
        <f>D33/'- 3 -'!$D33*100</f>
        <v>0</v>
      </c>
      <c r="F33" s="361">
        <v>0</v>
      </c>
      <c r="G33" s="362">
        <f>F33/'- 3 -'!$D33*100</f>
        <v>0</v>
      </c>
      <c r="H33" s="361">
        <v>30000</v>
      </c>
      <c r="I33" s="362">
        <f>H33/'- 3 -'!$D33*100</f>
        <v>0.11422783884736495</v>
      </c>
    </row>
    <row r="34" spans="1:9" ht="14.1" customHeight="1">
      <c r="A34" s="23" t="s">
        <v>252</v>
      </c>
      <c r="B34" s="24">
        <v>0</v>
      </c>
      <c r="C34" s="353">
        <f>B34/'- 3 -'!$D34*100</f>
        <v>0</v>
      </c>
      <c r="D34" s="24">
        <v>0</v>
      </c>
      <c r="E34" s="353">
        <f>D34/'- 3 -'!$D34*100</f>
        <v>0</v>
      </c>
      <c r="F34" s="24">
        <v>0</v>
      </c>
      <c r="G34" s="353">
        <f>F34/'- 3 -'!$D34*100</f>
        <v>0</v>
      </c>
      <c r="H34" s="24">
        <v>29917</v>
      </c>
      <c r="I34" s="353">
        <f>H34/'- 3 -'!$D34*100</f>
        <v>0.11712357925461375</v>
      </c>
    </row>
    <row r="35" spans="1:9" ht="14.1" customHeight="1">
      <c r="A35" s="360" t="s">
        <v>253</v>
      </c>
      <c r="B35" s="361">
        <v>360600</v>
      </c>
      <c r="C35" s="362">
        <f>B35/'- 3 -'!$D35*100</f>
        <v>0.21522233559493451</v>
      </c>
      <c r="D35" s="361">
        <v>0</v>
      </c>
      <c r="E35" s="362">
        <f>D35/'- 3 -'!$D35*100</f>
        <v>0</v>
      </c>
      <c r="F35" s="361">
        <v>30700</v>
      </c>
      <c r="G35" s="362">
        <f>F35/'- 3 -'!$D35*100</f>
        <v>1.8323143934455048E-2</v>
      </c>
      <c r="H35" s="361">
        <v>218698</v>
      </c>
      <c r="I35" s="362">
        <f>H35/'- 3 -'!$D35*100</f>
        <v>0.13052882515235992</v>
      </c>
    </row>
    <row r="36" spans="1:9" ht="14.1" customHeight="1">
      <c r="A36" s="23" t="s">
        <v>254</v>
      </c>
      <c r="B36" s="24">
        <v>0</v>
      </c>
      <c r="C36" s="353">
        <f>B36/'- 3 -'!$D36*100</f>
        <v>0</v>
      </c>
      <c r="D36" s="24">
        <v>0</v>
      </c>
      <c r="E36" s="353">
        <f>D36/'- 3 -'!$D36*100</f>
        <v>0</v>
      </c>
      <c r="F36" s="24">
        <v>0</v>
      </c>
      <c r="G36" s="353">
        <f>F36/'- 3 -'!$D36*100</f>
        <v>0</v>
      </c>
      <c r="H36" s="24">
        <v>28500</v>
      </c>
      <c r="I36" s="353">
        <f>H36/'- 3 -'!$D36*100</f>
        <v>0.13213781835361843</v>
      </c>
    </row>
    <row r="37" spans="1:9" ht="14.1" customHeight="1">
      <c r="A37" s="360" t="s">
        <v>255</v>
      </c>
      <c r="B37" s="361">
        <v>0</v>
      </c>
      <c r="C37" s="362">
        <f>B37/'- 3 -'!$D37*100</f>
        <v>0</v>
      </c>
      <c r="D37" s="361">
        <v>0</v>
      </c>
      <c r="E37" s="362">
        <f>D37/'- 3 -'!$D37*100</f>
        <v>0</v>
      </c>
      <c r="F37" s="361">
        <v>0</v>
      </c>
      <c r="G37" s="362">
        <f>F37/'- 3 -'!$D37*100</f>
        <v>0</v>
      </c>
      <c r="H37" s="361">
        <v>172473</v>
      </c>
      <c r="I37" s="362">
        <f>H37/'- 3 -'!$D37*100</f>
        <v>0.41395126130893878</v>
      </c>
    </row>
    <row r="38" spans="1:9" ht="14.1" customHeight="1">
      <c r="A38" s="23" t="s">
        <v>256</v>
      </c>
      <c r="B38" s="24">
        <v>136680</v>
      </c>
      <c r="C38" s="353">
        <f>B38/'- 3 -'!$D38*100</f>
        <v>0.11652386497076758</v>
      </c>
      <c r="D38" s="24">
        <v>267850</v>
      </c>
      <c r="E38" s="353">
        <f>D38/'- 3 -'!$D38*100</f>
        <v>0.22835028703848478</v>
      </c>
      <c r="F38" s="24">
        <v>586240</v>
      </c>
      <c r="G38" s="353">
        <f>F38/'- 3 -'!$D38*100</f>
        <v>0.49978746415322495</v>
      </c>
      <c r="H38" s="24">
        <v>385650</v>
      </c>
      <c r="I38" s="353">
        <f>H38/'- 3 -'!$D38*100</f>
        <v>0.32877837668990723</v>
      </c>
    </row>
    <row r="39" spans="1:9" ht="14.1" customHeight="1">
      <c r="A39" s="360" t="s">
        <v>257</v>
      </c>
      <c r="B39" s="361">
        <v>0</v>
      </c>
      <c r="C39" s="362">
        <f>B39/'- 3 -'!$D39*100</f>
        <v>0</v>
      </c>
      <c r="D39" s="361">
        <v>0</v>
      </c>
      <c r="E39" s="362">
        <f>D39/'- 3 -'!$D39*100</f>
        <v>0</v>
      </c>
      <c r="F39" s="361">
        <v>0</v>
      </c>
      <c r="G39" s="362">
        <f>F39/'- 3 -'!$D39*100</f>
        <v>0</v>
      </c>
      <c r="H39" s="361">
        <v>173114</v>
      </c>
      <c r="I39" s="362">
        <f>H39/'- 3 -'!$D39*100</f>
        <v>0.84244595374932096</v>
      </c>
    </row>
    <row r="40" spans="1:9" ht="14.1" customHeight="1">
      <c r="A40" s="23" t="s">
        <v>258</v>
      </c>
      <c r="B40" s="24">
        <v>526040</v>
      </c>
      <c r="C40" s="353">
        <f>B40/'- 3 -'!$D40*100</f>
        <v>0.54106870264183138</v>
      </c>
      <c r="D40" s="24">
        <v>0</v>
      </c>
      <c r="E40" s="353">
        <f>D40/'- 3 -'!$D40*100</f>
        <v>0</v>
      </c>
      <c r="F40" s="24">
        <v>428868</v>
      </c>
      <c r="G40" s="353">
        <f>F40/'- 3 -'!$D40*100</f>
        <v>0.4411205466591836</v>
      </c>
      <c r="H40" s="24">
        <v>76118</v>
      </c>
      <c r="I40" s="353">
        <f>H40/'- 3 -'!$D40*100</f>
        <v>7.8292653615107066E-2</v>
      </c>
    </row>
    <row r="41" spans="1:9" ht="14.1" customHeight="1">
      <c r="A41" s="360" t="s">
        <v>259</v>
      </c>
      <c r="B41" s="361">
        <v>0</v>
      </c>
      <c r="C41" s="362">
        <f>B41/'- 3 -'!$D41*100</f>
        <v>0</v>
      </c>
      <c r="D41" s="361">
        <v>0</v>
      </c>
      <c r="E41" s="362">
        <f>D41/'- 3 -'!$D41*100</f>
        <v>0</v>
      </c>
      <c r="F41" s="361">
        <v>0</v>
      </c>
      <c r="G41" s="362">
        <f>F41/'- 3 -'!$D41*100</f>
        <v>0</v>
      </c>
      <c r="H41" s="361">
        <v>308301</v>
      </c>
      <c r="I41" s="362">
        <f>H41/'- 3 -'!$D41*100</f>
        <v>0.53450974796638162</v>
      </c>
    </row>
    <row r="42" spans="1:9" ht="14.1" customHeight="1">
      <c r="A42" s="23" t="s">
        <v>260</v>
      </c>
      <c r="B42" s="24">
        <v>0</v>
      </c>
      <c r="C42" s="353">
        <f>B42/'- 3 -'!$D42*100</f>
        <v>0</v>
      </c>
      <c r="D42" s="24">
        <v>0</v>
      </c>
      <c r="E42" s="353">
        <f>D42/'- 3 -'!$D42*100</f>
        <v>0</v>
      </c>
      <c r="F42" s="24">
        <v>0</v>
      </c>
      <c r="G42" s="353">
        <f>F42/'- 3 -'!$D42*100</f>
        <v>0</v>
      </c>
      <c r="H42" s="24">
        <v>224973</v>
      </c>
      <c r="I42" s="353">
        <f>H42/'- 3 -'!$D42*100</f>
        <v>1.1150723786173635</v>
      </c>
    </row>
    <row r="43" spans="1:9" ht="14.1" customHeight="1">
      <c r="A43" s="360" t="s">
        <v>261</v>
      </c>
      <c r="B43" s="361">
        <v>0</v>
      </c>
      <c r="C43" s="362">
        <f>B43/'- 3 -'!$D43*100</f>
        <v>0</v>
      </c>
      <c r="D43" s="361">
        <v>0</v>
      </c>
      <c r="E43" s="362">
        <f>D43/'- 3 -'!$D43*100</f>
        <v>0</v>
      </c>
      <c r="F43" s="361">
        <v>0</v>
      </c>
      <c r="G43" s="362">
        <f>F43/'- 3 -'!$D43*100</f>
        <v>0</v>
      </c>
      <c r="H43" s="361">
        <v>15447</v>
      </c>
      <c r="I43" s="362">
        <f>H43/'- 3 -'!$D43*100</f>
        <v>0.12919905285811187</v>
      </c>
    </row>
    <row r="44" spans="1:9" ht="14.1" customHeight="1">
      <c r="A44" s="23" t="s">
        <v>262</v>
      </c>
      <c r="B44" s="24">
        <v>0</v>
      </c>
      <c r="C44" s="353">
        <f>B44/'- 3 -'!$D44*100</f>
        <v>0</v>
      </c>
      <c r="D44" s="24">
        <v>0</v>
      </c>
      <c r="E44" s="353">
        <f>D44/'- 3 -'!$D44*100</f>
        <v>0</v>
      </c>
      <c r="F44" s="24">
        <v>0</v>
      </c>
      <c r="G44" s="353">
        <f>F44/'- 3 -'!$D44*100</f>
        <v>0</v>
      </c>
      <c r="H44" s="24">
        <v>9578</v>
      </c>
      <c r="I44" s="353">
        <f>H44/'- 3 -'!$D44*100</f>
        <v>9.0885308111917029E-2</v>
      </c>
    </row>
    <row r="45" spans="1:9" ht="14.1" customHeight="1">
      <c r="A45" s="360" t="s">
        <v>263</v>
      </c>
      <c r="B45" s="361">
        <v>0</v>
      </c>
      <c r="C45" s="362">
        <f>B45/'- 3 -'!$D45*100</f>
        <v>0</v>
      </c>
      <c r="D45" s="361">
        <v>0</v>
      </c>
      <c r="E45" s="362">
        <f>D45/'- 3 -'!$D45*100</f>
        <v>0</v>
      </c>
      <c r="F45" s="361">
        <v>4000</v>
      </c>
      <c r="G45" s="362">
        <f>F45/'- 3 -'!$D45*100</f>
        <v>2.3623734387959835E-2</v>
      </c>
      <c r="H45" s="361">
        <v>43758</v>
      </c>
      <c r="I45" s="362">
        <f>H45/'- 3 -'!$D45*100</f>
        <v>0.2584318423370866</v>
      </c>
    </row>
    <row r="46" spans="1:9" ht="14.1" customHeight="1">
      <c r="A46" s="23" t="s">
        <v>264</v>
      </c>
      <c r="B46" s="24">
        <v>0</v>
      </c>
      <c r="C46" s="353">
        <f>B46/'- 3 -'!$D46*100</f>
        <v>0</v>
      </c>
      <c r="D46" s="24">
        <v>3129700</v>
      </c>
      <c r="E46" s="353">
        <f>D46/'- 3 -'!$D46*100</f>
        <v>0.86777453001207239</v>
      </c>
      <c r="F46" s="24">
        <v>200500</v>
      </c>
      <c r="G46" s="353">
        <f>F46/'- 3 -'!$D46*100</f>
        <v>5.5592802270959044E-2</v>
      </c>
      <c r="H46" s="24">
        <v>5309900</v>
      </c>
      <c r="I46" s="353">
        <f>H46/'- 3 -'!$D46*100</f>
        <v>1.4722804028856129</v>
      </c>
    </row>
    <row r="47" spans="1:9" ht="5.0999999999999996" customHeight="1">
      <c r="A47"/>
      <c r="B47"/>
      <c r="C47"/>
      <c r="D47"/>
      <c r="E47"/>
      <c r="F47"/>
      <c r="G47"/>
      <c r="H47"/>
      <c r="I47"/>
    </row>
    <row r="48" spans="1:9" ht="14.1" customHeight="1">
      <c r="A48" s="363" t="s">
        <v>265</v>
      </c>
      <c r="B48" s="364">
        <f>SUM(B11:B46)</f>
        <v>1849308</v>
      </c>
      <c r="C48" s="365">
        <f>B48/'- 3 -'!$D48*100</f>
        <v>8.8815426191038355E-2</v>
      </c>
      <c r="D48" s="364">
        <f>SUM(D11:D46)</f>
        <v>3397550</v>
      </c>
      <c r="E48" s="365">
        <f>D48/'- 3 -'!$D48*100</f>
        <v>0.16317176546868467</v>
      </c>
      <c r="F48" s="364">
        <f>SUM(F11:F46)</f>
        <v>3087049</v>
      </c>
      <c r="G48" s="365">
        <f>F48/'- 3 -'!$D48*100</f>
        <v>0.14825955038729013</v>
      </c>
      <c r="H48" s="364">
        <f>SUM(H11:H46)</f>
        <v>11409896</v>
      </c>
      <c r="I48" s="365">
        <f>H48/'- 3 -'!$D48*100</f>
        <v>0.54797512152406391</v>
      </c>
    </row>
    <row r="49" spans="1:9" ht="5.0999999999999996" customHeight="1">
      <c r="A49" s="25" t="s">
        <v>3</v>
      </c>
      <c r="B49" s="26"/>
      <c r="C49" s="351"/>
      <c r="D49" s="26"/>
      <c r="E49" s="351"/>
      <c r="F49" s="26"/>
      <c r="G49" s="351"/>
      <c r="H49" s="26"/>
      <c r="I49" s="351"/>
    </row>
    <row r="50" spans="1:9" ht="14.1" customHeight="1">
      <c r="A50" s="23" t="s">
        <v>266</v>
      </c>
      <c r="B50" s="24">
        <v>0</v>
      </c>
      <c r="C50" s="353">
        <f>B50/'- 3 -'!$D50*100</f>
        <v>0</v>
      </c>
      <c r="D50" s="24">
        <v>0</v>
      </c>
      <c r="E50" s="353">
        <f>D50/'- 3 -'!$D50*100</f>
        <v>0</v>
      </c>
      <c r="F50" s="24">
        <v>0</v>
      </c>
      <c r="G50" s="353">
        <f>F50/'- 3 -'!$D50*100</f>
        <v>0</v>
      </c>
      <c r="H50" s="24">
        <v>30000</v>
      </c>
      <c r="I50" s="353">
        <f>H50/'- 3 -'!$D50*100</f>
        <v>0.91414613722978988</v>
      </c>
    </row>
    <row r="51" spans="1:9" ht="14.1" customHeight="1">
      <c r="A51" s="360" t="s">
        <v>267</v>
      </c>
      <c r="B51" s="361">
        <v>0</v>
      </c>
      <c r="C51" s="362">
        <f>B51/'- 3 -'!$D51*100</f>
        <v>0</v>
      </c>
      <c r="D51" s="361">
        <v>3707280</v>
      </c>
      <c r="E51" s="362">
        <f>D51/'- 3 -'!$D51*100</f>
        <v>17.836897524539157</v>
      </c>
      <c r="F51" s="361">
        <v>3539218</v>
      </c>
      <c r="G51" s="362">
        <f>F51/'- 3 -'!$D51*100</f>
        <v>17.028298046817188</v>
      </c>
      <c r="H51" s="361">
        <v>0</v>
      </c>
      <c r="I51" s="362">
        <f>H51/'- 3 -'!$D51*100</f>
        <v>0</v>
      </c>
    </row>
    <row r="52" spans="1:9" ht="50.1" customHeight="1"/>
    <row r="53" spans="1:9" ht="15" customHeight="1"/>
    <row r="54" spans="1:9" ht="14.45" customHeight="1"/>
    <row r="55" spans="1:9" ht="14.45" customHeight="1"/>
    <row r="56" spans="1:9" ht="14.45" customHeight="1"/>
    <row r="57" spans="1:9" ht="14.45" customHeight="1"/>
    <row r="58" spans="1:9" ht="14.45" customHeight="1"/>
    <row r="59" spans="1:9"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2.xml><?xml version="1.0" encoding="utf-8"?>
<worksheet xmlns="http://schemas.openxmlformats.org/spreadsheetml/2006/main" xmlns:r="http://schemas.openxmlformats.org/officeDocument/2006/relationships">
  <sheetPr codeName="Sheet21">
    <pageSetUpPr fitToPage="1"/>
  </sheetPr>
  <dimension ref="A1:J59"/>
  <sheetViews>
    <sheetView showGridLines="0" showZeros="0" workbookViewId="0"/>
  </sheetViews>
  <sheetFormatPr defaultColWidth="15.83203125" defaultRowHeight="12"/>
  <cols>
    <col min="1" max="1" width="30.83203125" style="1" customWidth="1"/>
    <col min="2" max="2" width="15.1640625" style="1" customWidth="1"/>
    <col min="3" max="3" width="7.83203125" style="1" customWidth="1"/>
    <col min="4" max="4" width="8" style="1" customWidth="1"/>
    <col min="5" max="5" width="12.6640625" style="1" customWidth="1"/>
    <col min="6" max="6" width="7.83203125" style="1" customWidth="1"/>
    <col min="7" max="7" width="7.33203125" style="1" customWidth="1"/>
    <col min="8" max="8" width="12.6640625" style="1" customWidth="1"/>
    <col min="9" max="9" width="7.83203125" style="1" customWidth="1"/>
    <col min="10" max="10" width="9.5" style="1" customWidth="1"/>
    <col min="11" max="16384" width="15.83203125" style="1"/>
  </cols>
  <sheetData>
    <row r="1" spans="1:10" ht="6.95" customHeight="1">
      <c r="A1" s="3"/>
      <c r="B1" s="4"/>
      <c r="C1" s="4"/>
      <c r="D1" s="4"/>
      <c r="E1" s="4"/>
      <c r="F1" s="4"/>
      <c r="G1" s="4"/>
      <c r="H1" s="4"/>
      <c r="I1" s="4"/>
      <c r="J1" s="4"/>
    </row>
    <row r="2" spans="1:10" ht="15.95" customHeight="1">
      <c r="A2" s="161"/>
      <c r="B2" s="5" t="s">
        <v>483</v>
      </c>
      <c r="C2" s="6"/>
      <c r="D2" s="6"/>
      <c r="E2" s="6"/>
      <c r="F2" s="6"/>
      <c r="G2" s="106"/>
      <c r="H2" s="106"/>
      <c r="I2" s="173"/>
      <c r="J2" s="184" t="s">
        <v>437</v>
      </c>
    </row>
    <row r="3" spans="1:10" ht="15.95" customHeight="1">
      <c r="A3" s="164"/>
      <c r="B3" s="7" t="str">
        <f>OPYEAR</f>
        <v>OPERATING FUND 2013/2014 BUDGET</v>
      </c>
      <c r="C3" s="8"/>
      <c r="D3" s="8"/>
      <c r="E3" s="8"/>
      <c r="F3" s="8"/>
      <c r="G3" s="108"/>
      <c r="H3" s="108"/>
      <c r="I3" s="108"/>
      <c r="J3" s="101"/>
    </row>
    <row r="4" spans="1:10" ht="15.95" customHeight="1">
      <c r="B4" s="4"/>
      <c r="C4" s="4"/>
      <c r="D4" s="4"/>
      <c r="E4" s="4"/>
      <c r="F4" s="4"/>
      <c r="G4" s="4"/>
      <c r="H4" s="4"/>
      <c r="I4" s="4"/>
      <c r="J4" s="4"/>
    </row>
    <row r="5" spans="1:10" ht="15.95" customHeight="1">
      <c r="B5" s="185" t="s">
        <v>182</v>
      </c>
      <c r="C5" s="186"/>
      <c r="D5" s="187"/>
      <c r="E5" s="187"/>
      <c r="F5" s="187"/>
      <c r="G5" s="187"/>
      <c r="H5" s="187"/>
      <c r="I5" s="187"/>
      <c r="J5" s="188"/>
    </row>
    <row r="6" spans="1:10" ht="15.95" customHeight="1">
      <c r="B6" s="354"/>
      <c r="C6" s="355"/>
      <c r="D6" s="356"/>
      <c r="E6" s="354" t="s">
        <v>14</v>
      </c>
      <c r="F6" s="355"/>
      <c r="G6" s="356"/>
      <c r="H6" s="354" t="s">
        <v>12</v>
      </c>
      <c r="I6" s="355"/>
      <c r="J6" s="356"/>
    </row>
    <row r="7" spans="1:10" ht="15.95" customHeight="1">
      <c r="B7" s="357" t="s">
        <v>38</v>
      </c>
      <c r="C7" s="358"/>
      <c r="D7" s="359"/>
      <c r="E7" s="357" t="s">
        <v>39</v>
      </c>
      <c r="F7" s="358"/>
      <c r="G7" s="359"/>
      <c r="H7" s="357" t="s">
        <v>40</v>
      </c>
      <c r="I7" s="358"/>
      <c r="J7" s="359"/>
    </row>
    <row r="8" spans="1:10" ht="15.95" customHeight="1">
      <c r="A8" s="102"/>
      <c r="B8" s="170"/>
      <c r="C8" s="169"/>
      <c r="D8" s="169" t="s">
        <v>60</v>
      </c>
      <c r="E8" s="170"/>
      <c r="F8" s="169"/>
      <c r="G8" s="169" t="s">
        <v>60</v>
      </c>
      <c r="H8" s="170"/>
      <c r="I8" s="169"/>
      <c r="J8" s="169" t="s">
        <v>60</v>
      </c>
    </row>
    <row r="9" spans="1:10" ht="15.95" customHeight="1">
      <c r="A9" s="35" t="s">
        <v>81</v>
      </c>
      <c r="B9" s="113" t="s">
        <v>82</v>
      </c>
      <c r="C9" s="113" t="s">
        <v>83</v>
      </c>
      <c r="D9" s="113" t="s">
        <v>84</v>
      </c>
      <c r="E9" s="113" t="s">
        <v>82</v>
      </c>
      <c r="F9" s="113" t="s">
        <v>83</v>
      </c>
      <c r="G9" s="113" t="s">
        <v>84</v>
      </c>
      <c r="H9" s="113" t="s">
        <v>82</v>
      </c>
      <c r="I9" s="113" t="s">
        <v>83</v>
      </c>
      <c r="J9" s="113" t="s">
        <v>84</v>
      </c>
    </row>
    <row r="10" spans="1:10" ht="5.0999999999999996" customHeight="1">
      <c r="A10" s="37"/>
    </row>
    <row r="11" spans="1:10" ht="14.1" customHeight="1">
      <c r="A11" s="360" t="s">
        <v>230</v>
      </c>
      <c r="B11" s="361">
        <v>116095</v>
      </c>
      <c r="C11" s="362">
        <f>B11/'- 3 -'!$D11*100</f>
        <v>0.69283846900333368</v>
      </c>
      <c r="D11" s="361">
        <f>B11/'- 7 -'!$F11</f>
        <v>75.80476656872348</v>
      </c>
      <c r="E11" s="361">
        <v>160250</v>
      </c>
      <c r="F11" s="362">
        <f>E11/'- 3 -'!$D11*100</f>
        <v>0.95634923689895546</v>
      </c>
      <c r="G11" s="361">
        <f>E11/'- 7 -'!$F11</f>
        <v>104.63597779954293</v>
      </c>
      <c r="H11" s="361">
        <v>332515</v>
      </c>
      <c r="I11" s="362">
        <f>H11/'- 3 -'!$D11*100</f>
        <v>1.9844022870980103</v>
      </c>
      <c r="J11" s="361">
        <f>H11/'- 7 -'!$F11</f>
        <v>217.11720535422788</v>
      </c>
    </row>
    <row r="12" spans="1:10" ht="14.1" customHeight="1">
      <c r="A12" s="23" t="s">
        <v>231</v>
      </c>
      <c r="B12" s="24">
        <v>160000</v>
      </c>
      <c r="C12" s="353">
        <f>B12/'- 3 -'!$D12*100</f>
        <v>0.51658892971878645</v>
      </c>
      <c r="D12" s="24">
        <f>B12/'- 7 -'!$F12</f>
        <v>70.233966902243083</v>
      </c>
      <c r="E12" s="24">
        <v>164862</v>
      </c>
      <c r="F12" s="353">
        <f>E12/'- 3 -'!$D12*100</f>
        <v>0.53228677582061601</v>
      </c>
      <c r="G12" s="24">
        <f>E12/'- 7 -'!$F12</f>
        <v>72.368201571485002</v>
      </c>
      <c r="H12" s="24">
        <v>618896</v>
      </c>
      <c r="I12" s="353">
        <f>H12/'- 3 -'!$D12*100</f>
        <v>1.9982176390452375</v>
      </c>
      <c r="J12" s="24">
        <f>H12/'- 7 -'!$F12</f>
        <v>271.67200737456648</v>
      </c>
    </row>
    <row r="13" spans="1:10" ht="14.1" customHeight="1">
      <c r="A13" s="360" t="s">
        <v>232</v>
      </c>
      <c r="B13" s="361">
        <v>322200</v>
      </c>
      <c r="C13" s="362">
        <f>B13/'- 3 -'!$D13*100</f>
        <v>0.37306390600920036</v>
      </c>
      <c r="D13" s="361">
        <f>B13/'- 7 -'!$F13</f>
        <v>39.856358771553296</v>
      </c>
      <c r="E13" s="361">
        <v>586300</v>
      </c>
      <c r="F13" s="362">
        <f>E13/'- 3 -'!$D13*100</f>
        <v>0.67885589104032951</v>
      </c>
      <c r="G13" s="361">
        <f>E13/'- 7 -'!$F13</f>
        <v>72.525708093611726</v>
      </c>
      <c r="H13" s="361">
        <v>1552900</v>
      </c>
      <c r="I13" s="362">
        <f>H13/'- 3 -'!$D13*100</f>
        <v>1.7980476090679307</v>
      </c>
      <c r="J13" s="361">
        <f>H13/'- 7 -'!$F13</f>
        <v>192.09478440827161</v>
      </c>
    </row>
    <row r="14" spans="1:10" ht="14.1" customHeight="1">
      <c r="A14" s="23" t="s">
        <v>578</v>
      </c>
      <c r="B14" s="24">
        <v>718844</v>
      </c>
      <c r="C14" s="353">
        <f>B14/'- 3 -'!$D14*100</f>
        <v>0.95886823125050824</v>
      </c>
      <c r="D14" s="24">
        <f>B14/'- 7 -'!$F14</f>
        <v>137.84161073825504</v>
      </c>
      <c r="E14" s="24">
        <v>1293557</v>
      </c>
      <c r="F14" s="353">
        <f>E14/'- 3 -'!$D14*100</f>
        <v>1.7254796765525116</v>
      </c>
      <c r="G14" s="24">
        <f>E14/'- 7 -'!$F14</f>
        <v>248.04544582933843</v>
      </c>
      <c r="H14" s="24">
        <v>972757</v>
      </c>
      <c r="I14" s="353">
        <f>H14/'- 3 -'!$D14*100</f>
        <v>1.2975635659844842</v>
      </c>
      <c r="J14" s="24">
        <f>H14/'- 7 -'!$F14</f>
        <v>186.53058485139022</v>
      </c>
    </row>
    <row r="15" spans="1:10" ht="14.1" customHeight="1">
      <c r="A15" s="360" t="s">
        <v>233</v>
      </c>
      <c r="B15" s="361">
        <v>161350</v>
      </c>
      <c r="C15" s="362">
        <f>B15/'- 3 -'!$D15*100</f>
        <v>0.82571138861473203</v>
      </c>
      <c r="D15" s="361">
        <f>B15/'- 7 -'!$F15</f>
        <v>106.15131578947368</v>
      </c>
      <c r="E15" s="361">
        <v>214650</v>
      </c>
      <c r="F15" s="362">
        <f>E15/'- 3 -'!$D15*100</f>
        <v>1.0984750515410737</v>
      </c>
      <c r="G15" s="361">
        <f>E15/'- 7 -'!$F15</f>
        <v>141.21710526315789</v>
      </c>
      <c r="H15" s="361">
        <v>388845</v>
      </c>
      <c r="I15" s="362">
        <f>H15/'- 3 -'!$D15*100</f>
        <v>1.9899209476659157</v>
      </c>
      <c r="J15" s="361">
        <f>H15/'- 7 -'!$F15</f>
        <v>255.81907894736841</v>
      </c>
    </row>
    <row r="16" spans="1:10" ht="14.1" customHeight="1">
      <c r="A16" s="23" t="s">
        <v>234</v>
      </c>
      <c r="B16" s="24">
        <v>116345</v>
      </c>
      <c r="C16" s="353">
        <f>B16/'- 3 -'!$D16*100</f>
        <v>0.88842430738679234</v>
      </c>
      <c r="D16" s="24">
        <f>B16/'- 7 -'!$F16</f>
        <v>116.92964824120602</v>
      </c>
      <c r="E16" s="24">
        <v>195834</v>
      </c>
      <c r="F16" s="353">
        <f>E16/'- 3 -'!$D16*100</f>
        <v>1.4954117994996357</v>
      </c>
      <c r="G16" s="24">
        <f>E16/'- 7 -'!$F16</f>
        <v>196.81809045226132</v>
      </c>
      <c r="H16" s="24">
        <v>324067</v>
      </c>
      <c r="I16" s="353">
        <f>H16/'- 3 -'!$D16*100</f>
        <v>2.4746142938838425</v>
      </c>
      <c r="J16" s="24">
        <f>H16/'- 7 -'!$F16</f>
        <v>325.69547738693467</v>
      </c>
    </row>
    <row r="17" spans="1:10" ht="14.1" customHeight="1">
      <c r="A17" s="360" t="s">
        <v>235</v>
      </c>
      <c r="B17" s="361">
        <v>216240</v>
      </c>
      <c r="C17" s="362">
        <f>B17/'- 3 -'!$D17*100</f>
        <v>1.3116843145145294</v>
      </c>
      <c r="D17" s="361">
        <f>B17/'- 7 -'!$F17</f>
        <v>166.27450980392157</v>
      </c>
      <c r="E17" s="361">
        <v>156520</v>
      </c>
      <c r="F17" s="362">
        <f>E17/'- 3 -'!$D17*100</f>
        <v>0.94943039635504134</v>
      </c>
      <c r="G17" s="361">
        <f>E17/'- 7 -'!$F17</f>
        <v>120.35371011149557</v>
      </c>
      <c r="H17" s="361">
        <v>288730</v>
      </c>
      <c r="I17" s="362">
        <f>H17/'- 3 -'!$D17*100</f>
        <v>1.7513994271632447</v>
      </c>
      <c r="J17" s="361">
        <f>H17/'- 7 -'!$F17</f>
        <v>222.01460976547483</v>
      </c>
    </row>
    <row r="18" spans="1:10" ht="14.1" customHeight="1">
      <c r="A18" s="23" t="s">
        <v>236</v>
      </c>
      <c r="B18" s="24">
        <v>1108327</v>
      </c>
      <c r="C18" s="353">
        <f>B18/'- 3 -'!$D18*100</f>
        <v>0.92990495525578021</v>
      </c>
      <c r="D18" s="24">
        <f>B18/'- 7 -'!$F18</f>
        <v>177.83024468511834</v>
      </c>
      <c r="E18" s="24">
        <v>1820663</v>
      </c>
      <c r="F18" s="353">
        <f>E18/'- 3 -'!$D18*100</f>
        <v>1.527566815164527</v>
      </c>
      <c r="G18" s="24">
        <f>E18/'- 7 -'!$F18</f>
        <v>292.12402727637385</v>
      </c>
      <c r="H18" s="24">
        <v>2930542</v>
      </c>
      <c r="I18" s="353">
        <f>H18/'- 3 -'!$D18*100</f>
        <v>2.4587739244692086</v>
      </c>
      <c r="J18" s="24">
        <f>H18/'- 7 -'!$F18</f>
        <v>470.20328920978739</v>
      </c>
    </row>
    <row r="19" spans="1:10" ht="14.1" customHeight="1">
      <c r="A19" s="360" t="s">
        <v>237</v>
      </c>
      <c r="B19" s="361">
        <v>187305</v>
      </c>
      <c r="C19" s="362">
        <f>B19/'- 3 -'!$D19*100</f>
        <v>0.43148891145717605</v>
      </c>
      <c r="D19" s="361">
        <f>B19/'- 7 -'!$F19</f>
        <v>44.501069137562368</v>
      </c>
      <c r="E19" s="361">
        <v>432850</v>
      </c>
      <c r="F19" s="362">
        <f>E19/'- 3 -'!$D19*100</f>
        <v>0.99714356436955054</v>
      </c>
      <c r="G19" s="361">
        <f>E19/'- 7 -'!$F19</f>
        <v>102.8391541933951</v>
      </c>
      <c r="H19" s="361">
        <v>695565</v>
      </c>
      <c r="I19" s="362">
        <f>H19/'- 3 -'!$D19*100</f>
        <v>1.6023522313750871</v>
      </c>
      <c r="J19" s="361">
        <f>H19/'- 7 -'!$F19</f>
        <v>165.25659301496793</v>
      </c>
    </row>
    <row r="20" spans="1:10" ht="14.1" customHeight="1">
      <c r="A20" s="23" t="s">
        <v>238</v>
      </c>
      <c r="B20" s="24">
        <v>260300</v>
      </c>
      <c r="C20" s="353">
        <f>B20/'- 3 -'!$D20*100</f>
        <v>0.3662266694055113</v>
      </c>
      <c r="D20" s="24">
        <f>B20/'- 7 -'!$F20</f>
        <v>34.524835864447248</v>
      </c>
      <c r="E20" s="24">
        <v>545600</v>
      </c>
      <c r="F20" s="353">
        <f>E20/'- 3 -'!$D20*100</f>
        <v>0.76762685681001519</v>
      </c>
      <c r="G20" s="24">
        <f>E20/'- 7 -'!$F20</f>
        <v>72.365541481530599</v>
      </c>
      <c r="H20" s="24">
        <v>1118700</v>
      </c>
      <c r="I20" s="353">
        <f>H20/'- 3 -'!$D20*100</f>
        <v>1.5739445834189223</v>
      </c>
      <c r="J20" s="24">
        <f>H20/'- 7 -'!$F20</f>
        <v>148.37853969096093</v>
      </c>
    </row>
    <row r="21" spans="1:10" ht="14.1" customHeight="1">
      <c r="A21" s="360" t="s">
        <v>239</v>
      </c>
      <c r="B21" s="361">
        <v>224600</v>
      </c>
      <c r="C21" s="362">
        <f>B21/'- 3 -'!$D21*100</f>
        <v>0.65965410687400983</v>
      </c>
      <c r="D21" s="361">
        <f>B21/'- 7 -'!$F21</f>
        <v>83.494423791821561</v>
      </c>
      <c r="E21" s="361">
        <v>389000</v>
      </c>
      <c r="F21" s="362">
        <f>E21/'- 3 -'!$D21*100</f>
        <v>1.1424997665805425</v>
      </c>
      <c r="G21" s="361">
        <f>E21/'- 7 -'!$F21</f>
        <v>144.6096654275093</v>
      </c>
      <c r="H21" s="361">
        <v>623000</v>
      </c>
      <c r="I21" s="362">
        <f>H21/'- 3 -'!$D21*100</f>
        <v>1.8297618369657531</v>
      </c>
      <c r="J21" s="361">
        <f>H21/'- 7 -'!$F21</f>
        <v>231.59851301115242</v>
      </c>
    </row>
    <row r="22" spans="1:10" ht="14.1" customHeight="1">
      <c r="A22" s="23" t="s">
        <v>240</v>
      </c>
      <c r="B22" s="24">
        <v>121150</v>
      </c>
      <c r="C22" s="353">
        <f>B22/'- 3 -'!$D22*100</f>
        <v>0.608396463777787</v>
      </c>
      <c r="D22" s="24">
        <f>B22/'- 7 -'!$F22</f>
        <v>74.830142063001858</v>
      </c>
      <c r="E22" s="24">
        <v>146175</v>
      </c>
      <c r="F22" s="353">
        <f>E22/'- 3 -'!$D22*100</f>
        <v>0.73406812292792412</v>
      </c>
      <c r="G22" s="24">
        <f>E22/'- 7 -'!$F22</f>
        <v>90.287214329833233</v>
      </c>
      <c r="H22" s="24">
        <v>513250</v>
      </c>
      <c r="I22" s="353">
        <f>H22/'- 3 -'!$D22*100</f>
        <v>2.5774617006516647</v>
      </c>
      <c r="J22" s="24">
        <f>H22/'- 7 -'!$F22</f>
        <v>317.01667696108711</v>
      </c>
    </row>
    <row r="23" spans="1:10" ht="14.1" customHeight="1">
      <c r="A23" s="360" t="s">
        <v>241</v>
      </c>
      <c r="B23" s="361">
        <v>108200</v>
      </c>
      <c r="C23" s="362">
        <f>B23/'- 3 -'!$D23*100</f>
        <v>0.67523798706688354</v>
      </c>
      <c r="D23" s="361">
        <f>B23/'- 7 -'!$F23</f>
        <v>91.539763113367172</v>
      </c>
      <c r="E23" s="361">
        <v>175000</v>
      </c>
      <c r="F23" s="362">
        <f>E23/'- 3 -'!$D23*100</f>
        <v>1.0921131953484715</v>
      </c>
      <c r="G23" s="361">
        <f>E23/'- 7 -'!$F23</f>
        <v>148.05414551607444</v>
      </c>
      <c r="H23" s="361">
        <v>311400</v>
      </c>
      <c r="I23" s="362">
        <f>H23/'- 3 -'!$D23*100</f>
        <v>1.9433374230372229</v>
      </c>
      <c r="J23" s="361">
        <f>H23/'- 7 -'!$F23</f>
        <v>263.45177664974619</v>
      </c>
    </row>
    <row r="24" spans="1:10" ht="14.1" customHeight="1">
      <c r="A24" s="23" t="s">
        <v>242</v>
      </c>
      <c r="B24" s="24">
        <v>336005</v>
      </c>
      <c r="C24" s="353">
        <f>B24/'- 3 -'!$D24*100</f>
        <v>0.63676801076728362</v>
      </c>
      <c r="D24" s="24">
        <f>B24/'- 7 -'!$F24</f>
        <v>80.067913737638506</v>
      </c>
      <c r="E24" s="24">
        <v>324180</v>
      </c>
      <c r="F24" s="353">
        <f>E24/'- 3 -'!$D24*100</f>
        <v>0.61435827958077405</v>
      </c>
      <c r="G24" s="24">
        <f>E24/'- 7 -'!$F24</f>
        <v>77.250089360181107</v>
      </c>
      <c r="H24" s="24">
        <v>976825</v>
      </c>
      <c r="I24" s="353">
        <f>H24/'- 3 -'!$D24*100</f>
        <v>1.851195405180732</v>
      </c>
      <c r="J24" s="24">
        <f>H24/'- 7 -'!$F24</f>
        <v>232.77135708328368</v>
      </c>
    </row>
    <row r="25" spans="1:10" ht="14.1" customHeight="1">
      <c r="A25" s="360" t="s">
        <v>243</v>
      </c>
      <c r="B25" s="361">
        <v>415463</v>
      </c>
      <c r="C25" s="362">
        <f>B25/'- 3 -'!$D25*100</f>
        <v>0.26829636621718128</v>
      </c>
      <c r="D25" s="361">
        <f>B25/'- 7 -'!$F25</f>
        <v>30.09075106829869</v>
      </c>
      <c r="E25" s="361">
        <v>703559</v>
      </c>
      <c r="F25" s="362">
        <f>E25/'- 3 -'!$D25*100</f>
        <v>0.45434207888402539</v>
      </c>
      <c r="G25" s="361">
        <f>E25/'- 7 -'!$F25</f>
        <v>50.956688636199033</v>
      </c>
      <c r="H25" s="361">
        <v>3323073</v>
      </c>
      <c r="I25" s="362">
        <f>H25/'- 3 -'!$D25*100</f>
        <v>2.1459634445773199</v>
      </c>
      <c r="J25" s="361">
        <f>H25/'- 7 -'!$F25</f>
        <v>240.68030709060622</v>
      </c>
    </row>
    <row r="26" spans="1:10" ht="14.1" customHeight="1">
      <c r="A26" s="23" t="s">
        <v>244</v>
      </c>
      <c r="B26" s="24">
        <v>200000</v>
      </c>
      <c r="C26" s="353">
        <f>B26/'- 3 -'!$D26*100</f>
        <v>0.52710701872249865</v>
      </c>
      <c r="D26" s="24">
        <f>B26/'- 7 -'!$F26</f>
        <v>64.756354217257567</v>
      </c>
      <c r="E26" s="24">
        <v>358872</v>
      </c>
      <c r="F26" s="353">
        <f>E26/'- 3 -'!$D26*100</f>
        <v>0.9458197501149026</v>
      </c>
      <c r="G26" s="24">
        <f>E26/'- 7 -'!$F26</f>
        <v>116.19621175327829</v>
      </c>
      <c r="H26" s="24">
        <v>636968</v>
      </c>
      <c r="I26" s="353">
        <f>H26/'- 3 -'!$D26*100</f>
        <v>1.6787515175081626</v>
      </c>
      <c r="J26" s="24">
        <f>H26/'- 7 -'!$F26</f>
        <v>206.23862716529058</v>
      </c>
    </row>
    <row r="27" spans="1:10" ht="14.1" customHeight="1">
      <c r="A27" s="360" t="s">
        <v>245</v>
      </c>
      <c r="B27" s="361">
        <v>228001</v>
      </c>
      <c r="C27" s="362">
        <f>B27/'- 3 -'!$D27*100</f>
        <v>0.59255830598719073</v>
      </c>
      <c r="D27" s="361">
        <f>B27/'- 7 -'!$F27</f>
        <v>82.879316612141039</v>
      </c>
      <c r="E27" s="361">
        <v>473419</v>
      </c>
      <c r="F27" s="362">
        <f>E27/'- 3 -'!$D27*100</f>
        <v>1.2303821503508747</v>
      </c>
      <c r="G27" s="361">
        <f>E27/'- 7 -'!$F27</f>
        <v>172.08978553253363</v>
      </c>
      <c r="H27" s="361">
        <v>930471</v>
      </c>
      <c r="I27" s="362">
        <f>H27/'- 3 -'!$D27*100</f>
        <v>2.4182276372919738</v>
      </c>
      <c r="J27" s="361">
        <f>H27/'- 7 -'!$F27</f>
        <v>338.23009814612868</v>
      </c>
    </row>
    <row r="28" spans="1:10" ht="14.1" customHeight="1">
      <c r="A28" s="23" t="s">
        <v>246</v>
      </c>
      <c r="B28" s="24">
        <v>190450</v>
      </c>
      <c r="C28" s="353">
        <f>B28/'- 3 -'!$D28*100</f>
        <v>0.73044761077854559</v>
      </c>
      <c r="D28" s="24">
        <f>B28/'- 7 -'!$F28</f>
        <v>96.430379746835442</v>
      </c>
      <c r="E28" s="24">
        <v>314909</v>
      </c>
      <c r="F28" s="353">
        <f>E28/'- 3 -'!$D28*100</f>
        <v>1.2077948367690261</v>
      </c>
      <c r="G28" s="24">
        <f>E28/'- 7 -'!$F28</f>
        <v>159.44759493670887</v>
      </c>
      <c r="H28" s="24">
        <v>506722</v>
      </c>
      <c r="I28" s="353">
        <f>H28/'- 3 -'!$D28*100</f>
        <v>1.9434700668360523</v>
      </c>
      <c r="J28" s="24">
        <f>H28/'- 7 -'!$F28</f>
        <v>256.5681012658228</v>
      </c>
    </row>
    <row r="29" spans="1:10" ht="14.1" customHeight="1">
      <c r="A29" s="360" t="s">
        <v>247</v>
      </c>
      <c r="B29" s="361">
        <v>383806</v>
      </c>
      <c r="C29" s="362">
        <f>B29/'- 3 -'!$D29*100</f>
        <v>0.2702536886921787</v>
      </c>
      <c r="D29" s="361">
        <f>B29/'- 7 -'!$F29</f>
        <v>31.752306101344363</v>
      </c>
      <c r="E29" s="361">
        <v>2011801</v>
      </c>
      <c r="F29" s="362">
        <f>E29/'- 3 -'!$D29*100</f>
        <v>1.4165923439566181</v>
      </c>
      <c r="G29" s="361">
        <f>E29/'- 7 -'!$F29</f>
        <v>166.43648397104448</v>
      </c>
      <c r="H29" s="361">
        <v>1642264</v>
      </c>
      <c r="I29" s="362">
        <f>H29/'- 3 -'!$D29*100</f>
        <v>1.1563860486974464</v>
      </c>
      <c r="J29" s="361">
        <f>H29/'- 7 -'!$F29</f>
        <v>135.86465356773527</v>
      </c>
    </row>
    <row r="30" spans="1:10" ht="14.1" customHeight="1">
      <c r="A30" s="23" t="s">
        <v>248</v>
      </c>
      <c r="B30" s="24">
        <v>110227</v>
      </c>
      <c r="C30" s="353">
        <f>B30/'- 3 -'!$D30*100</f>
        <v>0.81921067501511857</v>
      </c>
      <c r="D30" s="24">
        <f>B30/'- 7 -'!$F30</f>
        <v>103.01588785046729</v>
      </c>
      <c r="E30" s="24">
        <v>130485</v>
      </c>
      <c r="F30" s="353">
        <f>E30/'- 3 -'!$D30*100</f>
        <v>0.96976879466326538</v>
      </c>
      <c r="G30" s="24">
        <f>E30/'- 7 -'!$F30</f>
        <v>121.94859813084112</v>
      </c>
      <c r="H30" s="24">
        <v>260625</v>
      </c>
      <c r="I30" s="353">
        <f>H30/'- 3 -'!$D30*100</f>
        <v>1.9369735380243978</v>
      </c>
      <c r="J30" s="24">
        <f>H30/'- 7 -'!$F30</f>
        <v>243.57476635514018</v>
      </c>
    </row>
    <row r="31" spans="1:10" ht="14.1" customHeight="1">
      <c r="A31" s="360" t="s">
        <v>249</v>
      </c>
      <c r="B31" s="361">
        <v>153820</v>
      </c>
      <c r="C31" s="362">
        <f>B31/'- 3 -'!$D31*100</f>
        <v>0.45745271875820531</v>
      </c>
      <c r="D31" s="361">
        <f>B31/'- 7 -'!$F31</f>
        <v>48.219435736677113</v>
      </c>
      <c r="E31" s="361">
        <v>302917</v>
      </c>
      <c r="F31" s="362">
        <f>E31/'- 3 -'!$D31*100</f>
        <v>0.90085947996410909</v>
      </c>
      <c r="G31" s="361">
        <f>E31/'- 7 -'!$F31</f>
        <v>94.95830721003135</v>
      </c>
      <c r="H31" s="361">
        <v>555604</v>
      </c>
      <c r="I31" s="362">
        <f>H31/'- 3 -'!$D31*100</f>
        <v>1.6523375396758153</v>
      </c>
      <c r="J31" s="361">
        <f>H31/'- 7 -'!$F31</f>
        <v>174.1705329153605</v>
      </c>
    </row>
    <row r="32" spans="1:10" ht="14.1" customHeight="1">
      <c r="A32" s="23" t="s">
        <v>250</v>
      </c>
      <c r="B32" s="24">
        <v>183700</v>
      </c>
      <c r="C32" s="353">
        <f>B32/'- 3 -'!$D32*100</f>
        <v>0.71917328505750533</v>
      </c>
      <c r="D32" s="24">
        <f>B32/'- 7 -'!$F32</f>
        <v>89.806893180151548</v>
      </c>
      <c r="E32" s="24">
        <v>191745</v>
      </c>
      <c r="F32" s="353">
        <f>E32/'- 3 -'!$D32*100</f>
        <v>0.75066892511350758</v>
      </c>
      <c r="G32" s="24">
        <f>E32/'- 7 -'!$F32</f>
        <v>93.739916890735756</v>
      </c>
      <c r="H32" s="24">
        <v>587725</v>
      </c>
      <c r="I32" s="353">
        <f>H32/'- 3 -'!$D32*100</f>
        <v>2.3009042948308234</v>
      </c>
      <c r="J32" s="24">
        <f>H32/'- 7 -'!$F32</f>
        <v>287.32583720361771</v>
      </c>
    </row>
    <row r="33" spans="1:10" ht="14.1" customHeight="1">
      <c r="A33" s="360" t="s">
        <v>251</v>
      </c>
      <c r="B33" s="361">
        <v>195500</v>
      </c>
      <c r="C33" s="362">
        <f>B33/'- 3 -'!$D33*100</f>
        <v>0.74438474982199498</v>
      </c>
      <c r="D33" s="361">
        <f>B33/'- 7 -'!$F33</f>
        <v>96.495557749259632</v>
      </c>
      <c r="E33" s="361">
        <v>262200</v>
      </c>
      <c r="F33" s="362">
        <f>E33/'- 3 -'!$D33*100</f>
        <v>0.99835131152596968</v>
      </c>
      <c r="G33" s="361">
        <f>E33/'- 7 -'!$F33</f>
        <v>129.41757156959525</v>
      </c>
      <c r="H33" s="361">
        <v>378300</v>
      </c>
      <c r="I33" s="362">
        <f>H33/'- 3 -'!$D33*100</f>
        <v>1.4404130478652721</v>
      </c>
      <c r="J33" s="361">
        <f>H33/'- 7 -'!$F33</f>
        <v>186.72260612043436</v>
      </c>
    </row>
    <row r="34" spans="1:10" ht="14.1" customHeight="1">
      <c r="A34" s="23" t="s">
        <v>252</v>
      </c>
      <c r="B34" s="24">
        <v>156790</v>
      </c>
      <c r="C34" s="353">
        <f>B34/'- 3 -'!$D34*100</f>
        <v>0.61382511586492261</v>
      </c>
      <c r="D34" s="24">
        <f>B34/'- 7 -'!$F34</f>
        <v>77.835750135278033</v>
      </c>
      <c r="E34" s="24">
        <v>285994</v>
      </c>
      <c r="F34" s="353">
        <f>E34/'- 3 -'!$D34*100</f>
        <v>1.1196524024916938</v>
      </c>
      <c r="G34" s="24">
        <f>E34/'- 7 -'!$F34</f>
        <v>141.97689600222404</v>
      </c>
      <c r="H34" s="24">
        <v>526341</v>
      </c>
      <c r="I34" s="353">
        <f>H34/'- 3 -'!$D34*100</f>
        <v>2.0605990516580088</v>
      </c>
      <c r="J34" s="24">
        <f>H34/'- 7 -'!$F34</f>
        <v>261.29310901175057</v>
      </c>
    </row>
    <row r="35" spans="1:10" ht="14.1" customHeight="1">
      <c r="A35" s="360" t="s">
        <v>253</v>
      </c>
      <c r="B35" s="361">
        <v>399400</v>
      </c>
      <c r="C35" s="362">
        <f>B35/'- 3 -'!$D35*100</f>
        <v>0.23837992467170507</v>
      </c>
      <c r="D35" s="361">
        <f>B35/'- 7 -'!$F35</f>
        <v>25.301700928066897</v>
      </c>
      <c r="E35" s="361">
        <v>1272055</v>
      </c>
      <c r="F35" s="362">
        <f>E35/'- 3 -'!$D35*100</f>
        <v>0.7592197673466845</v>
      </c>
      <c r="G35" s="361">
        <f>E35/'- 7 -'!$F35</f>
        <v>80.583763580501099</v>
      </c>
      <c r="H35" s="361">
        <v>2055405</v>
      </c>
      <c r="I35" s="362">
        <f>H35/'- 3 -'!$D35*100</f>
        <v>1.2267583602149372</v>
      </c>
      <c r="J35" s="361">
        <f>H35/'- 7 -'!$F35</f>
        <v>130.20841911881158</v>
      </c>
    </row>
    <row r="36" spans="1:10" ht="14.1" customHeight="1">
      <c r="A36" s="23" t="s">
        <v>254</v>
      </c>
      <c r="B36" s="24">
        <v>213800</v>
      </c>
      <c r="C36" s="353">
        <f>B36/'- 3 -'!$D36*100</f>
        <v>0.99126545838609181</v>
      </c>
      <c r="D36" s="24">
        <f>B36/'- 7 -'!$F36</f>
        <v>127.37563300565982</v>
      </c>
      <c r="E36" s="24">
        <v>207800</v>
      </c>
      <c r="F36" s="353">
        <f>E36/'- 3 -'!$D36*100</f>
        <v>0.96344697031164583</v>
      </c>
      <c r="G36" s="24">
        <f>E36/'- 7 -'!$F36</f>
        <v>123.80101280905571</v>
      </c>
      <c r="H36" s="24">
        <v>530600</v>
      </c>
      <c r="I36" s="353">
        <f>H36/'- 3 -'!$D36*100</f>
        <v>2.4600816287168397</v>
      </c>
      <c r="J36" s="24">
        <f>H36/'- 7 -'!$F36</f>
        <v>316.11557938635684</v>
      </c>
    </row>
    <row r="37" spans="1:10" ht="14.1" customHeight="1">
      <c r="A37" s="360" t="s">
        <v>255</v>
      </c>
      <c r="B37" s="361">
        <v>175500</v>
      </c>
      <c r="C37" s="362">
        <f>B37/'- 3 -'!$D37*100</f>
        <v>0.42121634319411594</v>
      </c>
      <c r="D37" s="361">
        <f>B37/'- 7 -'!$F37</f>
        <v>47.06986723883599</v>
      </c>
      <c r="E37" s="361">
        <v>417350</v>
      </c>
      <c r="F37" s="362">
        <f>E37/'- 3 -'!$D37*100</f>
        <v>1.0016788651399675</v>
      </c>
      <c r="G37" s="361">
        <f>E37/'- 7 -'!$F37</f>
        <v>111.93509454204103</v>
      </c>
      <c r="H37" s="361">
        <v>695079</v>
      </c>
      <c r="I37" s="362">
        <f>H37/'- 3 -'!$D37*100</f>
        <v>1.6682543282679367</v>
      </c>
      <c r="J37" s="361">
        <f>H37/'- 7 -'!$F37</f>
        <v>186.42322649859193</v>
      </c>
    </row>
    <row r="38" spans="1:10" ht="14.1" customHeight="1">
      <c r="A38" s="23" t="s">
        <v>256</v>
      </c>
      <c r="B38" s="24">
        <v>368890</v>
      </c>
      <c r="C38" s="353">
        <f>B38/'- 3 -'!$D38*100</f>
        <v>0.31448996597209872</v>
      </c>
      <c r="D38" s="24">
        <f>B38/'- 7 -'!$F38</f>
        <v>34.959249431387413</v>
      </c>
      <c r="E38" s="24">
        <v>1020700</v>
      </c>
      <c r="F38" s="353">
        <f>E38/'- 3 -'!$D38*100</f>
        <v>0.87017785320209584</v>
      </c>
      <c r="G38" s="24">
        <f>E38/'- 7 -'!$F38</f>
        <v>96.730477634571642</v>
      </c>
      <c r="H38" s="24">
        <v>1689550</v>
      </c>
      <c r="I38" s="353">
        <f>H38/'- 3 -'!$D38*100</f>
        <v>1.44039285968218</v>
      </c>
      <c r="J38" s="24">
        <f>H38/'- 7 -'!$F38</f>
        <v>160.11656557998484</v>
      </c>
    </row>
    <row r="39" spans="1:10" ht="14.1" customHeight="1">
      <c r="A39" s="360" t="s">
        <v>257</v>
      </c>
      <c r="B39" s="361">
        <v>184500</v>
      </c>
      <c r="C39" s="362">
        <f>B39/'- 3 -'!$D39*100</f>
        <v>0.89785504619354728</v>
      </c>
      <c r="D39" s="361">
        <f>B39/'- 7 -'!$F39</f>
        <v>116.55085281111813</v>
      </c>
      <c r="E39" s="361">
        <v>217686</v>
      </c>
      <c r="F39" s="362">
        <f>E39/'- 3 -'!$D39*100</f>
        <v>1.0593521603560352</v>
      </c>
      <c r="G39" s="361">
        <f>E39/'- 7 -'!$F39</f>
        <v>137.51484523057485</v>
      </c>
      <c r="H39" s="361">
        <v>385156</v>
      </c>
      <c r="I39" s="362">
        <f>H39/'- 3 -'!$D39*100</f>
        <v>1.8743320226109588</v>
      </c>
      <c r="J39" s="361">
        <f>H39/'- 7 -'!$F39</f>
        <v>243.3076437144662</v>
      </c>
    </row>
    <row r="40" spans="1:10" ht="14.1" customHeight="1">
      <c r="A40" s="23" t="s">
        <v>258</v>
      </c>
      <c r="B40" s="24">
        <v>376516</v>
      </c>
      <c r="C40" s="353">
        <f>B40/'- 3 -'!$D40*100</f>
        <v>0.38727287591037146</v>
      </c>
      <c r="D40" s="24">
        <f>B40/'- 7 -'!$F40</f>
        <v>47.166497550953942</v>
      </c>
      <c r="E40" s="24">
        <v>1201536</v>
      </c>
      <c r="F40" s="353">
        <f>E40/'- 3 -'!$D40*100</f>
        <v>1.2358632892887527</v>
      </c>
      <c r="G40" s="24">
        <f>E40/'- 7 -'!$F40</f>
        <v>150.51749408095009</v>
      </c>
      <c r="H40" s="24">
        <v>1476068</v>
      </c>
      <c r="I40" s="353">
        <f>H40/'- 3 -'!$D40*100</f>
        <v>1.5182385327562977</v>
      </c>
      <c r="J40" s="24">
        <f>H40/'- 7 -'!$F40</f>
        <v>184.9083643378807</v>
      </c>
    </row>
    <row r="41" spans="1:10" ht="14.1" customHeight="1">
      <c r="A41" s="360" t="s">
        <v>259</v>
      </c>
      <c r="B41" s="361">
        <v>278396</v>
      </c>
      <c r="C41" s="362">
        <f>B41/'- 3 -'!$D41*100</f>
        <v>0.48266264395784897</v>
      </c>
      <c r="D41" s="361">
        <f>B41/'- 7 -'!$F41</f>
        <v>62.603103215651004</v>
      </c>
      <c r="E41" s="361">
        <v>532213</v>
      </c>
      <c r="F41" s="362">
        <f>E41/'- 3 -'!$D41*100</f>
        <v>0.92271201356606647</v>
      </c>
      <c r="G41" s="361">
        <f>E41/'- 7 -'!$F41</f>
        <v>119.67910951203058</v>
      </c>
      <c r="H41" s="361">
        <v>954100</v>
      </c>
      <c r="I41" s="362">
        <f>H41/'- 3 -'!$D41*100</f>
        <v>1.6541488692372868</v>
      </c>
      <c r="J41" s="361">
        <f>H41/'- 7 -'!$F41</f>
        <v>214.5491342478075</v>
      </c>
    </row>
    <row r="42" spans="1:10" ht="14.1" customHeight="1">
      <c r="A42" s="23" t="s">
        <v>260</v>
      </c>
      <c r="B42" s="24">
        <v>175247</v>
      </c>
      <c r="C42" s="353">
        <f>B42/'- 3 -'!$D42*100</f>
        <v>0.868606851202398</v>
      </c>
      <c r="D42" s="24">
        <f>B42/'- 7 -'!$F42</f>
        <v>125.26590421729807</v>
      </c>
      <c r="E42" s="24">
        <v>219279</v>
      </c>
      <c r="F42" s="353">
        <f>E42/'- 3 -'!$D42*100</f>
        <v>1.0868502269642883</v>
      </c>
      <c r="G42" s="24">
        <f>E42/'- 7 -'!$F42</f>
        <v>156.7398141529664</v>
      </c>
      <c r="H42" s="24">
        <v>394907</v>
      </c>
      <c r="I42" s="353">
        <f>H42/'- 3 -'!$D42*100</f>
        <v>1.9573454940043791</v>
      </c>
      <c r="J42" s="24">
        <f>H42/'- 7 -'!$F42</f>
        <v>282.27805575411008</v>
      </c>
    </row>
    <row r="43" spans="1:10" ht="14.1" customHeight="1">
      <c r="A43" s="360" t="s">
        <v>261</v>
      </c>
      <c r="B43" s="361">
        <v>77755</v>
      </c>
      <c r="C43" s="362">
        <f>B43/'- 3 -'!$D43*100</f>
        <v>0.65034455589968865</v>
      </c>
      <c r="D43" s="361">
        <f>B43/'- 7 -'!$F43</f>
        <v>80.5334023821854</v>
      </c>
      <c r="E43" s="361">
        <v>132496</v>
      </c>
      <c r="F43" s="362">
        <f>E43/'- 3 -'!$D43*100</f>
        <v>1.1081995020061108</v>
      </c>
      <c r="G43" s="361">
        <f>E43/'- 7 -'!$F43</f>
        <v>137.2304505437597</v>
      </c>
      <c r="H43" s="361">
        <v>289936</v>
      </c>
      <c r="I43" s="362">
        <f>H43/'- 3 -'!$D43*100</f>
        <v>2.4250311768932176</v>
      </c>
      <c r="J43" s="361">
        <f>H43/'- 7 -'!$F43</f>
        <v>300.29621957534954</v>
      </c>
    </row>
    <row r="44" spans="1:10" ht="14.1" customHeight="1">
      <c r="A44" s="23" t="s">
        <v>262</v>
      </c>
      <c r="B44" s="24">
        <v>99750</v>
      </c>
      <c r="C44" s="353">
        <f>B44/'- 3 -'!$D44*100</f>
        <v>0.94652427272538353</v>
      </c>
      <c r="D44" s="24">
        <f>B44/'- 7 -'!$F44</f>
        <v>132.47011952191235</v>
      </c>
      <c r="E44" s="24">
        <v>48763</v>
      </c>
      <c r="F44" s="353">
        <f>E44/'- 3 -'!$D44*100</f>
        <v>0.46271040712689604</v>
      </c>
      <c r="G44" s="24">
        <f>E44/'- 7 -'!$F44</f>
        <v>64.75830013280212</v>
      </c>
      <c r="H44" s="24">
        <v>247141</v>
      </c>
      <c r="I44" s="353">
        <f>H44/'- 3 -'!$D44*100</f>
        <v>2.3451123336904667</v>
      </c>
      <c r="J44" s="24">
        <f>H44/'- 7 -'!$F44</f>
        <v>328.20849933598936</v>
      </c>
    </row>
    <row r="45" spans="1:10" ht="14.1" customHeight="1">
      <c r="A45" s="360" t="s">
        <v>263</v>
      </c>
      <c r="B45" s="361">
        <v>127402</v>
      </c>
      <c r="C45" s="362">
        <f>B45/'- 3 -'!$D45*100</f>
        <v>0.7524277521237146</v>
      </c>
      <c r="D45" s="361">
        <f>B45/'- 7 -'!$F45</f>
        <v>75.609495548961419</v>
      </c>
      <c r="E45" s="361">
        <v>157409</v>
      </c>
      <c r="F45" s="362">
        <f>E45/'- 3 -'!$D45*100</f>
        <v>0.92964710156859232</v>
      </c>
      <c r="G45" s="361">
        <f>E45/'- 7 -'!$F45</f>
        <v>93.417804154302672</v>
      </c>
      <c r="H45" s="361">
        <v>340939</v>
      </c>
      <c r="I45" s="362">
        <f>H45/'- 3 -'!$D45*100</f>
        <v>2.0135630946241592</v>
      </c>
      <c r="J45" s="361">
        <f>H45/'- 7 -'!$F45</f>
        <v>202.33768545994064</v>
      </c>
    </row>
    <row r="46" spans="1:10" ht="14.1" customHeight="1">
      <c r="A46" s="23" t="s">
        <v>264</v>
      </c>
      <c r="B46" s="24">
        <v>751900</v>
      </c>
      <c r="C46" s="353">
        <f>B46/'- 3 -'!$D46*100</f>
        <v>0.2084799402869531</v>
      </c>
      <c r="D46" s="24">
        <f>B46/'- 7 -'!$F46</f>
        <v>24.782465392221489</v>
      </c>
      <c r="E46" s="24">
        <v>2010300</v>
      </c>
      <c r="F46" s="353">
        <f>E46/'- 3 -'!$D46*100</f>
        <v>0.55739755813121683</v>
      </c>
      <c r="G46" s="24">
        <f>E46/'- 7 -'!$F46</f>
        <v>66.259063941990775</v>
      </c>
      <c r="H46" s="24">
        <v>6206100</v>
      </c>
      <c r="I46" s="353">
        <f>H46/'- 3 -'!$D46*100</f>
        <v>1.7207705245576004</v>
      </c>
      <c r="J46" s="24">
        <f>H46/'- 7 -'!$F46</f>
        <v>204.55174686882003</v>
      </c>
    </row>
    <row r="47" spans="1:10" ht="5.0999999999999996" customHeight="1">
      <c r="A47"/>
      <c r="B47"/>
      <c r="C47"/>
      <c r="D47"/>
      <c r="E47"/>
      <c r="F47"/>
      <c r="G47"/>
      <c r="H47"/>
      <c r="I47"/>
      <c r="J47"/>
    </row>
    <row r="48" spans="1:10" ht="14.1" customHeight="1">
      <c r="A48" s="363" t="s">
        <v>265</v>
      </c>
      <c r="B48" s="364">
        <f>SUM(B11:B46)</f>
        <v>9603774</v>
      </c>
      <c r="C48" s="365">
        <f>B48/'- 3 -'!$D48*100</f>
        <v>0.46123375925071058</v>
      </c>
      <c r="D48" s="364">
        <f>B48/'- 7 -'!$F48</f>
        <v>55.338109747665186</v>
      </c>
      <c r="E48" s="364">
        <f>SUM(E11:E46)</f>
        <v>19078929</v>
      </c>
      <c r="F48" s="365">
        <f>E48/'- 3 -'!$D48*100</f>
        <v>0.91629042344680345</v>
      </c>
      <c r="G48" s="364">
        <f>E48/'- 7 -'!$F48</f>
        <v>109.9351012289452</v>
      </c>
      <c r="H48" s="364">
        <f>SUM(H11:H46)</f>
        <v>36261066</v>
      </c>
      <c r="I48" s="365">
        <f>H48/'- 3 -'!$D48*100</f>
        <v>1.7414849397349548</v>
      </c>
      <c r="J48" s="364">
        <f>H48/'- 7 -'!$F48</f>
        <v>208.94065706620447</v>
      </c>
    </row>
    <row r="49" spans="1:10" ht="5.0999999999999996" customHeight="1">
      <c r="A49" s="25" t="s">
        <v>3</v>
      </c>
      <c r="B49" s="26"/>
      <c r="C49" s="351"/>
      <c r="D49" s="26"/>
      <c r="E49" s="26"/>
      <c r="F49" s="351"/>
      <c r="H49" s="26"/>
      <c r="I49" s="351"/>
      <c r="J49" s="26"/>
    </row>
    <row r="50" spans="1:10" ht="14.1" customHeight="1">
      <c r="A50" s="23" t="s">
        <v>266</v>
      </c>
      <c r="B50" s="24">
        <v>42700</v>
      </c>
      <c r="C50" s="353">
        <f>B50/'- 3 -'!$D50*100</f>
        <v>1.3011346686570675</v>
      </c>
      <c r="D50" s="24">
        <f>B50/'- 7 -'!$F50</f>
        <v>255.68862275449101</v>
      </c>
      <c r="E50" s="24">
        <v>76791</v>
      </c>
      <c r="F50" s="353">
        <f>E50/'- 3 -'!$D50*100</f>
        <v>2.339939867467093</v>
      </c>
      <c r="G50" s="24">
        <f>E50/'- 7 -'!$F50</f>
        <v>459.82634730538922</v>
      </c>
      <c r="H50" s="24">
        <v>137721</v>
      </c>
      <c r="I50" s="353">
        <f>H50/'- 3 -'!$D50*100</f>
        <v>4.1965706721807958</v>
      </c>
      <c r="J50" s="24">
        <f>H50/'- 7 -'!$F50</f>
        <v>824.67664670658678</v>
      </c>
    </row>
    <row r="51" spans="1:10" ht="14.1" customHeight="1">
      <c r="A51" s="360" t="s">
        <v>267</v>
      </c>
      <c r="B51" s="361">
        <v>69809</v>
      </c>
      <c r="C51" s="362">
        <f>B51/'- 3 -'!$D51*100</f>
        <v>0.33587319525111514</v>
      </c>
      <c r="D51" s="361">
        <f>B51/'- 7 -'!$F51</f>
        <v>112.41384863123993</v>
      </c>
      <c r="E51" s="361">
        <v>265663</v>
      </c>
      <c r="F51" s="362">
        <f>E51/'- 3 -'!$D51*100</f>
        <v>1.2781887818189202</v>
      </c>
      <c r="G51" s="361">
        <f>E51/'- 7 -'!$F51</f>
        <v>427.79871175523351</v>
      </c>
      <c r="H51" s="361">
        <v>1018584</v>
      </c>
      <c r="I51" s="362">
        <f>H51/'- 3 -'!$D51*100</f>
        <v>4.9007300306788784</v>
      </c>
      <c r="J51" s="361">
        <f>H51/'- 7 -'!$F51</f>
        <v>1640.231884057971</v>
      </c>
    </row>
    <row r="52" spans="1:10" ht="50.1" customHeight="1">
      <c r="B52"/>
      <c r="C52"/>
      <c r="D52"/>
      <c r="E52"/>
      <c r="F52"/>
      <c r="G52"/>
      <c r="H52"/>
      <c r="I52"/>
      <c r="J52"/>
    </row>
    <row r="53" spans="1:10" ht="15" customHeight="1"/>
    <row r="54" spans="1:10" ht="14.45" customHeight="1"/>
    <row r="55" spans="1:10" ht="14.45" customHeight="1"/>
    <row r="56" spans="1:10" ht="14.45" customHeight="1"/>
    <row r="57" spans="1:10" ht="14.45" customHeight="1"/>
    <row r="58" spans="1:10" ht="14.45" customHeight="1"/>
    <row r="59" spans="1:10"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3.xml><?xml version="1.0" encoding="utf-8"?>
<worksheet xmlns="http://schemas.openxmlformats.org/spreadsheetml/2006/main" xmlns:r="http://schemas.openxmlformats.org/officeDocument/2006/relationships">
  <sheetPr codeName="Sheet22">
    <pageSetUpPr fitToPage="1"/>
  </sheetPr>
  <dimension ref="A1:E59"/>
  <sheetViews>
    <sheetView showGridLines="0" showZeros="0" workbookViewId="0"/>
  </sheetViews>
  <sheetFormatPr defaultColWidth="15.83203125" defaultRowHeight="12"/>
  <cols>
    <col min="1" max="1" width="36.83203125" style="1" customWidth="1"/>
    <col min="2" max="2" width="19.83203125" style="1" customWidth="1"/>
    <col min="3" max="3" width="11.5" style="1" customWidth="1"/>
    <col min="4" max="4" width="12.6640625" style="1" customWidth="1"/>
    <col min="5" max="5" width="44.83203125" style="1" customWidth="1"/>
    <col min="6" max="16384" width="15.83203125" style="1"/>
  </cols>
  <sheetData>
    <row r="1" spans="1:5" ht="6.95" customHeight="1">
      <c r="A1" s="3"/>
      <c r="B1" s="4"/>
      <c r="C1" s="4"/>
      <c r="D1" s="4"/>
      <c r="E1" s="4"/>
    </row>
    <row r="2" spans="1:5" ht="15.95" customHeight="1">
      <c r="A2" s="161"/>
      <c r="B2" s="5" t="s">
        <v>483</v>
      </c>
      <c r="C2" s="6"/>
      <c r="D2" s="6"/>
      <c r="E2" s="184" t="s">
        <v>436</v>
      </c>
    </row>
    <row r="3" spans="1:5" ht="15.95" customHeight="1">
      <c r="A3" s="164"/>
      <c r="B3" s="7" t="str">
        <f>OPYEAR</f>
        <v>OPERATING FUND 2013/2014 BUDGET</v>
      </c>
      <c r="C3" s="8"/>
      <c r="D3" s="8"/>
      <c r="E3" s="101"/>
    </row>
    <row r="4" spans="1:5" ht="15.95" customHeight="1">
      <c r="B4" s="4"/>
      <c r="C4" s="4"/>
      <c r="D4" s="4"/>
      <c r="E4" s="4"/>
    </row>
    <row r="5" spans="1:5" ht="15.95" customHeight="1">
      <c r="B5" s="208" t="s">
        <v>399</v>
      </c>
      <c r="C5" s="174"/>
      <c r="D5" s="168"/>
      <c r="E5" s="75"/>
    </row>
    <row r="6" spans="1:5" ht="15.95" customHeight="1">
      <c r="B6" s="354" t="s">
        <v>15</v>
      </c>
      <c r="C6" s="355"/>
      <c r="D6" s="356"/>
      <c r="E6" s="105"/>
    </row>
    <row r="7" spans="1:5" ht="15.95" customHeight="1">
      <c r="B7" s="357" t="s">
        <v>41</v>
      </c>
      <c r="C7" s="358"/>
      <c r="D7" s="359"/>
      <c r="E7" s="105"/>
    </row>
    <row r="8" spans="1:5" ht="15.95" customHeight="1">
      <c r="A8" s="102"/>
      <c r="B8" s="170"/>
      <c r="C8" s="169"/>
      <c r="D8" s="169" t="s">
        <v>60</v>
      </c>
      <c r="E8" s="105"/>
    </row>
    <row r="9" spans="1:5" ht="15.95" customHeight="1">
      <c r="A9" s="35" t="s">
        <v>81</v>
      </c>
      <c r="B9" s="113" t="s">
        <v>82</v>
      </c>
      <c r="C9" s="113" t="s">
        <v>83</v>
      </c>
      <c r="D9" s="113" t="s">
        <v>84</v>
      </c>
    </row>
    <row r="10" spans="1:5" ht="5.0999999999999996" customHeight="1">
      <c r="A10" s="37"/>
    </row>
    <row r="11" spans="1:5" ht="14.1" customHeight="1">
      <c r="A11" s="360" t="s">
        <v>230</v>
      </c>
      <c r="B11" s="361">
        <v>0</v>
      </c>
      <c r="C11" s="362">
        <f>B11/'- 3 -'!$D11*100</f>
        <v>0</v>
      </c>
      <c r="D11" s="361">
        <f>B11/'- 7 -'!$F11</f>
        <v>0</v>
      </c>
    </row>
    <row r="12" spans="1:5" ht="14.1" customHeight="1">
      <c r="A12" s="23" t="s">
        <v>231</v>
      </c>
      <c r="B12" s="24">
        <v>91934</v>
      </c>
      <c r="C12" s="353">
        <f>B12/'- 3 -'!$D12*100</f>
        <v>0.29682554165479319</v>
      </c>
      <c r="D12" s="24">
        <f>B12/'- 7 -'!$F12</f>
        <v>40.355559457442602</v>
      </c>
    </row>
    <row r="13" spans="1:5" ht="14.1" customHeight="1">
      <c r="A13" s="360" t="s">
        <v>232</v>
      </c>
      <c r="B13" s="361">
        <v>271200</v>
      </c>
      <c r="C13" s="362">
        <f>B13/'- 3 -'!$D13*100</f>
        <v>0.3140128221902394</v>
      </c>
      <c r="D13" s="361">
        <f>B13/'- 7 -'!$F13</f>
        <v>33.547624142908916</v>
      </c>
    </row>
    <row r="14" spans="1:5" ht="14.1" customHeight="1">
      <c r="A14" s="23" t="s">
        <v>578</v>
      </c>
      <c r="B14" s="24">
        <v>115898</v>
      </c>
      <c r="C14" s="353">
        <f>B14/'- 3 -'!$D14*100</f>
        <v>0.15459670007049012</v>
      </c>
      <c r="D14" s="24">
        <f>B14/'- 7 -'!$F14</f>
        <v>22.223969319271333</v>
      </c>
    </row>
    <row r="15" spans="1:5" ht="14.1" customHeight="1">
      <c r="A15" s="360" t="s">
        <v>233</v>
      </c>
      <c r="B15" s="361">
        <v>51000</v>
      </c>
      <c r="C15" s="362">
        <f>B15/'- 3 -'!$D15*100</f>
        <v>0.26099337353177154</v>
      </c>
      <c r="D15" s="361">
        <f>B15/'- 7 -'!$F15</f>
        <v>33.55263157894737</v>
      </c>
    </row>
    <row r="16" spans="1:5" ht="14.1" customHeight="1">
      <c r="A16" s="23" t="s">
        <v>234</v>
      </c>
      <c r="B16" s="24">
        <v>48466</v>
      </c>
      <c r="C16" s="353">
        <f>B16/'- 3 -'!$D16*100</f>
        <v>0.37009216108821419</v>
      </c>
      <c r="D16" s="24">
        <f>B16/'- 7 -'!$F16</f>
        <v>48.709547738693466</v>
      </c>
    </row>
    <row r="17" spans="1:4" ht="14.1" customHeight="1">
      <c r="A17" s="360" t="s">
        <v>235</v>
      </c>
      <c r="B17" s="361">
        <v>71260</v>
      </c>
      <c r="C17" s="362">
        <f>B17/'- 3 -'!$D17*100</f>
        <v>0.43225408921709846</v>
      </c>
      <c r="D17" s="361">
        <f>B17/'- 7 -'!$F17</f>
        <v>54.794309880815071</v>
      </c>
    </row>
    <row r="18" spans="1:4" ht="14.1" customHeight="1">
      <c r="A18" s="23" t="s">
        <v>236</v>
      </c>
      <c r="B18" s="24">
        <v>340831</v>
      </c>
      <c r="C18" s="353">
        <f>B18/'- 3 -'!$D18*100</f>
        <v>0.28596292953684505</v>
      </c>
      <c r="D18" s="24">
        <f>B18/'- 7 -'!$F18</f>
        <v>54.68608102687525</v>
      </c>
    </row>
    <row r="19" spans="1:4" ht="14.1" customHeight="1">
      <c r="A19" s="360" t="s">
        <v>237</v>
      </c>
      <c r="B19" s="361">
        <v>47200</v>
      </c>
      <c r="C19" s="362">
        <f>B19/'- 3 -'!$D19*100</f>
        <v>0.10873322453099871</v>
      </c>
      <c r="D19" s="361">
        <f>B19/'- 7 -'!$F19</f>
        <v>11.214065098598242</v>
      </c>
    </row>
    <row r="20" spans="1:4" ht="14.1" customHeight="1">
      <c r="A20" s="23" t="s">
        <v>238</v>
      </c>
      <c r="B20" s="24">
        <v>58800</v>
      </c>
      <c r="C20" s="353">
        <f>B20/'- 3 -'!$D20*100</f>
        <v>8.272811433363067E-2</v>
      </c>
      <c r="D20" s="24">
        <f>B20/'- 7 -'!$F20</f>
        <v>7.7989256582001456</v>
      </c>
    </row>
    <row r="21" spans="1:4" ht="14.1" customHeight="1">
      <c r="A21" s="360" t="s">
        <v>239</v>
      </c>
      <c r="B21" s="361">
        <v>45000</v>
      </c>
      <c r="C21" s="362">
        <f>B21/'- 3 -'!$D21*100</f>
        <v>0.13216578276638666</v>
      </c>
      <c r="D21" s="361">
        <f>B21/'- 7 -'!$F21</f>
        <v>16.728624535315983</v>
      </c>
    </row>
    <row r="22" spans="1:4" ht="14.1" customHeight="1">
      <c r="A22" s="23" t="s">
        <v>240</v>
      </c>
      <c r="B22" s="24">
        <v>0</v>
      </c>
      <c r="C22" s="353">
        <f>B22/'- 3 -'!$D22*100</f>
        <v>0</v>
      </c>
      <c r="D22" s="24">
        <f>B22/'- 7 -'!$F22</f>
        <v>0</v>
      </c>
    </row>
    <row r="23" spans="1:4" ht="14.1" customHeight="1">
      <c r="A23" s="360" t="s">
        <v>241</v>
      </c>
      <c r="B23" s="361">
        <v>0</v>
      </c>
      <c r="C23" s="362">
        <f>B23/'- 3 -'!$D23*100</f>
        <v>0</v>
      </c>
      <c r="D23" s="361">
        <f>B23/'- 7 -'!$F23</f>
        <v>0</v>
      </c>
    </row>
    <row r="24" spans="1:4" ht="14.1" customHeight="1">
      <c r="A24" s="23" t="s">
        <v>242</v>
      </c>
      <c r="B24" s="24">
        <v>178225</v>
      </c>
      <c r="C24" s="353">
        <f>B24/'- 3 -'!$D24*100</f>
        <v>0.33775681528250806</v>
      </c>
      <c r="D24" s="24">
        <f>B24/'- 7 -'!$F24</f>
        <v>42.469915405695225</v>
      </c>
    </row>
    <row r="25" spans="1:4" ht="14.1" customHeight="1">
      <c r="A25" s="360" t="s">
        <v>243</v>
      </c>
      <c r="B25" s="361">
        <v>415201</v>
      </c>
      <c r="C25" s="362">
        <f>B25/'- 3 -'!$D25*100</f>
        <v>0.26812717269585951</v>
      </c>
      <c r="D25" s="361">
        <f>B25/'- 7 -'!$F25</f>
        <v>30.0717751864996</v>
      </c>
    </row>
    <row r="26" spans="1:4" ht="14.1" customHeight="1">
      <c r="A26" s="23" t="s">
        <v>244</v>
      </c>
      <c r="B26" s="24">
        <v>28000</v>
      </c>
      <c r="C26" s="353">
        <f>B26/'- 3 -'!$D26*100</f>
        <v>7.3794982621149821E-2</v>
      </c>
      <c r="D26" s="24">
        <f>B26/'- 7 -'!$F26</f>
        <v>9.0658895904160595</v>
      </c>
    </row>
    <row r="27" spans="1:4" ht="14.1" customHeight="1">
      <c r="A27" s="360" t="s">
        <v>245</v>
      </c>
      <c r="B27" s="361">
        <v>155654</v>
      </c>
      <c r="C27" s="362">
        <f>B27/'- 3 -'!$D27*100</f>
        <v>0.40453362292327744</v>
      </c>
      <c r="D27" s="361">
        <f>B27/'- 7 -'!$F27</f>
        <v>56.580879680116318</v>
      </c>
    </row>
    <row r="28" spans="1:4" ht="14.1" customHeight="1">
      <c r="A28" s="23" t="s">
        <v>246</v>
      </c>
      <c r="B28" s="24">
        <v>76000</v>
      </c>
      <c r="C28" s="353">
        <f>B28/'- 3 -'!$D28*100</f>
        <v>0.29148867639364384</v>
      </c>
      <c r="D28" s="24">
        <f>B28/'- 7 -'!$F28</f>
        <v>38.481012658227847</v>
      </c>
    </row>
    <row r="29" spans="1:4" ht="14.1" customHeight="1">
      <c r="A29" s="360" t="s">
        <v>247</v>
      </c>
      <c r="B29" s="361">
        <v>802992</v>
      </c>
      <c r="C29" s="362">
        <f>B29/'- 3 -'!$D29*100</f>
        <v>0.56541989961154848</v>
      </c>
      <c r="D29" s="361">
        <f>B29/'- 7 -'!$F29</f>
        <v>66.431602895553254</v>
      </c>
    </row>
    <row r="30" spans="1:4" ht="14.1" customHeight="1">
      <c r="A30" s="23" t="s">
        <v>248</v>
      </c>
      <c r="B30" s="24">
        <v>41000</v>
      </c>
      <c r="C30" s="353">
        <f>B30/'- 3 -'!$D30*100</f>
        <v>0.30471334315203952</v>
      </c>
      <c r="D30" s="24">
        <f>B30/'- 7 -'!$F30</f>
        <v>38.317757009345797</v>
      </c>
    </row>
    <row r="31" spans="1:4" ht="14.1" customHeight="1">
      <c r="A31" s="360" t="s">
        <v>249</v>
      </c>
      <c r="B31" s="361">
        <v>125981</v>
      </c>
      <c r="C31" s="362">
        <f>B31/'- 3 -'!$D31*100</f>
        <v>0.37466097361771855</v>
      </c>
      <c r="D31" s="361">
        <f>B31/'- 7 -'!$F31</f>
        <v>39.492476489028213</v>
      </c>
    </row>
    <row r="32" spans="1:4" ht="14.1" customHeight="1">
      <c r="A32" s="23" t="s">
        <v>250</v>
      </c>
      <c r="B32" s="24">
        <v>67000</v>
      </c>
      <c r="C32" s="353">
        <f>B32/'- 3 -'!$D32*100</f>
        <v>0.26230054490393501</v>
      </c>
      <c r="D32" s="24">
        <f>B32/'- 7 -'!$F32</f>
        <v>32.754827670496212</v>
      </c>
    </row>
    <row r="33" spans="1:5" ht="14.1" customHeight="1">
      <c r="A33" s="360" t="s">
        <v>251</v>
      </c>
      <c r="B33" s="361">
        <v>42000</v>
      </c>
      <c r="C33" s="362">
        <f>B33/'- 3 -'!$D33*100</f>
        <v>0.15991897438631095</v>
      </c>
      <c r="D33" s="361">
        <f>B33/'- 7 -'!$F33</f>
        <v>20.730503455083909</v>
      </c>
    </row>
    <row r="34" spans="1:5" ht="14.1" customHeight="1">
      <c r="A34" s="23" t="s">
        <v>252</v>
      </c>
      <c r="B34" s="24">
        <v>19115</v>
      </c>
      <c r="C34" s="353">
        <f>B34/'- 3 -'!$D34*100</f>
        <v>7.4834282095529017E-2</v>
      </c>
      <c r="D34" s="24">
        <f>B34/'- 7 -'!$F34</f>
        <v>9.4893192412516072</v>
      </c>
    </row>
    <row r="35" spans="1:5" ht="14.1" customHeight="1">
      <c r="A35" s="360" t="s">
        <v>253</v>
      </c>
      <c r="B35" s="361">
        <v>1302300</v>
      </c>
      <c r="C35" s="362">
        <f>B35/'- 3 -'!$D35*100</f>
        <v>0.77727134677005894</v>
      </c>
      <c r="D35" s="361">
        <f>B35/'- 7 -'!$F35</f>
        <v>82.499762440214127</v>
      </c>
    </row>
    <row r="36" spans="1:5" ht="14.1" customHeight="1">
      <c r="A36" s="23" t="s">
        <v>254</v>
      </c>
      <c r="B36" s="24">
        <v>0</v>
      </c>
      <c r="C36" s="353">
        <f>B36/'- 3 -'!$D36*100</f>
        <v>0</v>
      </c>
      <c r="D36" s="24">
        <f>B36/'- 7 -'!$F36</f>
        <v>0</v>
      </c>
    </row>
    <row r="37" spans="1:5" ht="14.1" customHeight="1">
      <c r="A37" s="360" t="s">
        <v>255</v>
      </c>
      <c r="B37" s="361">
        <v>191097</v>
      </c>
      <c r="C37" s="362">
        <f>B37/'- 3 -'!$D37*100</f>
        <v>0.458650595643111</v>
      </c>
      <c r="D37" s="361">
        <f>B37/'- 7 -'!$F37</f>
        <v>51.25305082472844</v>
      </c>
    </row>
    <row r="38" spans="1:5" ht="14.1" customHeight="1">
      <c r="A38" s="23" t="s">
        <v>256</v>
      </c>
      <c r="B38" s="24">
        <v>402860</v>
      </c>
      <c r="C38" s="353">
        <f>B38/'- 3 -'!$D38*100</f>
        <v>0.34345042612030602</v>
      </c>
      <c r="D38" s="24">
        <f>B38/'- 7 -'!$F38</f>
        <v>38.178544351781653</v>
      </c>
    </row>
    <row r="39" spans="1:5" ht="14.1" customHeight="1">
      <c r="A39" s="360" t="s">
        <v>257</v>
      </c>
      <c r="B39" s="361">
        <v>58000</v>
      </c>
      <c r="C39" s="362">
        <f>B39/'- 3 -'!$D39*100</f>
        <v>0.282252534846752</v>
      </c>
      <c r="D39" s="361">
        <f>B39/'- 7 -'!$F39</f>
        <v>36.639292482627923</v>
      </c>
    </row>
    <row r="40" spans="1:5" ht="14.1" customHeight="1">
      <c r="A40" s="23" t="s">
        <v>258</v>
      </c>
      <c r="B40" s="24">
        <v>261611</v>
      </c>
      <c r="C40" s="353">
        <f>B40/'- 3 -'!$D40*100</f>
        <v>0.26908509688775029</v>
      </c>
      <c r="D40" s="24">
        <f>B40/'- 7 -'!$F40</f>
        <v>32.772244979768757</v>
      </c>
    </row>
    <row r="41" spans="1:5" ht="14.1" customHeight="1">
      <c r="A41" s="360" t="s">
        <v>259</v>
      </c>
      <c r="B41" s="361">
        <v>158275</v>
      </c>
      <c r="C41" s="362">
        <f>B41/'- 3 -'!$D41*100</f>
        <v>0.27440563072899232</v>
      </c>
      <c r="D41" s="361">
        <f>B41/'- 7 -'!$F41</f>
        <v>35.591409939284908</v>
      </c>
    </row>
    <row r="42" spans="1:5" ht="14.1" customHeight="1">
      <c r="A42" s="23" t="s">
        <v>260</v>
      </c>
      <c r="B42" s="24">
        <v>31000</v>
      </c>
      <c r="C42" s="353">
        <f>B42/'- 3 -'!$D42*100</f>
        <v>0.15365063246317676</v>
      </c>
      <c r="D42" s="24">
        <f>B42/'- 7 -'!$F42</f>
        <v>22.15868477483917</v>
      </c>
    </row>
    <row r="43" spans="1:5" ht="14.1" customHeight="1">
      <c r="A43" s="360" t="s">
        <v>261</v>
      </c>
      <c r="B43" s="361">
        <v>20800</v>
      </c>
      <c r="C43" s="362">
        <f>B43/'- 3 -'!$D43*100</f>
        <v>0.17397166436516653</v>
      </c>
      <c r="D43" s="361">
        <f>B43/'- 7 -'!$F43</f>
        <v>21.543241843604349</v>
      </c>
    </row>
    <row r="44" spans="1:5" ht="14.1" customHeight="1">
      <c r="A44" s="23" t="s">
        <v>262</v>
      </c>
      <c r="B44" s="24">
        <v>0</v>
      </c>
      <c r="C44" s="353">
        <f>B44/'- 3 -'!$D44*100</f>
        <v>0</v>
      </c>
      <c r="D44" s="24">
        <f>B44/'- 7 -'!$F44</f>
        <v>0</v>
      </c>
    </row>
    <row r="45" spans="1:5" ht="14.1" customHeight="1">
      <c r="A45" s="360" t="s">
        <v>263</v>
      </c>
      <c r="B45" s="361">
        <v>50340</v>
      </c>
      <c r="C45" s="362">
        <f>B45/'- 3 -'!$D45*100</f>
        <v>0.29730469727247449</v>
      </c>
      <c r="D45" s="361">
        <f>B45/'- 7 -'!$F45</f>
        <v>29.875370919881306</v>
      </c>
    </row>
    <row r="46" spans="1:5" ht="14.1" customHeight="1">
      <c r="A46" s="23" t="s">
        <v>264</v>
      </c>
      <c r="B46" s="24">
        <v>1291600</v>
      </c>
      <c r="C46" s="353">
        <f>B46/'- 3 -'!$D46*100</f>
        <v>0.35812300954199849</v>
      </c>
      <c r="D46" s="24">
        <f>B46/'- 7 -'!$F46</f>
        <v>42.570863546473305</v>
      </c>
    </row>
    <row r="47" spans="1:5" ht="5.0999999999999996" customHeight="1">
      <c r="A47"/>
      <c r="B47"/>
      <c r="C47"/>
      <c r="D47"/>
    </row>
    <row r="48" spans="1:5" ht="14.1" customHeight="1">
      <c r="A48" s="363" t="s">
        <v>265</v>
      </c>
      <c r="B48" s="364">
        <f>SUM(B11:B46)</f>
        <v>6860640</v>
      </c>
      <c r="C48" s="365">
        <f>B48/'- 3 -'!$D48*100</f>
        <v>0.32949117483041512</v>
      </c>
      <c r="D48" s="364">
        <f>B48/'- 7 -'!$F48</f>
        <v>39.531839176892511</v>
      </c>
      <c r="E48" s="37"/>
    </row>
    <row r="49" spans="1:4" ht="5.0999999999999996" customHeight="1">
      <c r="A49" s="25" t="s">
        <v>3</v>
      </c>
      <c r="B49" s="26"/>
      <c r="C49" s="351"/>
      <c r="D49" s="26"/>
    </row>
    <row r="50" spans="1:4" ht="14.1" customHeight="1">
      <c r="A50" s="23" t="s">
        <v>266</v>
      </c>
      <c r="B50" s="24">
        <v>0</v>
      </c>
      <c r="C50" s="353">
        <f>B50/'- 3 -'!$D50*100</f>
        <v>0</v>
      </c>
      <c r="D50" s="24">
        <f>B50/'- 7 -'!$F50</f>
        <v>0</v>
      </c>
    </row>
    <row r="51" spans="1:4" ht="14.1" customHeight="1">
      <c r="A51" s="360" t="s">
        <v>267</v>
      </c>
      <c r="B51" s="361">
        <v>822457</v>
      </c>
      <c r="C51" s="362">
        <f>B51/'- 3 -'!$D51*100</f>
        <v>3.9571009546999152</v>
      </c>
      <c r="D51" s="361">
        <f>B51/'- 7 -'!$F51</f>
        <v>1324.4074074074074</v>
      </c>
    </row>
    <row r="52" spans="1:4" ht="50.1" customHeight="1"/>
    <row r="53" spans="1:4" ht="15" customHeight="1"/>
    <row r="54" spans="1:4" ht="14.45" customHeight="1"/>
    <row r="55" spans="1:4" ht="14.45" customHeight="1"/>
    <row r="56" spans="1:4" ht="14.45" customHeight="1"/>
    <row r="57" spans="1:4" ht="14.45" customHeight="1"/>
    <row r="58" spans="1:4" ht="14.45" customHeight="1"/>
    <row r="59" spans="1:4"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4.xml><?xml version="1.0" encoding="utf-8"?>
<worksheet xmlns="http://schemas.openxmlformats.org/spreadsheetml/2006/main" xmlns:r="http://schemas.openxmlformats.org/officeDocument/2006/relationships">
  <sheetPr codeName="Sheet24">
    <pageSetUpPr fitToPage="1"/>
  </sheetPr>
  <dimension ref="A1:J59"/>
  <sheetViews>
    <sheetView showGridLines="0" showZeros="0" workbookViewId="0"/>
  </sheetViews>
  <sheetFormatPr defaultColWidth="15.83203125" defaultRowHeight="12"/>
  <cols>
    <col min="1" max="1" width="29.83203125" style="1" customWidth="1"/>
    <col min="2" max="2" width="15" style="1" customWidth="1"/>
    <col min="3" max="3" width="9.1640625" style="1" customWidth="1"/>
    <col min="4" max="4" width="9.83203125" style="1" customWidth="1"/>
    <col min="5" max="5" width="12.6640625" style="1" customWidth="1"/>
    <col min="6" max="6" width="8.1640625" style="1" customWidth="1"/>
    <col min="7" max="7" width="9.1640625" style="1" customWidth="1"/>
    <col min="8" max="8" width="12.6640625" style="1" customWidth="1"/>
    <col min="9" max="9" width="8.5" style="1" customWidth="1"/>
    <col min="10" max="10" width="9.1640625" style="1" customWidth="1"/>
    <col min="11" max="16384" width="15.83203125" style="1"/>
  </cols>
  <sheetData>
    <row r="1" spans="1:10" ht="6.95" customHeight="1">
      <c r="A1" s="3"/>
      <c r="B1" s="4"/>
      <c r="C1" s="4"/>
      <c r="D1" s="4"/>
      <c r="E1" s="4"/>
      <c r="F1" s="4"/>
      <c r="G1" s="4"/>
      <c r="H1" s="4"/>
      <c r="I1" s="4"/>
      <c r="J1" s="4"/>
    </row>
    <row r="2" spans="1:10" ht="15.95" customHeight="1">
      <c r="A2" s="161"/>
      <c r="B2" s="5" t="s">
        <v>483</v>
      </c>
      <c r="C2" s="6"/>
      <c r="D2" s="162"/>
      <c r="E2" s="6"/>
      <c r="F2" s="6"/>
      <c r="G2" s="6"/>
      <c r="H2" s="106"/>
      <c r="I2" s="106"/>
      <c r="J2" s="184" t="s">
        <v>435</v>
      </c>
    </row>
    <row r="3" spans="1:10" ht="15.95" customHeight="1">
      <c r="A3" s="164"/>
      <c r="B3" s="7" t="str">
        <f>OPYEAR</f>
        <v>OPERATING FUND 2013/2014 BUDGET</v>
      </c>
      <c r="C3" s="8"/>
      <c r="D3" s="177"/>
      <c r="E3" s="8"/>
      <c r="F3" s="8"/>
      <c r="G3" s="8"/>
      <c r="H3" s="108"/>
      <c r="I3" s="108"/>
      <c r="J3" s="8"/>
    </row>
    <row r="4" spans="1:10" ht="15.95" customHeight="1">
      <c r="B4" s="4"/>
      <c r="C4" s="4"/>
      <c r="D4" s="4"/>
      <c r="E4" s="4"/>
      <c r="F4" s="4"/>
      <c r="G4" s="4"/>
      <c r="H4" s="4"/>
      <c r="I4" s="4"/>
      <c r="J4" s="4"/>
    </row>
    <row r="5" spans="1:10" ht="15.95" customHeight="1">
      <c r="B5" s="520" t="s">
        <v>471</v>
      </c>
      <c r="C5" s="186"/>
      <c r="D5" s="187"/>
      <c r="E5" s="187"/>
      <c r="F5" s="187"/>
      <c r="G5" s="187"/>
      <c r="H5" s="187"/>
      <c r="I5" s="187"/>
      <c r="J5" s="188"/>
    </row>
    <row r="6" spans="1:10" ht="15.95" customHeight="1">
      <c r="B6" s="354" t="s">
        <v>376</v>
      </c>
      <c r="C6" s="355"/>
      <c r="D6" s="356"/>
      <c r="E6" s="354" t="s">
        <v>17</v>
      </c>
      <c r="F6" s="355"/>
      <c r="G6" s="356"/>
      <c r="H6" s="354" t="s">
        <v>368</v>
      </c>
      <c r="I6" s="355"/>
      <c r="J6" s="356"/>
    </row>
    <row r="7" spans="1:10" ht="15.95" customHeight="1">
      <c r="B7" s="357" t="s">
        <v>381</v>
      </c>
      <c r="C7" s="358"/>
      <c r="D7" s="359"/>
      <c r="E7" s="357" t="s">
        <v>43</v>
      </c>
      <c r="F7" s="358"/>
      <c r="G7" s="359"/>
      <c r="H7" s="357" t="s">
        <v>268</v>
      </c>
      <c r="I7" s="358"/>
      <c r="J7" s="359"/>
    </row>
    <row r="8" spans="1:10" ht="15.95" customHeight="1">
      <c r="A8" s="102"/>
      <c r="B8" s="170"/>
      <c r="C8" s="169"/>
      <c r="D8" s="169" t="s">
        <v>60</v>
      </c>
      <c r="E8" s="170"/>
      <c r="F8" s="169"/>
      <c r="G8" s="169" t="s">
        <v>60</v>
      </c>
      <c r="H8" s="170"/>
      <c r="I8" s="169"/>
      <c r="J8" s="169" t="s">
        <v>60</v>
      </c>
    </row>
    <row r="9" spans="1:10" ht="15.95" customHeight="1">
      <c r="A9" s="35" t="s">
        <v>81</v>
      </c>
      <c r="B9" s="113" t="s">
        <v>82</v>
      </c>
      <c r="C9" s="113" t="s">
        <v>83</v>
      </c>
      <c r="D9" s="113" t="s">
        <v>84</v>
      </c>
      <c r="E9" s="113" t="s">
        <v>82</v>
      </c>
      <c r="F9" s="113" t="s">
        <v>83</v>
      </c>
      <c r="G9" s="113" t="s">
        <v>84</v>
      </c>
      <c r="H9" s="113" t="s">
        <v>82</v>
      </c>
      <c r="I9" s="113" t="s">
        <v>83</v>
      </c>
      <c r="J9" s="113" t="s">
        <v>84</v>
      </c>
    </row>
    <row r="10" spans="1:10" ht="5.0999999999999996" customHeight="1">
      <c r="A10" s="37"/>
    </row>
    <row r="11" spans="1:10" ht="14.1" customHeight="1">
      <c r="A11" s="360" t="s">
        <v>230</v>
      </c>
      <c r="B11" s="361">
        <v>0</v>
      </c>
      <c r="C11" s="362">
        <f>B11/'- 3 -'!$D11*100</f>
        <v>0</v>
      </c>
      <c r="D11" s="361">
        <f>B11/'- 7 -'!$C11</f>
        <v>0</v>
      </c>
      <c r="E11" s="361">
        <v>0</v>
      </c>
      <c r="F11" s="362">
        <f>E11/'- 3 -'!$D11*100</f>
        <v>0</v>
      </c>
      <c r="G11" s="361">
        <f>E11/'- 7 -'!$F11</f>
        <v>0</v>
      </c>
      <c r="H11" s="361">
        <v>215642</v>
      </c>
      <c r="I11" s="362">
        <f>H11/'- 3 -'!$D11*100</f>
        <v>1.286920824607579</v>
      </c>
      <c r="J11" s="361">
        <f>H11/'- 7 -'!$F11</f>
        <v>140.80444009141365</v>
      </c>
    </row>
    <row r="12" spans="1:10" ht="14.1" customHeight="1">
      <c r="A12" s="23" t="s">
        <v>231</v>
      </c>
      <c r="B12" s="24">
        <v>0</v>
      </c>
      <c r="C12" s="353">
        <f>B12/'- 3 -'!$D12*100</f>
        <v>0</v>
      </c>
      <c r="D12" s="24">
        <f>B12/'- 7 -'!$C12</f>
        <v>0</v>
      </c>
      <c r="E12" s="24">
        <v>0</v>
      </c>
      <c r="F12" s="353">
        <f>E12/'- 3 -'!$D12*100</f>
        <v>0</v>
      </c>
      <c r="G12" s="24">
        <f>E12/'- 7 -'!$F12</f>
        <v>0</v>
      </c>
      <c r="H12" s="24">
        <v>246382</v>
      </c>
      <c r="I12" s="353">
        <f>H12/'- 3 -'!$D12*100</f>
        <v>0.79548883551233773</v>
      </c>
      <c r="J12" s="24">
        <f>H12/'- 7 -'!$F12</f>
        <v>108.15240770817785</v>
      </c>
    </row>
    <row r="13" spans="1:10" ht="14.1" customHeight="1">
      <c r="A13" s="360" t="s">
        <v>232</v>
      </c>
      <c r="B13" s="361">
        <v>0</v>
      </c>
      <c r="C13" s="362">
        <f>B13/'- 3 -'!$D13*100</f>
        <v>0</v>
      </c>
      <c r="D13" s="361">
        <f>B13/'- 7 -'!$C13</f>
        <v>0</v>
      </c>
      <c r="E13" s="361">
        <v>383500</v>
      </c>
      <c r="F13" s="362">
        <f>E13/'- 3 -'!$D13*100</f>
        <v>0.44404099303081423</v>
      </c>
      <c r="G13" s="361">
        <f>E13/'- 7 -'!$F13</f>
        <v>47.439210393825846</v>
      </c>
      <c r="H13" s="361">
        <v>970500</v>
      </c>
      <c r="I13" s="362">
        <f>H13/'- 3 -'!$D13*100</f>
        <v>1.1237073891431688</v>
      </c>
      <c r="J13" s="361">
        <f>H13/'- 7 -'!$F13</f>
        <v>120.05150896273268</v>
      </c>
    </row>
    <row r="14" spans="1:10" ht="14.1" customHeight="1">
      <c r="A14" s="23" t="s">
        <v>578</v>
      </c>
      <c r="B14" s="24">
        <v>165556</v>
      </c>
      <c r="C14" s="353">
        <f>B14/'- 3 -'!$D14*100</f>
        <v>0.22083565960473919</v>
      </c>
      <c r="D14" s="24">
        <f>B14/'- 7 -'!$C14</f>
        <v>31.746116970278045</v>
      </c>
      <c r="E14" s="24">
        <v>1363857</v>
      </c>
      <c r="F14" s="353">
        <f>E14/'- 3 -'!$D14*100</f>
        <v>1.8192530636252431</v>
      </c>
      <c r="G14" s="24">
        <f>E14/'- 7 -'!$F14</f>
        <v>261.52579098753597</v>
      </c>
      <c r="H14" s="24">
        <v>823237</v>
      </c>
      <c r="I14" s="353">
        <f>H14/'- 3 -'!$D14*100</f>
        <v>1.0981183762957953</v>
      </c>
      <c r="J14" s="24">
        <f>H14/'- 7 -'!$F14</f>
        <v>157.85944391179291</v>
      </c>
    </row>
    <row r="15" spans="1:10" ht="14.1" customHeight="1">
      <c r="A15" s="360" t="s">
        <v>233</v>
      </c>
      <c r="B15" s="361">
        <v>0</v>
      </c>
      <c r="C15" s="362">
        <f>B15/'- 3 -'!$D15*100</f>
        <v>0</v>
      </c>
      <c r="D15" s="361">
        <f>B15/'- 7 -'!$C15</f>
        <v>0</v>
      </c>
      <c r="E15" s="361">
        <v>145960</v>
      </c>
      <c r="F15" s="362">
        <f>E15/'- 3 -'!$D15*100</f>
        <v>0.74695280001367403</v>
      </c>
      <c r="G15" s="361">
        <f>E15/'- 7 -'!$F15</f>
        <v>96.026315789473685</v>
      </c>
      <c r="H15" s="361">
        <v>208600</v>
      </c>
      <c r="I15" s="362">
        <f>H15/'- 3 -'!$D15*100</f>
        <v>1.0675140729162262</v>
      </c>
      <c r="J15" s="361">
        <f>H15/'- 7 -'!$F15</f>
        <v>137.23684210526315</v>
      </c>
    </row>
    <row r="16" spans="1:10" ht="14.1" customHeight="1">
      <c r="A16" s="23" t="s">
        <v>234</v>
      </c>
      <c r="B16" s="24">
        <v>0</v>
      </c>
      <c r="C16" s="353">
        <f>B16/'- 3 -'!$D16*100</f>
        <v>0</v>
      </c>
      <c r="D16" s="24">
        <f>B16/'- 7 -'!$C16</f>
        <v>0</v>
      </c>
      <c r="E16" s="24">
        <v>0</v>
      </c>
      <c r="F16" s="353">
        <f>E16/'- 3 -'!$D16*100</f>
        <v>0</v>
      </c>
      <c r="G16" s="24">
        <f>E16/'- 7 -'!$F16</f>
        <v>0</v>
      </c>
      <c r="H16" s="24">
        <v>145775</v>
      </c>
      <c r="I16" s="353">
        <f>H16/'- 3 -'!$D16*100</f>
        <v>1.1131553002648131</v>
      </c>
      <c r="J16" s="24">
        <f>H16/'- 7 -'!$F16</f>
        <v>146.5075376884422</v>
      </c>
    </row>
    <row r="17" spans="1:10" ht="14.1" customHeight="1">
      <c r="A17" s="360" t="s">
        <v>235</v>
      </c>
      <c r="B17" s="361">
        <v>0</v>
      </c>
      <c r="C17" s="362">
        <f>B17/'- 3 -'!$D17*100</f>
        <v>0</v>
      </c>
      <c r="D17" s="361">
        <f>B17/'- 7 -'!$C17</f>
        <v>0</v>
      </c>
      <c r="E17" s="361">
        <v>107070</v>
      </c>
      <c r="F17" s="362">
        <f>E17/'- 3 -'!$D17*100</f>
        <v>0.64947299091320143</v>
      </c>
      <c r="G17" s="361">
        <f>E17/'- 7 -'!$F17</f>
        <v>82.32987312572088</v>
      </c>
      <c r="H17" s="361">
        <v>193847</v>
      </c>
      <c r="I17" s="362">
        <f>H17/'- 3 -'!$D17*100</f>
        <v>1.1758512269501387</v>
      </c>
      <c r="J17" s="361">
        <f>H17/'- 7 -'!$F17</f>
        <v>149.05574778931179</v>
      </c>
    </row>
    <row r="18" spans="1:10" ht="14.1" customHeight="1">
      <c r="A18" s="23" t="s">
        <v>236</v>
      </c>
      <c r="B18" s="24">
        <v>0</v>
      </c>
      <c r="C18" s="353">
        <f>B18/'- 3 -'!$D18*100</f>
        <v>0</v>
      </c>
      <c r="D18" s="24">
        <f>B18/'- 7 -'!$C18</f>
        <v>0</v>
      </c>
      <c r="E18" s="24">
        <v>2267126</v>
      </c>
      <c r="F18" s="353">
        <f>E18/'- 3 -'!$D18*100</f>
        <v>1.9021567656379534</v>
      </c>
      <c r="G18" s="24">
        <f>E18/'- 7 -'!$F18</f>
        <v>363.75868431608507</v>
      </c>
      <c r="H18" s="24">
        <v>1845480</v>
      </c>
      <c r="I18" s="353">
        <f>H18/'- 3 -'!$D18*100</f>
        <v>1.5483886946951912</v>
      </c>
      <c r="J18" s="24">
        <f>H18/'- 7 -'!$F18</f>
        <v>296.10589651022866</v>
      </c>
    </row>
    <row r="19" spans="1:10" ht="14.1" customHeight="1">
      <c r="A19" s="360" t="s">
        <v>237</v>
      </c>
      <c r="B19" s="361">
        <v>0</v>
      </c>
      <c r="C19" s="362">
        <f>B19/'- 3 -'!$D19*100</f>
        <v>0</v>
      </c>
      <c r="D19" s="361">
        <f>B19/'- 7 -'!$C19</f>
        <v>0</v>
      </c>
      <c r="E19" s="361">
        <v>232000</v>
      </c>
      <c r="F19" s="362">
        <f>E19/'- 3 -'!$D19*100</f>
        <v>0.53445144260999367</v>
      </c>
      <c r="G19" s="361">
        <f>E19/'- 7 -'!$F19</f>
        <v>55.119980993110005</v>
      </c>
      <c r="H19" s="361">
        <v>431600</v>
      </c>
      <c r="I19" s="362">
        <f>H19/'- 3 -'!$D19*100</f>
        <v>0.99426397685548806</v>
      </c>
      <c r="J19" s="361">
        <f>H19/'- 7 -'!$F19</f>
        <v>102.54217153718223</v>
      </c>
    </row>
    <row r="20" spans="1:10" ht="14.1" customHeight="1">
      <c r="A20" s="23" t="s">
        <v>238</v>
      </c>
      <c r="B20" s="24">
        <v>30400</v>
      </c>
      <c r="C20" s="353">
        <f>B20/'- 3 -'!$D20*100</f>
        <v>4.277099788677504E-2</v>
      </c>
      <c r="D20" s="24">
        <f>B20/'- 7 -'!$C20</f>
        <v>4.0320976192055173</v>
      </c>
      <c r="E20" s="24">
        <v>420300</v>
      </c>
      <c r="F20" s="353">
        <f>E20/'- 3 -'!$D20*100</f>
        <v>0.59133718459906415</v>
      </c>
      <c r="G20" s="24">
        <f>E20/'- 7 -'!$F20</f>
        <v>55.746402281318389</v>
      </c>
      <c r="H20" s="24">
        <v>803600</v>
      </c>
      <c r="I20" s="353">
        <f>H20/'- 3 -'!$D20*100</f>
        <v>1.1306175625596191</v>
      </c>
      <c r="J20" s="24">
        <f>H20/'- 7 -'!$F20</f>
        <v>106.58531732873533</v>
      </c>
    </row>
    <row r="21" spans="1:10" ht="14.1" customHeight="1">
      <c r="A21" s="360" t="s">
        <v>239</v>
      </c>
      <c r="B21" s="361">
        <v>0</v>
      </c>
      <c r="C21" s="362">
        <f>B21/'- 3 -'!$D21*100</f>
        <v>0</v>
      </c>
      <c r="D21" s="361">
        <f>B21/'- 7 -'!$C21</f>
        <v>0</v>
      </c>
      <c r="E21" s="361">
        <v>95700</v>
      </c>
      <c r="F21" s="362">
        <f>E21/'- 3 -'!$D21*100</f>
        <v>0.28107256468318231</v>
      </c>
      <c r="G21" s="361">
        <f>E21/'- 7 -'!$F21</f>
        <v>35.576208178438662</v>
      </c>
      <c r="H21" s="361">
        <v>569293</v>
      </c>
      <c r="I21" s="362">
        <f>H21/'- 3 -'!$D21*100</f>
        <v>1.6720234437427681</v>
      </c>
      <c r="J21" s="361">
        <f>H21/'- 7 -'!$F21</f>
        <v>211.63308550185874</v>
      </c>
    </row>
    <row r="22" spans="1:10" ht="14.1" customHeight="1">
      <c r="A22" s="23" t="s">
        <v>240</v>
      </c>
      <c r="B22" s="24">
        <v>23675</v>
      </c>
      <c r="C22" s="353">
        <f>B22/'- 3 -'!$D22*100</f>
        <v>0.11889216904613377</v>
      </c>
      <c r="D22" s="24">
        <f>B22/'- 7 -'!$C22</f>
        <v>14.623224212476838</v>
      </c>
      <c r="E22" s="24">
        <v>71655</v>
      </c>
      <c r="F22" s="353">
        <f>E22/'- 3 -'!$D22*100</f>
        <v>0.35984026918693629</v>
      </c>
      <c r="G22" s="24">
        <f>E22/'- 7 -'!$F22</f>
        <v>44.258801729462633</v>
      </c>
      <c r="H22" s="24">
        <v>193915</v>
      </c>
      <c r="I22" s="353">
        <f>H22/'- 3 -'!$D22*100</f>
        <v>0.9738109803835705</v>
      </c>
      <c r="J22" s="24">
        <f>H22/'- 7 -'!$F22</f>
        <v>119.77455219271155</v>
      </c>
    </row>
    <row r="23" spans="1:10" ht="14.1" customHeight="1">
      <c r="A23" s="360" t="s">
        <v>241</v>
      </c>
      <c r="B23" s="361">
        <v>0</v>
      </c>
      <c r="C23" s="362">
        <f>B23/'- 3 -'!$D23*100</f>
        <v>0</v>
      </c>
      <c r="D23" s="361">
        <f>B23/'- 7 -'!$C23</f>
        <v>0</v>
      </c>
      <c r="E23" s="361">
        <v>0</v>
      </c>
      <c r="F23" s="362">
        <f>E23/'- 3 -'!$D23*100</f>
        <v>0</v>
      </c>
      <c r="G23" s="361">
        <f>E23/'- 7 -'!$F23</f>
        <v>0</v>
      </c>
      <c r="H23" s="361">
        <v>180800</v>
      </c>
      <c r="I23" s="362">
        <f>H23/'- 3 -'!$D23*100</f>
        <v>1.128308946965735</v>
      </c>
      <c r="J23" s="361">
        <f>H23/'- 7 -'!$F23</f>
        <v>152.96108291032149</v>
      </c>
    </row>
    <row r="24" spans="1:10" ht="14.1" customHeight="1">
      <c r="A24" s="23" t="s">
        <v>242</v>
      </c>
      <c r="B24" s="24">
        <v>0</v>
      </c>
      <c r="C24" s="353">
        <f>B24/'- 3 -'!$D24*100</f>
        <v>0</v>
      </c>
      <c r="D24" s="24">
        <f>B24/'- 7 -'!$C24</f>
        <v>0</v>
      </c>
      <c r="E24" s="24">
        <v>119920</v>
      </c>
      <c r="F24" s="353">
        <f>E24/'- 3 -'!$D24*100</f>
        <v>0.2272621533941836</v>
      </c>
      <c r="G24" s="24">
        <f>E24/'- 7 -'!$F24</f>
        <v>28.57619444775408</v>
      </c>
      <c r="H24" s="24">
        <v>667935</v>
      </c>
      <c r="I24" s="353">
        <f>H24/'- 3 -'!$D24*100</f>
        <v>1.2658134291806538</v>
      </c>
      <c r="J24" s="24">
        <f>H24/'- 7 -'!$F24</f>
        <v>159.16478017395448</v>
      </c>
    </row>
    <row r="25" spans="1:10" ht="14.1" customHeight="1">
      <c r="A25" s="360" t="s">
        <v>243</v>
      </c>
      <c r="B25" s="361">
        <v>0</v>
      </c>
      <c r="C25" s="362">
        <f>B25/'- 3 -'!$D25*100</f>
        <v>0</v>
      </c>
      <c r="D25" s="361">
        <f>B25/'- 7 -'!$C25</f>
        <v>0</v>
      </c>
      <c r="E25" s="361">
        <v>1621165</v>
      </c>
      <c r="F25" s="362">
        <f>E25/'- 3 -'!$D25*100</f>
        <v>1.0469107442503343</v>
      </c>
      <c r="G25" s="361">
        <f>E25/'- 7 -'!$F25</f>
        <v>117.41616571304411</v>
      </c>
      <c r="H25" s="361">
        <v>3684811</v>
      </c>
      <c r="I25" s="362">
        <f>H25/'- 3 -'!$D25*100</f>
        <v>2.379565452271557</v>
      </c>
      <c r="J25" s="361">
        <f>H25/'- 7 -'!$F25</f>
        <v>266.87991598464549</v>
      </c>
    </row>
    <row r="26" spans="1:10" ht="14.1" customHeight="1">
      <c r="A26" s="23" t="s">
        <v>244</v>
      </c>
      <c r="B26" s="24">
        <v>14452</v>
      </c>
      <c r="C26" s="353">
        <f>B26/'- 3 -'!$D26*100</f>
        <v>3.8088753172887756E-2</v>
      </c>
      <c r="D26" s="24">
        <f>B26/'- 7 -'!$C26</f>
        <v>4.679294155739032</v>
      </c>
      <c r="E26" s="24">
        <v>211374</v>
      </c>
      <c r="F26" s="353">
        <f>E26/'- 3 -'!$D26*100</f>
        <v>0.55708359487724712</v>
      </c>
      <c r="G26" s="24">
        <f>E26/'- 7 -'!$F26</f>
        <v>68.439048081593</v>
      </c>
      <c r="H26" s="24">
        <v>539749</v>
      </c>
      <c r="I26" s="353">
        <f>H26/'- 3 -'!$D26*100</f>
        <v>1.4225274312422498</v>
      </c>
      <c r="J26" s="24">
        <f>H26/'- 7 -'!$F26</f>
        <v>174.76088716205277</v>
      </c>
    </row>
    <row r="27" spans="1:10" ht="14.1" customHeight="1">
      <c r="A27" s="360" t="s">
        <v>245</v>
      </c>
      <c r="B27" s="361">
        <v>0</v>
      </c>
      <c r="C27" s="362">
        <f>B27/'- 3 -'!$D27*100</f>
        <v>0</v>
      </c>
      <c r="D27" s="361">
        <f>B27/'- 7 -'!$C27</f>
        <v>0</v>
      </c>
      <c r="E27" s="361">
        <v>770819</v>
      </c>
      <c r="F27" s="362">
        <f>E27/'- 3 -'!$D27*100</f>
        <v>2.003303498066852</v>
      </c>
      <c r="G27" s="361">
        <f>E27/'- 7 -'!$F27</f>
        <v>280.19592875318068</v>
      </c>
      <c r="H27" s="361">
        <v>1229232</v>
      </c>
      <c r="I27" s="362">
        <f>H27/'- 3 -'!$D27*100</f>
        <v>3.1946861267505247</v>
      </c>
      <c r="J27" s="361">
        <f>H27/'- 7 -'!$F27</f>
        <v>446.83097055616139</v>
      </c>
    </row>
    <row r="28" spans="1:10" ht="14.1" customHeight="1">
      <c r="A28" s="23" t="s">
        <v>246</v>
      </c>
      <c r="B28" s="24">
        <v>0</v>
      </c>
      <c r="C28" s="353">
        <f>B28/'- 3 -'!$D28*100</f>
        <v>0</v>
      </c>
      <c r="D28" s="24">
        <f>B28/'- 7 -'!$C28</f>
        <v>0</v>
      </c>
      <c r="E28" s="24">
        <v>141029</v>
      </c>
      <c r="F28" s="353">
        <f>E28/'- 3 -'!$D28*100</f>
        <v>0.54089942819893666</v>
      </c>
      <c r="G28" s="24">
        <f>E28/'- 7 -'!$F28</f>
        <v>71.407088607594943</v>
      </c>
      <c r="H28" s="24">
        <v>254213</v>
      </c>
      <c r="I28" s="353">
        <f>H28/'- 3 -'!$D28*100</f>
        <v>0.9750027748954917</v>
      </c>
      <c r="J28" s="24">
        <f>H28/'- 7 -'!$F28</f>
        <v>128.71544303797469</v>
      </c>
    </row>
    <row r="29" spans="1:10" ht="14.1" customHeight="1">
      <c r="A29" s="360" t="s">
        <v>247</v>
      </c>
      <c r="B29" s="361">
        <v>374236</v>
      </c>
      <c r="C29" s="362">
        <f>B29/'- 3 -'!$D29*100</f>
        <v>0.26351505563072541</v>
      </c>
      <c r="D29" s="361">
        <f>B29/'- 7 -'!$C29</f>
        <v>30.960579110651498</v>
      </c>
      <c r="E29" s="361">
        <v>569872</v>
      </c>
      <c r="F29" s="362">
        <f>E29/'- 3 -'!$D29*100</f>
        <v>0.40127045976975151</v>
      </c>
      <c r="G29" s="361">
        <f>E29/'- 7 -'!$F29</f>
        <v>47.145563598759047</v>
      </c>
      <c r="H29" s="361">
        <v>3219033</v>
      </c>
      <c r="I29" s="362">
        <f>H29/'- 3 -'!$D29*100</f>
        <v>2.2666543573363889</v>
      </c>
      <c r="J29" s="361">
        <f>H29/'- 7 -'!$F29</f>
        <v>266.31089968976215</v>
      </c>
    </row>
    <row r="30" spans="1:10" ht="14.1" customHeight="1">
      <c r="A30" s="23" t="s">
        <v>248</v>
      </c>
      <c r="B30" s="24">
        <v>0</v>
      </c>
      <c r="C30" s="353">
        <f>B30/'- 3 -'!$D30*100</f>
        <v>0</v>
      </c>
      <c r="D30" s="24">
        <f>B30/'- 7 -'!$C30</f>
        <v>0</v>
      </c>
      <c r="E30" s="24">
        <v>0</v>
      </c>
      <c r="F30" s="353">
        <f>E30/'- 3 -'!$D30*100</f>
        <v>0</v>
      </c>
      <c r="G30" s="24">
        <f>E30/'- 7 -'!$F30</f>
        <v>0</v>
      </c>
      <c r="H30" s="24">
        <v>374139</v>
      </c>
      <c r="I30" s="353">
        <f>H30/'- 3 -'!$D30*100</f>
        <v>2.7806133047209984</v>
      </c>
      <c r="J30" s="24">
        <f>H30/'- 7 -'!$F30</f>
        <v>349.66261682242992</v>
      </c>
    </row>
    <row r="31" spans="1:10" ht="14.1" customHeight="1">
      <c r="A31" s="360" t="s">
        <v>249</v>
      </c>
      <c r="B31" s="361">
        <v>0</v>
      </c>
      <c r="C31" s="362">
        <f>B31/'- 3 -'!$D31*100</f>
        <v>0</v>
      </c>
      <c r="D31" s="361">
        <f>B31/'- 7 -'!$C31</f>
        <v>0</v>
      </c>
      <c r="E31" s="361">
        <v>98485</v>
      </c>
      <c r="F31" s="362">
        <f>E31/'- 3 -'!$D31*100</f>
        <v>0.29288929272462522</v>
      </c>
      <c r="G31" s="361">
        <f>E31/'- 7 -'!$F31</f>
        <v>30.873040752351098</v>
      </c>
      <c r="H31" s="361">
        <v>465138</v>
      </c>
      <c r="I31" s="362">
        <f>H31/'- 3 -'!$D31*100</f>
        <v>1.3832963379128469</v>
      </c>
      <c r="J31" s="361">
        <f>H31/'- 7 -'!$F31</f>
        <v>145.81128526645767</v>
      </c>
    </row>
    <row r="32" spans="1:10" ht="14.1" customHeight="1">
      <c r="A32" s="23" t="s">
        <v>250</v>
      </c>
      <c r="B32" s="24">
        <v>0</v>
      </c>
      <c r="C32" s="353">
        <f>B32/'- 3 -'!$D32*100</f>
        <v>0</v>
      </c>
      <c r="D32" s="24">
        <f>B32/'- 7 -'!$C32</f>
        <v>0</v>
      </c>
      <c r="E32" s="24">
        <v>59095</v>
      </c>
      <c r="F32" s="353">
        <f>E32/'- 3 -'!$D32*100</f>
        <v>0.23135299553877667</v>
      </c>
      <c r="G32" s="24">
        <f>E32/'- 7 -'!$F32</f>
        <v>28.89024688340259</v>
      </c>
      <c r="H32" s="24">
        <v>285155</v>
      </c>
      <c r="I32" s="353">
        <f>H32/'- 3 -'!$D32*100</f>
        <v>1.1163628639116654</v>
      </c>
      <c r="J32" s="24">
        <f>H32/'- 7 -'!$F32</f>
        <v>139.40601319970668</v>
      </c>
    </row>
    <row r="33" spans="1:10" ht="14.1" customHeight="1">
      <c r="A33" s="360" t="s">
        <v>251</v>
      </c>
      <c r="B33" s="361">
        <v>0</v>
      </c>
      <c r="C33" s="362">
        <f>B33/'- 3 -'!$D33*100</f>
        <v>0</v>
      </c>
      <c r="D33" s="361">
        <f>B33/'- 7 -'!$C33</f>
        <v>0</v>
      </c>
      <c r="E33" s="361">
        <v>129700</v>
      </c>
      <c r="F33" s="362">
        <f>E33/'- 3 -'!$D33*100</f>
        <v>0.4938450232834411</v>
      </c>
      <c r="G33" s="361">
        <f>E33/'- 7 -'!$F33</f>
        <v>64.017769002961501</v>
      </c>
      <c r="H33" s="361">
        <v>358200</v>
      </c>
      <c r="I33" s="362">
        <f>H33/'- 3 -'!$D33*100</f>
        <v>1.3638803958375376</v>
      </c>
      <c r="J33" s="361">
        <f>H33/'- 7 -'!$F33</f>
        <v>176.80157946692992</v>
      </c>
    </row>
    <row r="34" spans="1:10" ht="14.1" customHeight="1">
      <c r="A34" s="23" t="s">
        <v>252</v>
      </c>
      <c r="B34" s="24">
        <v>6575</v>
      </c>
      <c r="C34" s="353">
        <f>B34/'- 3 -'!$D34*100</f>
        <v>2.574080066848566E-2</v>
      </c>
      <c r="D34" s="24">
        <f>B34/'- 7 -'!$C34</f>
        <v>3.2640478164388869</v>
      </c>
      <c r="E34" s="24">
        <v>83440</v>
      </c>
      <c r="F34" s="353">
        <f>E34/'- 3 -'!$D34*100</f>
        <v>0.32666348407276702</v>
      </c>
      <c r="G34" s="24">
        <f>E34/'- 7 -'!$F34</f>
        <v>41.422380198275391</v>
      </c>
      <c r="H34" s="24">
        <v>218546</v>
      </c>
      <c r="I34" s="353">
        <f>H34/'- 3 -'!$D34*100</f>
        <v>0.85559680956575923</v>
      </c>
      <c r="J34" s="24">
        <f>H34/'- 7 -'!$F34</f>
        <v>108.49347438653277</v>
      </c>
    </row>
    <row r="35" spans="1:10" ht="14.1" customHeight="1">
      <c r="A35" s="360" t="s">
        <v>253</v>
      </c>
      <c r="B35" s="361">
        <v>362000</v>
      </c>
      <c r="C35" s="362">
        <f>B35/'- 3 -'!$D35*100</f>
        <v>0.21605791870595198</v>
      </c>
      <c r="D35" s="361">
        <f>B35/'- 7 -'!$C35</f>
        <v>22.932437996895885</v>
      </c>
      <c r="E35" s="361">
        <v>581044</v>
      </c>
      <c r="F35" s="362">
        <f>E35/'- 3 -'!$D35*100</f>
        <v>0.34679325225574914</v>
      </c>
      <c r="G35" s="361">
        <f>E35/'- 7 -'!$F35</f>
        <v>36.808716860409866</v>
      </c>
      <c r="H35" s="361">
        <v>3878248</v>
      </c>
      <c r="I35" s="362">
        <f>H35/'- 3 -'!$D35*100</f>
        <v>2.3147132350981243</v>
      </c>
      <c r="J35" s="361">
        <f>H35/'- 7 -'!$F35</f>
        <v>245.68420385797091</v>
      </c>
    </row>
    <row r="36" spans="1:10" ht="14.1" customHeight="1">
      <c r="A36" s="23" t="s">
        <v>254</v>
      </c>
      <c r="B36" s="24">
        <v>34530</v>
      </c>
      <c r="C36" s="353">
        <f>B36/'- 3 -'!$D36*100</f>
        <v>0.16009539886843663</v>
      </c>
      <c r="D36" s="24">
        <f>B36/'- 7 -'!$C36</f>
        <v>20.571939231456657</v>
      </c>
      <c r="E36" s="24">
        <v>193035</v>
      </c>
      <c r="F36" s="353">
        <f>E36/'- 3 -'!$D36*100</f>
        <v>0.89499030757511333</v>
      </c>
      <c r="G36" s="24">
        <f>E36/'- 7 -'!$F36</f>
        <v>115.00446827524576</v>
      </c>
      <c r="H36" s="24">
        <v>257425</v>
      </c>
      <c r="I36" s="353">
        <f>H36/'- 3 -'!$D36*100</f>
        <v>1.1935290487607095</v>
      </c>
      <c r="J36" s="24">
        <f>H36/'- 7 -'!$F36</f>
        <v>153.36610068513554</v>
      </c>
    </row>
    <row r="37" spans="1:10" ht="14.1" customHeight="1">
      <c r="A37" s="360" t="s">
        <v>255</v>
      </c>
      <c r="B37" s="361">
        <v>48808</v>
      </c>
      <c r="C37" s="362">
        <f>B37/'- 3 -'!$D37*100</f>
        <v>0.11714374517731289</v>
      </c>
      <c r="D37" s="361">
        <f>B37/'- 7 -'!$C37</f>
        <v>13.0905189754593</v>
      </c>
      <c r="E37" s="361">
        <v>442252</v>
      </c>
      <c r="F37" s="362">
        <f>E37/'- 3 -'!$D37*100</f>
        <v>1.0614459841041832</v>
      </c>
      <c r="G37" s="361">
        <f>E37/'- 7 -'!$F37</f>
        <v>118.61391980689285</v>
      </c>
      <c r="H37" s="361">
        <v>506003</v>
      </c>
      <c r="I37" s="362">
        <f>H37/'- 3 -'!$D37*100</f>
        <v>1.2144543208276481</v>
      </c>
      <c r="J37" s="361">
        <f>H37/'- 7 -'!$F37</f>
        <v>135.71221670913235</v>
      </c>
    </row>
    <row r="38" spans="1:10" ht="14.1" customHeight="1">
      <c r="A38" s="23" t="s">
        <v>256</v>
      </c>
      <c r="B38" s="24">
        <v>77700</v>
      </c>
      <c r="C38" s="353">
        <f>B38/'- 3 -'!$D38*100</f>
        <v>6.6241617707262515E-2</v>
      </c>
      <c r="D38" s="24">
        <f>B38/'- 7 -'!$C38</f>
        <v>7.3635329795299471</v>
      </c>
      <c r="E38" s="24">
        <v>235490</v>
      </c>
      <c r="F38" s="353">
        <f>E38/'- 3 -'!$D38*100</f>
        <v>0.20076240095087838</v>
      </c>
      <c r="G38" s="24">
        <f>E38/'- 7 -'!$F38</f>
        <v>22.317096285064444</v>
      </c>
      <c r="H38" s="24">
        <v>1555137</v>
      </c>
      <c r="I38" s="353">
        <f>H38/'- 3 -'!$D38*100</f>
        <v>1.3258016812923954</v>
      </c>
      <c r="J38" s="24">
        <f>H38/'- 7 -'!$F38</f>
        <v>147.37841167551176</v>
      </c>
    </row>
    <row r="39" spans="1:10" ht="14.1" customHeight="1">
      <c r="A39" s="360" t="s">
        <v>257</v>
      </c>
      <c r="B39" s="361">
        <v>0</v>
      </c>
      <c r="C39" s="362">
        <f>B39/'- 3 -'!$D39*100</f>
        <v>0</v>
      </c>
      <c r="D39" s="361">
        <f>B39/'- 7 -'!$C39</f>
        <v>0</v>
      </c>
      <c r="E39" s="361">
        <v>83600</v>
      </c>
      <c r="F39" s="362">
        <f>E39/'- 3 -'!$D39*100</f>
        <v>0.40683296402049074</v>
      </c>
      <c r="G39" s="361">
        <f>E39/'- 7 -'!$F39</f>
        <v>52.811118130132662</v>
      </c>
      <c r="H39" s="361">
        <v>260716</v>
      </c>
      <c r="I39" s="362">
        <f>H39/'- 3 -'!$D39*100</f>
        <v>1.2687543426742376</v>
      </c>
      <c r="J39" s="361">
        <f>H39/'- 7 -'!$F39</f>
        <v>164.69740998104865</v>
      </c>
    </row>
    <row r="40" spans="1:10" ht="14.1" customHeight="1">
      <c r="A40" s="23" t="s">
        <v>258</v>
      </c>
      <c r="B40" s="24">
        <v>0</v>
      </c>
      <c r="C40" s="353">
        <f>B40/'- 3 -'!$D40*100</f>
        <v>0</v>
      </c>
      <c r="D40" s="24">
        <f>B40/'- 7 -'!$C40</f>
        <v>0</v>
      </c>
      <c r="E40" s="24">
        <v>1132313</v>
      </c>
      <c r="F40" s="353">
        <f>E40/'- 3 -'!$D40*100</f>
        <v>1.1646626224136569</v>
      </c>
      <c r="G40" s="24">
        <f>E40/'- 7 -'!$F40</f>
        <v>141.84586668671002</v>
      </c>
      <c r="H40" s="24">
        <v>1312941</v>
      </c>
      <c r="I40" s="353">
        <f>H40/'- 3 -'!$D40*100</f>
        <v>1.3504510750423329</v>
      </c>
      <c r="J40" s="24">
        <f>H40/'- 7 -'!$F40</f>
        <v>164.47329850802362</v>
      </c>
    </row>
    <row r="41" spans="1:10" ht="14.1" customHeight="1">
      <c r="A41" s="360" t="s">
        <v>259</v>
      </c>
      <c r="B41" s="361">
        <v>41632</v>
      </c>
      <c r="C41" s="362">
        <f>B41/'- 3 -'!$D41*100</f>
        <v>7.2178519782084394E-2</v>
      </c>
      <c r="D41" s="361">
        <f>B41/'- 7 -'!$C41</f>
        <v>9.3618169552507311</v>
      </c>
      <c r="E41" s="361">
        <v>343667</v>
      </c>
      <c r="F41" s="362">
        <f>E41/'- 3 -'!$D41*100</f>
        <v>0.5958247347701191</v>
      </c>
      <c r="G41" s="361">
        <f>E41/'- 7 -'!$F41</f>
        <v>77.28063863278615</v>
      </c>
      <c r="H41" s="361">
        <v>620403</v>
      </c>
      <c r="I41" s="362">
        <f>H41/'- 3 -'!$D41*100</f>
        <v>1.0756093920149046</v>
      </c>
      <c r="J41" s="361">
        <f>H41/'- 7 -'!$F41</f>
        <v>139.51045648751969</v>
      </c>
    </row>
    <row r="42" spans="1:10" ht="14.1" customHeight="1">
      <c r="A42" s="23" t="s">
        <v>260</v>
      </c>
      <c r="B42" s="24">
        <v>0</v>
      </c>
      <c r="C42" s="353">
        <f>B42/'- 3 -'!$D42*100</f>
        <v>0</v>
      </c>
      <c r="D42" s="24">
        <f>B42/'- 7 -'!$C42</f>
        <v>0</v>
      </c>
      <c r="E42" s="24">
        <v>0</v>
      </c>
      <c r="F42" s="353">
        <f>E42/'- 3 -'!$D42*100</f>
        <v>0</v>
      </c>
      <c r="G42" s="24">
        <f>E42/'- 7 -'!$F42</f>
        <v>0</v>
      </c>
      <c r="H42" s="24">
        <v>315421</v>
      </c>
      <c r="I42" s="353">
        <f>H42/'- 3 -'!$D42*100</f>
        <v>1.5633753594247637</v>
      </c>
      <c r="J42" s="24">
        <f>H42/'- 7 -'!$F42</f>
        <v>225.46175839885632</v>
      </c>
    </row>
    <row r="43" spans="1:10" ht="14.1" customHeight="1">
      <c r="A43" s="360" t="s">
        <v>261</v>
      </c>
      <c r="B43" s="361">
        <v>18251</v>
      </c>
      <c r="C43" s="362">
        <f>B43/'- 3 -'!$D43*100</f>
        <v>0.15265177145810838</v>
      </c>
      <c r="D43" s="361">
        <f>B43/'- 7 -'!$C43</f>
        <v>18.903158984981875</v>
      </c>
      <c r="E43" s="361">
        <v>0</v>
      </c>
      <c r="F43" s="362">
        <f>E43/'- 3 -'!$D43*100</f>
        <v>0</v>
      </c>
      <c r="G43" s="361">
        <f>E43/'- 7 -'!$F43</f>
        <v>0</v>
      </c>
      <c r="H43" s="361">
        <v>211453</v>
      </c>
      <c r="I43" s="362">
        <f>H43/'- 3 -'!$D43*100</f>
        <v>1.7685976127407479</v>
      </c>
      <c r="J43" s="361">
        <f>H43/'- 7 -'!$F43</f>
        <v>219.00880372863801</v>
      </c>
    </row>
    <row r="44" spans="1:10" ht="14.1" customHeight="1">
      <c r="A44" s="23" t="s">
        <v>262</v>
      </c>
      <c r="B44" s="24">
        <v>0</v>
      </c>
      <c r="C44" s="353">
        <f>B44/'- 3 -'!$D44*100</f>
        <v>0</v>
      </c>
      <c r="D44" s="24">
        <f>B44/'- 7 -'!$C44</f>
        <v>0</v>
      </c>
      <c r="E44" s="24">
        <v>0</v>
      </c>
      <c r="F44" s="353">
        <f>E44/'- 3 -'!$D44*100</f>
        <v>0</v>
      </c>
      <c r="G44" s="24">
        <f>E44/'- 7 -'!$F44</f>
        <v>0</v>
      </c>
      <c r="H44" s="24">
        <v>120333</v>
      </c>
      <c r="I44" s="353">
        <f>H44/'- 3 -'!$D44*100</f>
        <v>1.1418356422041462</v>
      </c>
      <c r="J44" s="24">
        <f>H44/'- 7 -'!$F44</f>
        <v>159.80478087649402</v>
      </c>
    </row>
    <row r="45" spans="1:10" ht="14.1" customHeight="1">
      <c r="A45" s="360" t="s">
        <v>263</v>
      </c>
      <c r="B45" s="361">
        <v>0</v>
      </c>
      <c r="C45" s="362">
        <f>B45/'- 3 -'!$D45*100</f>
        <v>0</v>
      </c>
      <c r="D45" s="361">
        <f>B45/'- 7 -'!$C45</f>
        <v>0</v>
      </c>
      <c r="E45" s="361">
        <v>5000</v>
      </c>
      <c r="F45" s="362">
        <f>E45/'- 3 -'!$D45*100</f>
        <v>2.9529667984949791E-2</v>
      </c>
      <c r="G45" s="361">
        <f>E45/'- 7 -'!$F45</f>
        <v>2.9673590504451037</v>
      </c>
      <c r="H45" s="361">
        <v>230153</v>
      </c>
      <c r="I45" s="362">
        <f>H45/'- 3 -'!$D45*100</f>
        <v>1.3592683351480299</v>
      </c>
      <c r="J45" s="361">
        <f>H45/'- 7 -'!$F45</f>
        <v>136.5893175074184</v>
      </c>
    </row>
    <row r="46" spans="1:10" ht="14.1" customHeight="1">
      <c r="A46" s="23" t="s">
        <v>264</v>
      </c>
      <c r="B46" s="24">
        <v>236300</v>
      </c>
      <c r="C46" s="353">
        <f>B46/'- 3 -'!$D46*100</f>
        <v>6.5519098137793622E-2</v>
      </c>
      <c r="D46" s="24">
        <f>B46/'- 7 -'!$C46</f>
        <v>7.788398154251813</v>
      </c>
      <c r="E46" s="24">
        <v>813500</v>
      </c>
      <c r="F46" s="353">
        <f>E46/'- 3 -'!$D46*100</f>
        <v>0.22555982367793107</v>
      </c>
      <c r="G46" s="24">
        <f>E46/'- 7 -'!$F46</f>
        <v>26.81278839815425</v>
      </c>
      <c r="H46" s="24">
        <v>2555200</v>
      </c>
      <c r="I46" s="353">
        <f>H46/'- 3 -'!$D46*100</f>
        <v>0.70848243572446157</v>
      </c>
      <c r="J46" s="24">
        <f>H46/'- 7 -'!$F46</f>
        <v>84.218852999340811</v>
      </c>
    </row>
    <row r="47" spans="1:10" ht="5.0999999999999996" customHeight="1">
      <c r="A47"/>
      <c r="B47"/>
      <c r="C47"/>
      <c r="D47"/>
      <c r="E47"/>
      <c r="F47"/>
      <c r="G47"/>
      <c r="H47"/>
      <c r="I47"/>
      <c r="J47"/>
    </row>
    <row r="48" spans="1:10" ht="14.1" customHeight="1">
      <c r="A48" s="363" t="s">
        <v>265</v>
      </c>
      <c r="B48" s="364">
        <f>SUM(B11:B46)</f>
        <v>1434115</v>
      </c>
      <c r="C48" s="365">
        <f>B48/'- 3 -'!$D48*100</f>
        <v>6.8875241404871959E-2</v>
      </c>
      <c r="D48" s="364">
        <f>B48/'- 7 -'!$C48</f>
        <v>8.2635444420883761</v>
      </c>
      <c r="E48" s="364">
        <f>SUM(E11:E46)</f>
        <v>12721968</v>
      </c>
      <c r="F48" s="365">
        <f>E48/'- 3 -'!$D48*100</f>
        <v>0.61098908884228675</v>
      </c>
      <c r="G48" s="364">
        <f>E48/'- 7 -'!$F48</f>
        <v>73.305521495016919</v>
      </c>
      <c r="H48" s="364">
        <f>SUM(H11:H46)</f>
        <v>29948255</v>
      </c>
      <c r="I48" s="365">
        <f>H48/'- 3 -'!$D48*100</f>
        <v>1.4383039664041335</v>
      </c>
      <c r="J48" s="364">
        <f>H48/'- 7 -'!$F48</f>
        <v>172.5654749831746</v>
      </c>
    </row>
    <row r="49" spans="1:10" ht="5.0999999999999996" customHeight="1">
      <c r="A49" s="25" t="s">
        <v>3</v>
      </c>
      <c r="B49" s="26"/>
      <c r="C49" s="351"/>
      <c r="D49" s="26"/>
      <c r="E49" s="26"/>
      <c r="F49" s="351"/>
      <c r="H49" s="26"/>
      <c r="I49" s="351"/>
      <c r="J49" s="26"/>
    </row>
    <row r="50" spans="1:10" ht="14.1" customHeight="1">
      <c r="A50" s="23" t="s">
        <v>266</v>
      </c>
      <c r="B50" s="24">
        <v>0</v>
      </c>
      <c r="C50" s="353">
        <f>B50/'- 3 -'!$D50*100</f>
        <v>0</v>
      </c>
      <c r="D50" s="24">
        <f>B50/'- 7 -'!$C50</f>
        <v>0</v>
      </c>
      <c r="E50" s="24">
        <v>0</v>
      </c>
      <c r="F50" s="353">
        <f>E50/'- 3 -'!$D50*100</f>
        <v>0</v>
      </c>
      <c r="G50" s="24">
        <f>E50/'- 7 -'!$F50</f>
        <v>0</v>
      </c>
      <c r="H50" s="24">
        <v>22545</v>
      </c>
      <c r="I50" s="353">
        <f>H50/'- 3 -'!$D50*100</f>
        <v>0.68698082212818701</v>
      </c>
      <c r="J50" s="24">
        <f>H50/'- 7 -'!$F50</f>
        <v>135</v>
      </c>
    </row>
    <row r="51" spans="1:10" ht="14.1" customHeight="1">
      <c r="A51" s="360" t="s">
        <v>267</v>
      </c>
      <c r="B51" s="361">
        <v>0</v>
      </c>
      <c r="C51" s="362">
        <f>B51/'- 3 -'!$D51*100</f>
        <v>0</v>
      </c>
      <c r="D51" s="361">
        <f>B51/'- 7 -'!$C51</f>
        <v>0</v>
      </c>
      <c r="E51" s="361">
        <v>180066</v>
      </c>
      <c r="F51" s="362">
        <f>E51/'- 3 -'!$D51*100</f>
        <v>0.86635452128074175</v>
      </c>
      <c r="G51" s="361">
        <f>E51/'- 7 -'!$F51</f>
        <v>289.96135265700485</v>
      </c>
      <c r="H51" s="361">
        <v>38300</v>
      </c>
      <c r="I51" s="362">
        <f>H51/'- 3 -'!$D51*100</f>
        <v>0.18427342288412252</v>
      </c>
      <c r="J51" s="361">
        <f>H51/'- 7 -'!$F51</f>
        <v>61.674718196457327</v>
      </c>
    </row>
    <row r="52" spans="1:10" ht="50.1" customHeight="1">
      <c r="A52" s="207"/>
      <c r="B52" s="207"/>
      <c r="C52" s="207"/>
      <c r="D52" s="207"/>
      <c r="E52" s="207"/>
      <c r="F52" s="207"/>
      <c r="G52" s="207"/>
      <c r="H52" s="207"/>
      <c r="I52" s="207"/>
      <c r="J52" s="207"/>
    </row>
    <row r="53" spans="1:10" ht="15" customHeight="1">
      <c r="A53" s="159"/>
      <c r="B53" s="207"/>
      <c r="C53" s="207"/>
      <c r="D53" s="207"/>
      <c r="E53" s="207"/>
      <c r="F53" s="207"/>
      <c r="G53" s="207"/>
      <c r="H53" s="207"/>
      <c r="I53" s="207"/>
      <c r="J53" s="207"/>
    </row>
    <row r="54" spans="1:10" ht="14.45" customHeight="1"/>
    <row r="55" spans="1:10" ht="14.45" customHeight="1"/>
    <row r="56" spans="1:10" ht="14.45" customHeight="1"/>
    <row r="57" spans="1:10" ht="14.45" customHeight="1"/>
    <row r="58" spans="1:10" ht="14.45" customHeight="1"/>
    <row r="59" spans="1:10"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5.xml><?xml version="1.0" encoding="utf-8"?>
<worksheet xmlns="http://schemas.openxmlformats.org/spreadsheetml/2006/main" xmlns:r="http://schemas.openxmlformats.org/officeDocument/2006/relationships">
  <sheetPr codeName="Sheet25">
    <pageSetUpPr fitToPage="1"/>
  </sheetPr>
  <dimension ref="A1:G59"/>
  <sheetViews>
    <sheetView showGridLines="0" showZeros="0" workbookViewId="0"/>
  </sheetViews>
  <sheetFormatPr defaultColWidth="15.83203125" defaultRowHeight="12"/>
  <cols>
    <col min="1" max="1" width="35.83203125" style="1" customWidth="1"/>
    <col min="2" max="2" width="15.6640625" style="1" customWidth="1"/>
    <col min="3" max="3" width="8.6640625" style="1" customWidth="1"/>
    <col min="4" max="4" width="11.6640625" style="1" customWidth="1"/>
    <col min="5" max="5" width="16.83203125" style="1" customWidth="1"/>
    <col min="6" max="6" width="8.33203125" style="1" customWidth="1"/>
    <col min="7" max="7" width="11.6640625" style="1" customWidth="1"/>
    <col min="8" max="16384" width="15.83203125" style="1"/>
  </cols>
  <sheetData>
    <row r="1" spans="1:7" ht="6.95" customHeight="1">
      <c r="A1" s="3"/>
      <c r="B1" s="40"/>
      <c r="C1" s="40"/>
      <c r="D1" s="40"/>
      <c r="E1" s="40"/>
      <c r="F1" s="40"/>
      <c r="G1" s="40"/>
    </row>
    <row r="2" spans="1:7" ht="15.95" customHeight="1">
      <c r="A2" s="161"/>
      <c r="B2" s="5" t="s">
        <v>483</v>
      </c>
      <c r="C2" s="197"/>
      <c r="D2" s="43"/>
      <c r="E2" s="43"/>
      <c r="F2" s="43"/>
      <c r="G2" s="184" t="s">
        <v>434</v>
      </c>
    </row>
    <row r="3" spans="1:7" ht="15.95" customHeight="1">
      <c r="A3" s="164"/>
      <c r="B3" s="234" t="str">
        <f>OPYEAR</f>
        <v>OPERATING FUND 2013/2014 BUDGET</v>
      </c>
      <c r="C3" s="47"/>
      <c r="D3" s="198"/>
      <c r="E3" s="47"/>
      <c r="F3" s="47"/>
      <c r="G3" s="49"/>
    </row>
    <row r="4" spans="1:7" ht="15.95" customHeight="1">
      <c r="B4" s="40"/>
      <c r="C4" s="40"/>
      <c r="D4" s="40"/>
      <c r="E4" s="40"/>
      <c r="F4" s="40"/>
      <c r="G4" s="40"/>
    </row>
    <row r="5" spans="1:7" ht="15.95" customHeight="1">
      <c r="B5" s="522" t="s">
        <v>472</v>
      </c>
      <c r="C5" s="199"/>
      <c r="D5" s="200"/>
      <c r="E5" s="200"/>
      <c r="F5" s="200"/>
      <c r="G5" s="201"/>
    </row>
    <row r="6" spans="1:7" ht="15.95" customHeight="1">
      <c r="B6" s="410" t="s">
        <v>16</v>
      </c>
      <c r="C6" s="495"/>
      <c r="D6" s="496"/>
      <c r="E6" s="497"/>
      <c r="F6" s="498"/>
      <c r="G6" s="499"/>
    </row>
    <row r="7" spans="1:7" ht="15.95" customHeight="1">
      <c r="B7" s="404" t="s">
        <v>42</v>
      </c>
      <c r="C7" s="405"/>
      <c r="D7" s="406"/>
      <c r="E7" s="404" t="s">
        <v>549</v>
      </c>
      <c r="F7" s="405"/>
      <c r="G7" s="406"/>
    </row>
    <row r="8" spans="1:7" ht="15.95" customHeight="1">
      <c r="A8" s="102"/>
      <c r="B8" s="202"/>
      <c r="C8" s="203"/>
      <c r="D8" s="204" t="s">
        <v>60</v>
      </c>
      <c r="E8" s="205"/>
      <c r="F8" s="203"/>
      <c r="G8" s="204" t="s">
        <v>60</v>
      </c>
    </row>
    <row r="9" spans="1:7" ht="15.95" customHeight="1">
      <c r="A9" s="35" t="s">
        <v>81</v>
      </c>
      <c r="B9" s="54" t="s">
        <v>82</v>
      </c>
      <c r="C9" s="54" t="s">
        <v>83</v>
      </c>
      <c r="D9" s="54" t="s">
        <v>84</v>
      </c>
      <c r="E9" s="206" t="s">
        <v>82</v>
      </c>
      <c r="F9" s="54" t="s">
        <v>83</v>
      </c>
      <c r="G9" s="54" t="s">
        <v>84</v>
      </c>
    </row>
    <row r="10" spans="1:7" ht="5.0999999999999996" customHeight="1">
      <c r="A10" s="37"/>
      <c r="B10" s="66"/>
      <c r="C10" s="66"/>
      <c r="D10" s="66"/>
      <c r="E10" s="66"/>
      <c r="F10" s="66"/>
      <c r="G10" s="66"/>
    </row>
    <row r="11" spans="1:7" ht="14.1" customHeight="1">
      <c r="A11" s="360" t="s">
        <v>230</v>
      </c>
      <c r="B11" s="361">
        <v>135375</v>
      </c>
      <c r="C11" s="362">
        <f>B11/'- 3 -'!$D11*100</f>
        <v>0.80789877032883672</v>
      </c>
      <c r="D11" s="361">
        <f>B11/'- 7 -'!$F11</f>
        <v>88.393731635651321</v>
      </c>
      <c r="E11" s="361">
        <v>9620</v>
      </c>
      <c r="F11" s="362">
        <f>E11/'- 3 -'!$D11*100</f>
        <v>5.741079350370016E-2</v>
      </c>
      <c r="G11" s="361">
        <f>E11/'- 7 -'!$F11</f>
        <v>6.2814234410708458</v>
      </c>
    </row>
    <row r="12" spans="1:7" ht="14.1" customHeight="1">
      <c r="A12" s="23" t="s">
        <v>231</v>
      </c>
      <c r="B12" s="24">
        <v>392245</v>
      </c>
      <c r="C12" s="353">
        <f>B12/'- 3 -'!$D12*100</f>
        <v>1.2664339046096587</v>
      </c>
      <c r="D12" s="24">
        <f>B12/'- 7 -'!$F12</f>
        <v>172.18076467231461</v>
      </c>
      <c r="E12" s="24">
        <v>146380</v>
      </c>
      <c r="F12" s="353">
        <f>E12/'- 3 -'!$D12*100</f>
        <v>0.47261429707647473</v>
      </c>
      <c r="G12" s="24">
        <f>E12/'- 7 -'!$F12</f>
        <v>64.255300469689644</v>
      </c>
    </row>
    <row r="13" spans="1:7" ht="14.1" customHeight="1">
      <c r="A13" s="360" t="s">
        <v>232</v>
      </c>
      <c r="B13" s="361">
        <v>1065100</v>
      </c>
      <c r="C13" s="362">
        <f>B13/'- 3 -'!$D13*100</f>
        <v>1.2332413603053984</v>
      </c>
      <c r="D13" s="361">
        <f>B13/'- 7 -'!$F13</f>
        <v>131.75359319547303</v>
      </c>
      <c r="E13" s="361">
        <v>103900</v>
      </c>
      <c r="F13" s="362">
        <f>E13/'- 3 -'!$D13*100</f>
        <v>0.12030210997627534</v>
      </c>
      <c r="G13" s="361">
        <f>E13/'- 7 -'!$F13</f>
        <v>12.852500547375504</v>
      </c>
    </row>
    <row r="14" spans="1:7" ht="14.1" customHeight="1">
      <c r="A14" s="23" t="s">
        <v>578</v>
      </c>
      <c r="B14" s="24">
        <v>460830</v>
      </c>
      <c r="C14" s="353">
        <f>B14/'- 3 -'!$D14*100</f>
        <v>0.61470255995344147</v>
      </c>
      <c r="D14" s="24">
        <f>B14/'- 7 -'!$F14</f>
        <v>88.36625119846596</v>
      </c>
      <c r="E14" s="24">
        <v>51383</v>
      </c>
      <c r="F14" s="353">
        <f>E14/'- 3 -'!$D14*100</f>
        <v>6.8539942360713674E-2</v>
      </c>
      <c r="G14" s="24">
        <f>E14/'- 7 -'!$F14</f>
        <v>9.852924256951102</v>
      </c>
    </row>
    <row r="15" spans="1:7" ht="14.1" customHeight="1">
      <c r="A15" s="360" t="s">
        <v>233</v>
      </c>
      <c r="B15" s="361">
        <v>240018</v>
      </c>
      <c r="C15" s="362">
        <f>B15/'- 3 -'!$D15*100</f>
        <v>1.2282962260460539</v>
      </c>
      <c r="D15" s="361">
        <f>B15/'- 7 -'!$F15</f>
        <v>157.90657894736842</v>
      </c>
      <c r="E15" s="361">
        <v>5700</v>
      </c>
      <c r="F15" s="362">
        <f>E15/'- 3 -'!$D15*100</f>
        <v>2.9169847630021527E-2</v>
      </c>
      <c r="G15" s="361">
        <f>E15/'- 7 -'!$F15</f>
        <v>3.75</v>
      </c>
    </row>
    <row r="16" spans="1:7" ht="14.1" customHeight="1">
      <c r="A16" s="23" t="s">
        <v>234</v>
      </c>
      <c r="B16" s="24">
        <v>105295</v>
      </c>
      <c r="C16" s="353">
        <f>B16/'- 3 -'!$D16*100</f>
        <v>0.80404518841628181</v>
      </c>
      <c r="D16" s="24">
        <f>B16/'- 7 -'!$F16</f>
        <v>105.82412060301507</v>
      </c>
      <c r="E16" s="24">
        <v>91868</v>
      </c>
      <c r="F16" s="353">
        <f>E16/'- 3 -'!$D16*100</f>
        <v>0.70151501371790659</v>
      </c>
      <c r="G16" s="24">
        <f>E16/'- 7 -'!$F16</f>
        <v>92.32964824120603</v>
      </c>
    </row>
    <row r="17" spans="1:7" ht="14.1" customHeight="1">
      <c r="A17" s="360" t="s">
        <v>235</v>
      </c>
      <c r="B17" s="361">
        <v>131840</v>
      </c>
      <c r="C17" s="362">
        <f>B17/'- 3 -'!$D17*100</f>
        <v>0.79972465790600977</v>
      </c>
      <c r="D17" s="361">
        <f>B17/'- 7 -'!$F17</f>
        <v>101.3763936947328</v>
      </c>
      <c r="E17" s="361">
        <v>1500</v>
      </c>
      <c r="F17" s="362">
        <f>E17/'- 3 -'!$D17*100</f>
        <v>9.0988090629476239E-3</v>
      </c>
      <c r="G17" s="361">
        <f>E17/'- 7 -'!$F17</f>
        <v>1.1534025374855825</v>
      </c>
    </row>
    <row r="18" spans="1:7" ht="14.1" customHeight="1">
      <c r="A18" s="23" t="s">
        <v>236</v>
      </c>
      <c r="B18" s="24">
        <v>845860</v>
      </c>
      <c r="C18" s="353">
        <f>B18/'- 3 -'!$D18*100</f>
        <v>0.70969073698705731</v>
      </c>
      <c r="D18" s="24">
        <f>B18/'- 7 -'!$F18</f>
        <v>135.71760930605697</v>
      </c>
      <c r="E18" s="24">
        <v>1597306</v>
      </c>
      <c r="F18" s="353">
        <f>E18/'- 3 -'!$D18*100</f>
        <v>1.3401665433214109</v>
      </c>
      <c r="G18" s="24">
        <f>E18/'- 7 -'!$F18</f>
        <v>256.28656237464901</v>
      </c>
    </row>
    <row r="19" spans="1:7" ht="14.1" customHeight="1">
      <c r="A19" s="360" t="s">
        <v>237</v>
      </c>
      <c r="B19" s="361">
        <v>229100</v>
      </c>
      <c r="C19" s="362">
        <f>B19/'- 3 -'!$D19*100</f>
        <v>0.52777079957736872</v>
      </c>
      <c r="D19" s="361">
        <f>B19/'- 7 -'!$F19</f>
        <v>54.430981230696126</v>
      </c>
      <c r="E19" s="361">
        <v>174800</v>
      </c>
      <c r="F19" s="362">
        <f>E19/'- 3 -'!$D19*100</f>
        <v>0.40268151796649515</v>
      </c>
      <c r="G19" s="361">
        <f>E19/'- 7 -'!$F19</f>
        <v>41.530054644808743</v>
      </c>
    </row>
    <row r="20" spans="1:7" ht="14.1" customHeight="1">
      <c r="A20" s="23" t="s">
        <v>238</v>
      </c>
      <c r="B20" s="24">
        <v>550000</v>
      </c>
      <c r="C20" s="353">
        <f>B20/'- 3 -'!$D20*100</f>
        <v>0.77381739597783783</v>
      </c>
      <c r="D20" s="24">
        <f>B20/'- 7 -'!$F20</f>
        <v>72.949134557994569</v>
      </c>
      <c r="E20" s="24">
        <v>420800</v>
      </c>
      <c r="F20" s="353">
        <f>E20/'- 3 -'!$D20*100</f>
        <v>0.59204065495904401</v>
      </c>
      <c r="G20" s="24">
        <f>E20/'- 7 -'!$F20</f>
        <v>55.81271967637111</v>
      </c>
    </row>
    <row r="21" spans="1:7" ht="14.1" customHeight="1">
      <c r="A21" s="360" t="s">
        <v>239</v>
      </c>
      <c r="B21" s="361">
        <v>781998</v>
      </c>
      <c r="C21" s="362">
        <f>B21/'- 3 -'!$D21*100</f>
        <v>2.2967417287055301</v>
      </c>
      <c r="D21" s="361">
        <f>B21/'- 7 -'!$F21</f>
        <v>290.70557620817846</v>
      </c>
      <c r="E21" s="361">
        <v>104159</v>
      </c>
      <c r="F21" s="362">
        <f>E21/'- 3 -'!$D21*100</f>
        <v>0.3059167948258682</v>
      </c>
      <c r="G21" s="361">
        <f>E21/'- 7 -'!$F21</f>
        <v>38.720817843866172</v>
      </c>
    </row>
    <row r="22" spans="1:7" ht="14.1" customHeight="1">
      <c r="A22" s="23" t="s">
        <v>240</v>
      </c>
      <c r="B22" s="24">
        <v>102500</v>
      </c>
      <c r="C22" s="353">
        <f>B22/'- 3 -'!$D22*100</f>
        <v>0.51473906345211029</v>
      </c>
      <c r="D22" s="24">
        <f>B22/'- 7 -'!$F22</f>
        <v>63.310685608400249</v>
      </c>
      <c r="E22" s="24">
        <v>131740</v>
      </c>
      <c r="F22" s="353">
        <f>E22/'- 3 -'!$D22*100</f>
        <v>0.66157779726030252</v>
      </c>
      <c r="G22" s="24">
        <f>E22/'- 7 -'!$F22</f>
        <v>81.371216800494139</v>
      </c>
    </row>
    <row r="23" spans="1:7" ht="14.1" customHeight="1">
      <c r="A23" s="360" t="s">
        <v>241</v>
      </c>
      <c r="B23" s="361">
        <v>189000</v>
      </c>
      <c r="C23" s="362">
        <f>B23/'- 3 -'!$D23*100</f>
        <v>1.1794822509763492</v>
      </c>
      <c r="D23" s="361">
        <f>B23/'- 7 -'!$F23</f>
        <v>159.89847715736042</v>
      </c>
      <c r="E23" s="361">
        <v>7000</v>
      </c>
      <c r="F23" s="362">
        <f>E23/'- 3 -'!$D23*100</f>
        <v>4.3684527813938855E-2</v>
      </c>
      <c r="G23" s="361">
        <f>E23/'- 7 -'!$F23</f>
        <v>5.9221658206429781</v>
      </c>
    </row>
    <row r="24" spans="1:7" ht="14.1" customHeight="1">
      <c r="A24" s="23" t="s">
        <v>242</v>
      </c>
      <c r="B24" s="24">
        <v>573730</v>
      </c>
      <c r="C24" s="353">
        <f>B24/'- 3 -'!$D24*100</f>
        <v>1.087284149990368</v>
      </c>
      <c r="D24" s="24">
        <f>B24/'- 7 -'!$F24</f>
        <v>136.71631121172405</v>
      </c>
      <c r="E24" s="24">
        <v>83405</v>
      </c>
      <c r="F24" s="353">
        <f>E24/'- 3 -'!$D24*100</f>
        <v>0.15806204055905504</v>
      </c>
      <c r="G24" s="24">
        <f>E24/'- 7 -'!$F24</f>
        <v>19.87489574645538</v>
      </c>
    </row>
    <row r="25" spans="1:7" ht="14.1" customHeight="1">
      <c r="A25" s="360" t="s">
        <v>243</v>
      </c>
      <c r="B25" s="361">
        <v>1779740</v>
      </c>
      <c r="C25" s="362">
        <f>B25/'- 3 -'!$D25*100</f>
        <v>1.1493148001419289</v>
      </c>
      <c r="D25" s="361">
        <f>B25/'- 7 -'!$F25</f>
        <v>128.90128195842689</v>
      </c>
      <c r="E25" s="361">
        <v>200196</v>
      </c>
      <c r="F25" s="362">
        <f>E25/'- 3 -'!$D25*100</f>
        <v>0.12928193204019328</v>
      </c>
      <c r="G25" s="361">
        <f>E25/'- 7 -'!$F25</f>
        <v>14.499601651336279</v>
      </c>
    </row>
    <row r="26" spans="1:7" ht="14.1" customHeight="1">
      <c r="A26" s="23" t="s">
        <v>244</v>
      </c>
      <c r="B26" s="24">
        <v>265500</v>
      </c>
      <c r="C26" s="353">
        <f>B26/'- 3 -'!$D26*100</f>
        <v>0.69973456735411699</v>
      </c>
      <c r="D26" s="24">
        <f>B26/'- 7 -'!$F26</f>
        <v>85.964060223409419</v>
      </c>
      <c r="E26" s="24">
        <v>260908</v>
      </c>
      <c r="F26" s="353">
        <f>E26/'- 3 -'!$D26*100</f>
        <v>0.68763219020424848</v>
      </c>
      <c r="G26" s="24">
        <f>E26/'- 7 -'!$F26</f>
        <v>84.477254330581189</v>
      </c>
    </row>
    <row r="27" spans="1:7" ht="14.1" customHeight="1">
      <c r="A27" s="360" t="s">
        <v>245</v>
      </c>
      <c r="B27" s="361">
        <v>246450</v>
      </c>
      <c r="C27" s="362">
        <f>B27/'- 3 -'!$D27*100</f>
        <v>0.64050593861668648</v>
      </c>
      <c r="D27" s="361">
        <f>B27/'- 7 -'!$F27</f>
        <v>89.585605234460189</v>
      </c>
      <c r="E27" s="361">
        <v>4000</v>
      </c>
      <c r="F27" s="362">
        <f>E27/'- 3 -'!$D27*100</f>
        <v>1.0395714158923701E-2</v>
      </c>
      <c r="G27" s="361">
        <f>E27/'- 7 -'!$F27</f>
        <v>1.4540167211922936</v>
      </c>
    </row>
    <row r="28" spans="1:7" ht="14.1" customHeight="1">
      <c r="A28" s="23" t="s">
        <v>246</v>
      </c>
      <c r="B28" s="24">
        <v>285244</v>
      </c>
      <c r="C28" s="353">
        <f>B28/'- 3 -'!$D28*100</f>
        <v>1.0940183685424807</v>
      </c>
      <c r="D28" s="24">
        <f>B28/'- 7 -'!$F28</f>
        <v>144.42734177215189</v>
      </c>
      <c r="E28" s="24">
        <v>0</v>
      </c>
      <c r="F28" s="353">
        <f>E28/'- 3 -'!$D28*100</f>
        <v>0</v>
      </c>
      <c r="G28" s="24">
        <f>E28/'- 7 -'!$F28</f>
        <v>0</v>
      </c>
    </row>
    <row r="29" spans="1:7" ht="14.1" customHeight="1">
      <c r="A29" s="360" t="s">
        <v>247</v>
      </c>
      <c r="B29" s="361">
        <v>1482416</v>
      </c>
      <c r="C29" s="362">
        <f>B29/'- 3 -'!$D29*100</f>
        <v>1.0438304564709899</v>
      </c>
      <c r="D29" s="361">
        <f>B29/'- 7 -'!$F29</f>
        <v>122.64041365046536</v>
      </c>
      <c r="E29" s="361">
        <v>429313</v>
      </c>
      <c r="F29" s="362">
        <f>E29/'- 3 -'!$D29*100</f>
        <v>0.30229705073267565</v>
      </c>
      <c r="G29" s="361">
        <f>E29/'- 7 -'!$F29</f>
        <v>35.517104446742501</v>
      </c>
    </row>
    <row r="30" spans="1:7" ht="14.1" customHeight="1">
      <c r="A30" s="23" t="s">
        <v>248</v>
      </c>
      <c r="B30" s="24">
        <v>110735</v>
      </c>
      <c r="C30" s="353">
        <f>B30/'- 3 -'!$D30*100</f>
        <v>0.82298614765709999</v>
      </c>
      <c r="D30" s="24">
        <f>B30/'- 7 -'!$F30</f>
        <v>103.49065420560747</v>
      </c>
      <c r="E30" s="24">
        <v>4440</v>
      </c>
      <c r="F30" s="353">
        <f>E30/'- 3 -'!$D30*100</f>
        <v>3.2998225453537942E-2</v>
      </c>
      <c r="G30" s="24">
        <f>E30/'- 7 -'!$F30</f>
        <v>4.1495327102803738</v>
      </c>
    </row>
    <row r="31" spans="1:7" ht="14.1" customHeight="1">
      <c r="A31" s="360" t="s">
        <v>249</v>
      </c>
      <c r="B31" s="361">
        <v>220877</v>
      </c>
      <c r="C31" s="362">
        <f>B31/'- 3 -'!$D31*100</f>
        <v>0.65687676609775136</v>
      </c>
      <c r="D31" s="361">
        <f>B31/'- 7 -'!$F31</f>
        <v>69.240438871473359</v>
      </c>
      <c r="E31" s="361">
        <v>428159</v>
      </c>
      <c r="F31" s="362">
        <f>E31/'- 3 -'!$D31*100</f>
        <v>1.2733227058301548</v>
      </c>
      <c r="G31" s="361">
        <f>E31/'- 7 -'!$F31</f>
        <v>134.2191222570533</v>
      </c>
    </row>
    <row r="32" spans="1:7" ht="14.1" customHeight="1">
      <c r="A32" s="23" t="s">
        <v>250</v>
      </c>
      <c r="B32" s="24">
        <v>306500</v>
      </c>
      <c r="C32" s="353">
        <f>B32/'- 3 -'!$D32*100</f>
        <v>1.1999271195978518</v>
      </c>
      <c r="D32" s="24">
        <f>B32/'- 7 -'!$F32</f>
        <v>149.84111464189684</v>
      </c>
      <c r="E32" s="24">
        <v>3700</v>
      </c>
      <c r="F32" s="353">
        <f>E32/'- 3 -'!$D32*100</f>
        <v>1.4485253972306857E-2</v>
      </c>
      <c r="G32" s="24">
        <f>E32/'- 7 -'!$F32</f>
        <v>1.8088486922512832</v>
      </c>
    </row>
    <row r="33" spans="1:7" ht="14.1" customHeight="1">
      <c r="A33" s="360" t="s">
        <v>251</v>
      </c>
      <c r="B33" s="361">
        <v>246000</v>
      </c>
      <c r="C33" s="362">
        <f>B33/'- 3 -'!$D33*100</f>
        <v>0.93666827854839252</v>
      </c>
      <c r="D33" s="361">
        <f>B33/'- 7 -'!$F33</f>
        <v>121.42152023692005</v>
      </c>
      <c r="E33" s="361">
        <v>0</v>
      </c>
      <c r="F33" s="362">
        <f>E33/'- 3 -'!$D33*100</f>
        <v>0</v>
      </c>
      <c r="G33" s="361">
        <f>E33/'- 7 -'!$F33</f>
        <v>0</v>
      </c>
    </row>
    <row r="34" spans="1:7" ht="14.1" customHeight="1">
      <c r="A34" s="23" t="s">
        <v>252</v>
      </c>
      <c r="B34" s="24">
        <v>180945</v>
      </c>
      <c r="C34" s="353">
        <f>B34/'- 3 -'!$D34*100</f>
        <v>0.70839074934739732</v>
      </c>
      <c r="D34" s="24">
        <f>B34/'- 7 -'!$F34</f>
        <v>89.827092341526139</v>
      </c>
      <c r="E34" s="24">
        <v>10000</v>
      </c>
      <c r="F34" s="353">
        <f>E34/'- 3 -'!$D34*100</f>
        <v>3.9149506720130282E-2</v>
      </c>
      <c r="G34" s="24">
        <f>E34/'- 7 -'!$F34</f>
        <v>4.964331279754961</v>
      </c>
    </row>
    <row r="35" spans="1:7" ht="14.1" customHeight="1">
      <c r="A35" s="360" t="s">
        <v>253</v>
      </c>
      <c r="B35" s="361">
        <v>1933072</v>
      </c>
      <c r="C35" s="362">
        <f>B35/'- 3 -'!$D35*100</f>
        <v>1.1537445111291493</v>
      </c>
      <c r="D35" s="361">
        <f>B35/'- 7 -'!$F35</f>
        <v>122.45871210921415</v>
      </c>
      <c r="E35" s="361">
        <v>410000</v>
      </c>
      <c r="F35" s="362">
        <f>E35/'- 3 -'!$D35*100</f>
        <v>0.24470648251226609</v>
      </c>
      <c r="G35" s="361">
        <f>E35/'- 7 -'!$F35</f>
        <v>25.9732032561528</v>
      </c>
    </row>
    <row r="36" spans="1:7" ht="14.1" customHeight="1">
      <c r="A36" s="23" t="s">
        <v>254</v>
      </c>
      <c r="B36" s="24">
        <v>196200</v>
      </c>
      <c r="C36" s="353">
        <f>B36/'- 3 -'!$D36*100</f>
        <v>0.90966456003438356</v>
      </c>
      <c r="D36" s="24">
        <f>B36/'- 7 -'!$F36</f>
        <v>116.89008042895442</v>
      </c>
      <c r="E36" s="24">
        <v>10400</v>
      </c>
      <c r="F36" s="353">
        <f>E36/'- 3 -'!$D36*100</f>
        <v>4.8218712662373035E-2</v>
      </c>
      <c r="G36" s="24">
        <f>E36/'- 7 -'!$F36</f>
        <v>6.1960083407804589</v>
      </c>
    </row>
    <row r="37" spans="1:7" ht="14.1" customHeight="1">
      <c r="A37" s="360" t="s">
        <v>255</v>
      </c>
      <c r="B37" s="361">
        <v>344118</v>
      </c>
      <c r="C37" s="362">
        <f>B37/'- 3 -'!$D37*100</f>
        <v>0.82591524551152584</v>
      </c>
      <c r="D37" s="361">
        <f>B37/'- 7 -'!$F37</f>
        <v>92.293951991417458</v>
      </c>
      <c r="E37" s="361">
        <v>35910</v>
      </c>
      <c r="F37" s="362">
        <f>E37/'- 3 -'!$D37*100</f>
        <v>8.6187344068949873E-2</v>
      </c>
      <c r="G37" s="361">
        <f>E37/'- 7 -'!$F37</f>
        <v>9.6312189888695183</v>
      </c>
    </row>
    <row r="38" spans="1:7" ht="14.1" customHeight="1">
      <c r="A38" s="23" t="s">
        <v>256</v>
      </c>
      <c r="B38" s="24">
        <v>1089351</v>
      </c>
      <c r="C38" s="353">
        <f>B38/'- 3 -'!$D38*100</f>
        <v>0.92870492266440319</v>
      </c>
      <c r="D38" s="24">
        <f>B38/'- 7 -'!$F38</f>
        <v>103.23644806671722</v>
      </c>
      <c r="E38" s="24">
        <v>1649390</v>
      </c>
      <c r="F38" s="353">
        <f>E38/'- 3 -'!$D38*100</f>
        <v>1.4061552359096747</v>
      </c>
      <c r="G38" s="24">
        <f>E38/'- 7 -'!$F38</f>
        <v>156.31065200909779</v>
      </c>
    </row>
    <row r="39" spans="1:7" ht="14.1" customHeight="1">
      <c r="A39" s="360" t="s">
        <v>257</v>
      </c>
      <c r="B39" s="361">
        <v>317446</v>
      </c>
      <c r="C39" s="362">
        <f>B39/'- 3 -'!$D39*100</f>
        <v>1.5448265202924487</v>
      </c>
      <c r="D39" s="361">
        <f>B39/'- 7 -'!$F39</f>
        <v>200.53442830069488</v>
      </c>
      <c r="E39" s="361">
        <v>13000</v>
      </c>
      <c r="F39" s="362">
        <f>E39/'- 3 -'!$D39*100</f>
        <v>6.3263499189789241E-2</v>
      </c>
      <c r="G39" s="361">
        <f>E39/'- 7 -'!$F39</f>
        <v>8.2122552116234999</v>
      </c>
    </row>
    <row r="40" spans="1:7" ht="14.1" customHeight="1">
      <c r="A40" s="23" t="s">
        <v>258</v>
      </c>
      <c r="B40" s="24">
        <v>708595</v>
      </c>
      <c r="C40" s="353">
        <f>B40/'- 3 -'!$D40*100</f>
        <v>0.72883920870749097</v>
      </c>
      <c r="D40" s="24">
        <f>B40/'- 7 -'!$F40</f>
        <v>88.766332193368171</v>
      </c>
      <c r="E40" s="24">
        <v>305865</v>
      </c>
      <c r="F40" s="353">
        <f>E40/'- 3 -'!$D40*100</f>
        <v>0.31460341178150664</v>
      </c>
      <c r="G40" s="24">
        <f>E40/'- 7 -'!$F40</f>
        <v>38.315983313916348</v>
      </c>
    </row>
    <row r="41" spans="1:7" ht="14.1" customHeight="1">
      <c r="A41" s="360" t="s">
        <v>259</v>
      </c>
      <c r="B41" s="361">
        <v>780667</v>
      </c>
      <c r="C41" s="362">
        <f>B41/'- 3 -'!$D41*100</f>
        <v>1.3534634056187662</v>
      </c>
      <c r="D41" s="361">
        <f>B41/'- 7 -'!$F41</f>
        <v>175.5491342478075</v>
      </c>
      <c r="E41" s="361">
        <v>17700</v>
      </c>
      <c r="F41" s="362">
        <f>E41/'- 3 -'!$D41*100</f>
        <v>3.068696675977358E-2</v>
      </c>
      <c r="G41" s="361">
        <f>E41/'- 7 -'!$F41</f>
        <v>3.9802113784573869</v>
      </c>
    </row>
    <row r="42" spans="1:7" ht="14.1" customHeight="1">
      <c r="A42" s="23" t="s">
        <v>260</v>
      </c>
      <c r="B42" s="24">
        <v>128464</v>
      </c>
      <c r="C42" s="353">
        <f>B42/'- 3 -'!$D42*100</f>
        <v>0.63672822092740455</v>
      </c>
      <c r="D42" s="24">
        <f>B42/'- 7 -'!$F42</f>
        <v>91.825589706933528</v>
      </c>
      <c r="E42" s="24">
        <v>2500</v>
      </c>
      <c r="F42" s="353">
        <f>E42/'- 3 -'!$D42*100</f>
        <v>1.2391180037352964E-2</v>
      </c>
      <c r="G42" s="24">
        <f>E42/'- 7 -'!$F42</f>
        <v>1.7869907076483202</v>
      </c>
    </row>
    <row r="43" spans="1:7" ht="14.1" customHeight="1">
      <c r="A43" s="360" t="s">
        <v>261</v>
      </c>
      <c r="B43" s="361">
        <v>160249</v>
      </c>
      <c r="C43" s="362">
        <f>B43/'- 3 -'!$D43*100</f>
        <v>1.3403262135987293</v>
      </c>
      <c r="D43" s="361">
        <f>B43/'- 7 -'!$F43</f>
        <v>165.97514241325737</v>
      </c>
      <c r="E43" s="361">
        <v>12750</v>
      </c>
      <c r="F43" s="362">
        <f>E43/'- 3 -'!$D43*100</f>
        <v>0.10664128464691698</v>
      </c>
      <c r="G43" s="361">
        <f>E43/'- 7 -'!$F43</f>
        <v>13.205592957017089</v>
      </c>
    </row>
    <row r="44" spans="1:7" ht="14.1" customHeight="1">
      <c r="A44" s="23" t="s">
        <v>262</v>
      </c>
      <c r="B44" s="24">
        <v>47821</v>
      </c>
      <c r="C44" s="353">
        <f>B44/'- 3 -'!$D44*100</f>
        <v>0.45377180196491795</v>
      </c>
      <c r="D44" s="24">
        <f>B44/'- 7 -'!$F44</f>
        <v>63.507304116865868</v>
      </c>
      <c r="E44" s="24">
        <v>0</v>
      </c>
      <c r="F44" s="353">
        <f>E44/'- 3 -'!$D44*100</f>
        <v>0</v>
      </c>
      <c r="G44" s="24">
        <f>E44/'- 7 -'!$F44</f>
        <v>0</v>
      </c>
    </row>
    <row r="45" spans="1:7" ht="14.1" customHeight="1">
      <c r="A45" s="360" t="s">
        <v>263</v>
      </c>
      <c r="B45" s="361">
        <v>91039</v>
      </c>
      <c r="C45" s="362">
        <f>B45/'- 3 -'!$D45*100</f>
        <v>0.5376702887363688</v>
      </c>
      <c r="D45" s="361">
        <f>B45/'- 7 -'!$F45</f>
        <v>54.02908011869436</v>
      </c>
      <c r="E45" s="361">
        <v>182234</v>
      </c>
      <c r="F45" s="362">
        <f>E45/'- 3 -'!$D45*100</f>
        <v>1.076261903113868</v>
      </c>
      <c r="G45" s="361">
        <f>E45/'- 7 -'!$F45</f>
        <v>108.15074183976262</v>
      </c>
    </row>
    <row r="46" spans="1:7" ht="14.1" customHeight="1">
      <c r="A46" s="23" t="s">
        <v>264</v>
      </c>
      <c r="B46" s="24">
        <v>3154500</v>
      </c>
      <c r="C46" s="353">
        <f>B46/'- 3 -'!$D46*100</f>
        <v>0.8746508467019467</v>
      </c>
      <c r="D46" s="24">
        <f>B46/'- 7 -'!$F46</f>
        <v>103.97165458141068</v>
      </c>
      <c r="E46" s="24">
        <v>2921100</v>
      </c>
      <c r="F46" s="353">
        <f>E46/'- 3 -'!$D46*100</f>
        <v>0.80993583398353342</v>
      </c>
      <c r="G46" s="24">
        <f>E46/'- 7 -'!$F46</f>
        <v>96.278839815425187</v>
      </c>
    </row>
    <row r="47" spans="1:7" ht="5.0999999999999996" customHeight="1">
      <c r="A47"/>
      <c r="B47"/>
      <c r="C47"/>
      <c r="D47"/>
      <c r="E47"/>
      <c r="F47"/>
      <c r="G47"/>
    </row>
    <row r="48" spans="1:7" ht="14.1" customHeight="1">
      <c r="A48" s="363" t="s">
        <v>265</v>
      </c>
      <c r="B48" s="364">
        <f>SUM(B11:B46)</f>
        <v>19878820</v>
      </c>
      <c r="C48" s="365">
        <f>B48/'- 3 -'!$D48*100</f>
        <v>0.95470623091174467</v>
      </c>
      <c r="D48" s="364">
        <f>B48/'- 7 -'!$F48</f>
        <v>114.54417011625655</v>
      </c>
      <c r="E48" s="364">
        <f>SUM(E11:E46)</f>
        <v>9831126</v>
      </c>
      <c r="F48" s="365">
        <f>E48/'- 3 -'!$D48*100</f>
        <v>0.47215263527103002</v>
      </c>
      <c r="G48" s="364">
        <f>E48/'- 7 -'!$F48</f>
        <v>56.648139526307538</v>
      </c>
    </row>
    <row r="49" spans="1:7" ht="5.0999999999999996" customHeight="1">
      <c r="A49" s="25" t="s">
        <v>3</v>
      </c>
      <c r="B49" s="26"/>
      <c r="C49" s="351"/>
      <c r="D49" s="26"/>
      <c r="E49" s="26"/>
      <c r="F49" s="351"/>
    </row>
    <row r="50" spans="1:7" ht="14.1" customHeight="1">
      <c r="A50" s="23" t="s">
        <v>266</v>
      </c>
      <c r="B50" s="24">
        <v>33700</v>
      </c>
      <c r="C50" s="353">
        <f>B50/'- 3 -'!$D50*100</f>
        <v>1.0268908274881305</v>
      </c>
      <c r="D50" s="24">
        <f>B50/'- 7 -'!$F50</f>
        <v>201.79640718562874</v>
      </c>
      <c r="E50" s="24">
        <v>13646</v>
      </c>
      <c r="F50" s="353">
        <f>E50/'- 3 -'!$D50*100</f>
        <v>0.41581460628792372</v>
      </c>
      <c r="G50" s="24">
        <f>E50/'- 7 -'!$F50</f>
        <v>81.712574850299404</v>
      </c>
    </row>
    <row r="51" spans="1:7" ht="14.1" customHeight="1">
      <c r="A51" s="360" t="s">
        <v>267</v>
      </c>
      <c r="B51" s="361">
        <v>58050</v>
      </c>
      <c r="C51" s="362">
        <f>B51/'- 3 -'!$D51*100</f>
        <v>0.27929692424081759</v>
      </c>
      <c r="D51" s="361">
        <f>B51/'- 7 -'!$F51</f>
        <v>93.478260869565219</v>
      </c>
      <c r="E51" s="361">
        <v>53200</v>
      </c>
      <c r="F51" s="362">
        <f>E51/'- 3 -'!$D51*100</f>
        <v>0.2559620390975279</v>
      </c>
      <c r="G51" s="361">
        <f>E51/'- 7 -'!$F51</f>
        <v>85.668276972624795</v>
      </c>
    </row>
    <row r="52" spans="1:7" ht="50.1" customHeight="1">
      <c r="A52" s="27"/>
      <c r="B52" s="71"/>
      <c r="C52" s="71"/>
      <c r="D52" s="71"/>
      <c r="E52" s="71"/>
      <c r="F52" s="71"/>
      <c r="G52" s="71"/>
    </row>
    <row r="53" spans="1:7" ht="15" customHeight="1">
      <c r="A53" s="160" t="s">
        <v>627</v>
      </c>
      <c r="C53" s="66"/>
      <c r="D53" s="66"/>
      <c r="E53" s="66"/>
      <c r="F53" s="66"/>
      <c r="G53" s="66"/>
    </row>
    <row r="54" spans="1:7">
      <c r="A54" s="1" t="s">
        <v>628</v>
      </c>
    </row>
    <row r="56" spans="1:7" ht="14.45" customHeight="1"/>
    <row r="57" spans="1:7" ht="14.45" customHeight="1"/>
    <row r="58" spans="1:7" ht="14.45" customHeight="1"/>
    <row r="59" spans="1:7" ht="14.45" customHeight="1"/>
  </sheetData>
  <phoneticPr fontId="0" type="noConversion"/>
  <printOptions horizontalCentered="1"/>
  <pageMargins left="0.51181102362204722" right="0.51181102362204722" top="0.59055118110236227" bottom="0" header="0.31496062992125984" footer="0"/>
  <pageSetup scale="91" orientation="portrait" r:id="rId1"/>
  <headerFooter alignWithMargins="0">
    <oddHeader>&amp;C&amp;"Arial,Bold"&amp;10&amp;A</oddHeader>
  </headerFooter>
</worksheet>
</file>

<file path=xl/worksheets/sheet26.xml><?xml version="1.0" encoding="utf-8"?>
<worksheet xmlns="http://schemas.openxmlformats.org/spreadsheetml/2006/main" xmlns:r="http://schemas.openxmlformats.org/officeDocument/2006/relationships">
  <sheetPr codeName="Sheet27">
    <pageSetUpPr fitToPage="1"/>
  </sheetPr>
  <dimension ref="A1:J66"/>
  <sheetViews>
    <sheetView showGridLines="0" showZeros="0" workbookViewId="0"/>
  </sheetViews>
  <sheetFormatPr defaultColWidth="15.83203125" defaultRowHeight="12"/>
  <cols>
    <col min="1" max="1" width="33.83203125" style="1" customWidth="1"/>
    <col min="2" max="2" width="16.83203125" style="1" customWidth="1"/>
    <col min="3" max="3" width="12.83203125" style="1" customWidth="1"/>
    <col min="4" max="4" width="16.83203125" style="1" customWidth="1"/>
    <col min="5" max="5" width="12.5" style="1" customWidth="1"/>
    <col min="6" max="6" width="17.83203125" style="1" customWidth="1"/>
    <col min="7" max="7" width="13.5" style="1" customWidth="1"/>
    <col min="8" max="16384" width="15.83203125" style="1"/>
  </cols>
  <sheetData>
    <row r="1" spans="1:10" ht="6.95" customHeight="1">
      <c r="A1" s="3"/>
      <c r="B1" s="4"/>
      <c r="C1" s="4"/>
      <c r="D1" s="4"/>
      <c r="E1" s="4"/>
      <c r="F1" s="4"/>
      <c r="G1" s="4"/>
    </row>
    <row r="2" spans="1:10" ht="15.95" customHeight="1">
      <c r="A2" s="161"/>
      <c r="B2" s="5" t="s">
        <v>483</v>
      </c>
      <c r="C2" s="6"/>
      <c r="D2" s="6"/>
      <c r="E2" s="6"/>
      <c r="F2" s="106"/>
      <c r="G2" s="184" t="s">
        <v>433</v>
      </c>
    </row>
    <row r="3" spans="1:10" ht="15.95" customHeight="1">
      <c r="A3" s="164"/>
      <c r="B3" s="7" t="str">
        <f>OPYEAR</f>
        <v>OPERATING FUND 2013/2014 BUDGET</v>
      </c>
      <c r="C3" s="8"/>
      <c r="D3" s="8"/>
      <c r="E3" s="8"/>
      <c r="F3" s="108"/>
      <c r="G3" s="101"/>
    </row>
    <row r="4" spans="1:10" ht="15.95" customHeight="1">
      <c r="B4" s="4"/>
      <c r="C4" s="4"/>
      <c r="D4" s="4"/>
      <c r="E4" s="4"/>
      <c r="F4" s="4"/>
      <c r="G4" s="4"/>
    </row>
    <row r="5" spans="1:10" ht="15.95" customHeight="1">
      <c r="B5" s="4"/>
      <c r="C5" s="4"/>
      <c r="D5" s="4"/>
      <c r="E5" s="4"/>
      <c r="F5" s="4"/>
      <c r="G5" s="4"/>
    </row>
    <row r="6" spans="1:10" ht="15.95" customHeight="1">
      <c r="B6" s="185" t="s">
        <v>19</v>
      </c>
      <c r="C6" s="186"/>
      <c r="D6" s="187"/>
      <c r="E6" s="187"/>
      <c r="F6" s="187"/>
      <c r="G6" s="188"/>
    </row>
    <row r="7" spans="1:10" ht="15.95" customHeight="1">
      <c r="B7" s="366"/>
      <c r="C7" s="356"/>
      <c r="D7" s="354"/>
      <c r="E7" s="356"/>
      <c r="F7" s="354" t="s">
        <v>45</v>
      </c>
      <c r="G7" s="356"/>
    </row>
    <row r="8" spans="1:10" ht="15.95" customHeight="1">
      <c r="A8" s="102"/>
      <c r="B8" s="358" t="s">
        <v>30</v>
      </c>
      <c r="C8" s="359"/>
      <c r="D8" s="357" t="s">
        <v>62</v>
      </c>
      <c r="E8" s="359"/>
      <c r="F8" s="357" t="s">
        <v>63</v>
      </c>
      <c r="G8" s="359"/>
    </row>
    <row r="9" spans="1:10" ht="15.95" customHeight="1">
      <c r="A9" s="35" t="s">
        <v>81</v>
      </c>
      <c r="B9" s="189" t="s">
        <v>82</v>
      </c>
      <c r="C9" s="189" t="s">
        <v>83</v>
      </c>
      <c r="D9" s="189" t="s">
        <v>82</v>
      </c>
      <c r="E9" s="189" t="s">
        <v>83</v>
      </c>
      <c r="F9" s="189" t="s">
        <v>82</v>
      </c>
      <c r="G9" s="189" t="s">
        <v>83</v>
      </c>
    </row>
    <row r="10" spans="1:10" ht="5.0999999999999996" customHeight="1">
      <c r="A10" s="37"/>
    </row>
    <row r="11" spans="1:10" ht="14.1" customHeight="1">
      <c r="A11" s="360" t="s">
        <v>230</v>
      </c>
      <c r="B11" s="361">
        <v>58150</v>
      </c>
      <c r="C11" s="362">
        <f>B11/'- 3 -'!$D11*100</f>
        <v>0.34703093994180501</v>
      </c>
      <c r="D11" s="361">
        <v>993870</v>
      </c>
      <c r="E11" s="362">
        <f>D11/'- 3 -'!$D11*100</f>
        <v>5.9312749833183451</v>
      </c>
      <c r="F11" s="361">
        <v>7000</v>
      </c>
      <c r="G11" s="362">
        <f>F11/'- 3 -'!$D11*100</f>
        <v>4.1775005667973091E-2</v>
      </c>
      <c r="J11" s="1">
        <f>+H11-I11</f>
        <v>0</v>
      </c>
    </row>
    <row r="12" spans="1:10" ht="14.1" customHeight="1">
      <c r="A12" s="23" t="s">
        <v>231</v>
      </c>
      <c r="B12" s="24">
        <v>84220</v>
      </c>
      <c r="C12" s="353">
        <f>B12/'- 3 -'!$D12*100</f>
        <v>0.27191949788072622</v>
      </c>
      <c r="D12" s="24">
        <v>2072540</v>
      </c>
      <c r="E12" s="353">
        <f>D12/'- 3 -'!$D12*100</f>
        <v>6.6915701274960853</v>
      </c>
      <c r="F12" s="24">
        <v>0</v>
      </c>
      <c r="G12" s="353">
        <f>F12/'- 3 -'!$D12*100</f>
        <v>0</v>
      </c>
      <c r="J12" s="1">
        <f t="shared" ref="J12:J48" si="0">+H12-I12</f>
        <v>0</v>
      </c>
    </row>
    <row r="13" spans="1:10" ht="14.1" customHeight="1">
      <c r="A13" s="360" t="s">
        <v>232</v>
      </c>
      <c r="B13" s="361">
        <v>180800</v>
      </c>
      <c r="C13" s="362">
        <f>B13/'- 3 -'!$D13*100</f>
        <v>0.20934188146015964</v>
      </c>
      <c r="D13" s="361">
        <v>1777200</v>
      </c>
      <c r="E13" s="362">
        <f>D13/'- 3 -'!$D13*100</f>
        <v>2.0577565914324984</v>
      </c>
      <c r="F13" s="361">
        <v>0</v>
      </c>
      <c r="G13" s="362">
        <f>F13/'- 3 -'!$D13*100</f>
        <v>0</v>
      </c>
      <c r="J13" s="1">
        <f t="shared" si="0"/>
        <v>0</v>
      </c>
    </row>
    <row r="14" spans="1:10" ht="14.1" customHeight="1">
      <c r="A14" s="23" t="s">
        <v>578</v>
      </c>
      <c r="B14" s="24">
        <v>268688</v>
      </c>
      <c r="C14" s="353">
        <f>B14/'- 3 -'!$D14*100</f>
        <v>0.35840375285630338</v>
      </c>
      <c r="D14" s="24">
        <v>7355225</v>
      </c>
      <c r="E14" s="353">
        <f>D14/'- 3 -'!$D14*100</f>
        <v>9.8111573390047333</v>
      </c>
      <c r="F14" s="24">
        <v>360920</v>
      </c>
      <c r="G14" s="353">
        <f>F14/'- 3 -'!$D14*100</f>
        <v>0.48143230245078683</v>
      </c>
      <c r="J14" s="1">
        <f t="shared" si="0"/>
        <v>0</v>
      </c>
    </row>
    <row r="15" spans="1:10" ht="14.1" customHeight="1">
      <c r="A15" s="360" t="s">
        <v>233</v>
      </c>
      <c r="B15" s="361">
        <v>72505</v>
      </c>
      <c r="C15" s="362">
        <f>B15/'- 3 -'!$D15*100</f>
        <v>0.37104557937100185</v>
      </c>
      <c r="D15" s="361">
        <v>1183750</v>
      </c>
      <c r="E15" s="362">
        <f>D15/'- 3 -'!$D15*100</f>
        <v>6.0578609003575403</v>
      </c>
      <c r="F15" s="361">
        <v>9000</v>
      </c>
      <c r="G15" s="362">
        <f>F15/'- 3 -'!$D15*100</f>
        <v>4.6057654152665571E-2</v>
      </c>
      <c r="J15" s="1">
        <f t="shared" si="0"/>
        <v>0</v>
      </c>
    </row>
    <row r="16" spans="1:10" ht="14.1" customHeight="1">
      <c r="A16" s="23" t="s">
        <v>234</v>
      </c>
      <c r="B16" s="24">
        <v>0</v>
      </c>
      <c r="C16" s="353">
        <f>B16/'- 3 -'!$D16*100</f>
        <v>0</v>
      </c>
      <c r="D16" s="24">
        <v>286403</v>
      </c>
      <c r="E16" s="353">
        <f>D16/'- 3 -'!$D16*100</f>
        <v>2.1870074941639048</v>
      </c>
      <c r="F16" s="24">
        <v>0</v>
      </c>
      <c r="G16" s="353">
        <f>F16/'- 3 -'!$D16*100</f>
        <v>0</v>
      </c>
      <c r="J16" s="1">
        <f t="shared" si="0"/>
        <v>0</v>
      </c>
    </row>
    <row r="17" spans="1:10" ht="14.1" customHeight="1">
      <c r="A17" s="360" t="s">
        <v>235</v>
      </c>
      <c r="B17" s="361">
        <v>52700</v>
      </c>
      <c r="C17" s="362">
        <f>B17/'- 3 -'!$D17*100</f>
        <v>0.31967149174489318</v>
      </c>
      <c r="D17" s="361">
        <v>1248890</v>
      </c>
      <c r="E17" s="362">
        <f>D17/'- 3 -'!$D17*100</f>
        <v>7.5756077670831052</v>
      </c>
      <c r="F17" s="361">
        <v>1500</v>
      </c>
      <c r="G17" s="362">
        <f>F17/'- 3 -'!$D17*100</f>
        <v>9.0988090629476239E-3</v>
      </c>
      <c r="J17" s="1">
        <f t="shared" si="0"/>
        <v>0</v>
      </c>
    </row>
    <row r="18" spans="1:10" ht="14.1" customHeight="1">
      <c r="A18" s="23" t="s">
        <v>236</v>
      </c>
      <c r="B18" s="24">
        <v>309512</v>
      </c>
      <c r="C18" s="353">
        <f>B18/'- 3 -'!$D18*100</f>
        <v>0.25968576287605288</v>
      </c>
      <c r="D18" s="24">
        <v>6535630</v>
      </c>
      <c r="E18" s="353">
        <f>D18/'- 3 -'!$D18*100</f>
        <v>5.4835032645765507</v>
      </c>
      <c r="F18" s="24">
        <v>111052</v>
      </c>
      <c r="G18" s="353">
        <f>F18/'- 3 -'!$D18*100</f>
        <v>9.3174491906328108E-2</v>
      </c>
      <c r="J18" s="1">
        <f t="shared" si="0"/>
        <v>0</v>
      </c>
    </row>
    <row r="19" spans="1:10" ht="14.1" customHeight="1">
      <c r="A19" s="360" t="s">
        <v>237</v>
      </c>
      <c r="B19" s="361">
        <v>148200</v>
      </c>
      <c r="C19" s="362">
        <f>B19/'- 3 -'!$D19*100</f>
        <v>0.34140389566724594</v>
      </c>
      <c r="D19" s="361">
        <v>2329000</v>
      </c>
      <c r="E19" s="362">
        <f>D19/'- 3 -'!$D19*100</f>
        <v>5.3652474562011863</v>
      </c>
      <c r="F19" s="361">
        <v>30000</v>
      </c>
      <c r="G19" s="362">
        <f>F19/'- 3 -'!$D19*100</f>
        <v>6.9110100337499175E-2</v>
      </c>
      <c r="J19" s="1">
        <f t="shared" si="0"/>
        <v>0</v>
      </c>
    </row>
    <row r="20" spans="1:10" ht="14.1" customHeight="1">
      <c r="A20" s="23" t="s">
        <v>238</v>
      </c>
      <c r="B20" s="24">
        <v>234200</v>
      </c>
      <c r="C20" s="353">
        <f>B20/'- 3 -'!$D20*100</f>
        <v>0.32950551661456295</v>
      </c>
      <c r="D20" s="24">
        <v>3277900</v>
      </c>
      <c r="E20" s="353">
        <f>D20/'- 3 -'!$D20*100</f>
        <v>4.611810985955918</v>
      </c>
      <c r="F20" s="24">
        <v>3000</v>
      </c>
      <c r="G20" s="353">
        <f>F20/'- 3 -'!$D20*100</f>
        <v>4.220822159879116E-3</v>
      </c>
      <c r="J20" s="1">
        <f t="shared" si="0"/>
        <v>0</v>
      </c>
    </row>
    <row r="21" spans="1:10" ht="14.1" customHeight="1">
      <c r="A21" s="360" t="s">
        <v>239</v>
      </c>
      <c r="B21" s="361">
        <v>154000</v>
      </c>
      <c r="C21" s="362">
        <f>B21/'- 3 -'!$D21*100</f>
        <v>0.45230067880052327</v>
      </c>
      <c r="D21" s="361">
        <v>1790000</v>
      </c>
      <c r="E21" s="362">
        <f>D21/'- 3 -'!$D21*100</f>
        <v>5.2572611367073812</v>
      </c>
      <c r="F21" s="361">
        <v>8000</v>
      </c>
      <c r="G21" s="362">
        <f>F21/'- 3 -'!$D21*100</f>
        <v>2.3496139158468741E-2</v>
      </c>
      <c r="J21" s="1">
        <f t="shared" si="0"/>
        <v>0</v>
      </c>
    </row>
    <row r="22" spans="1:10" ht="14.1" customHeight="1">
      <c r="A22" s="23" t="s">
        <v>240</v>
      </c>
      <c r="B22" s="24">
        <v>100190</v>
      </c>
      <c r="C22" s="353">
        <f>B22/'- 3 -'!$D22*100</f>
        <v>0.50313860260748222</v>
      </c>
      <c r="D22" s="24">
        <v>447850</v>
      </c>
      <c r="E22" s="353">
        <f>D22/'- 3 -'!$D22*100</f>
        <v>2.2490330689466109</v>
      </c>
      <c r="F22" s="24">
        <v>8250</v>
      </c>
      <c r="G22" s="353">
        <f>F22/'- 3 -'!$D22*100</f>
        <v>4.1430217302243028E-2</v>
      </c>
      <c r="J22" s="1">
        <f t="shared" si="0"/>
        <v>0</v>
      </c>
    </row>
    <row r="23" spans="1:10" ht="14.1" customHeight="1">
      <c r="A23" s="360" t="s">
        <v>241</v>
      </c>
      <c r="B23" s="361">
        <v>63950</v>
      </c>
      <c r="C23" s="362">
        <f>B23/'- 3 -'!$D23*100</f>
        <v>0.39908936481448432</v>
      </c>
      <c r="D23" s="361">
        <v>1489390</v>
      </c>
      <c r="E23" s="362">
        <f>D23/'- 3 -'!$D23*100</f>
        <v>9.2947569829717711</v>
      </c>
      <c r="F23" s="361">
        <v>4500</v>
      </c>
      <c r="G23" s="362">
        <f>F23/'- 3 -'!$D23*100</f>
        <v>2.8082910737532121E-2</v>
      </c>
      <c r="J23" s="1">
        <f t="shared" si="0"/>
        <v>0</v>
      </c>
    </row>
    <row r="24" spans="1:10" ht="14.1" customHeight="1">
      <c r="A24" s="23" t="s">
        <v>242</v>
      </c>
      <c r="B24" s="24">
        <v>165525</v>
      </c>
      <c r="C24" s="353">
        <f>B24/'- 3 -'!$D24*100</f>
        <v>0.31368885874393126</v>
      </c>
      <c r="D24" s="24">
        <v>2244635</v>
      </c>
      <c r="E24" s="353">
        <f>D24/'- 3 -'!$D24*100</f>
        <v>4.2538407578715249</v>
      </c>
      <c r="F24" s="24">
        <v>5000</v>
      </c>
      <c r="G24" s="353">
        <f>F24/'- 3 -'!$D24*100</f>
        <v>9.4755734403845718E-3</v>
      </c>
      <c r="J24" s="1">
        <f t="shared" si="0"/>
        <v>0</v>
      </c>
    </row>
    <row r="25" spans="1:10" ht="14.1" customHeight="1">
      <c r="A25" s="360" t="s">
        <v>243</v>
      </c>
      <c r="B25" s="361">
        <v>242731</v>
      </c>
      <c r="C25" s="362">
        <f>B25/'- 3 -'!$D25*100</f>
        <v>0.15675004818302141</v>
      </c>
      <c r="D25" s="361">
        <v>3351741</v>
      </c>
      <c r="E25" s="362">
        <f>D25/'- 3 -'!$D25*100</f>
        <v>2.1644765738492748</v>
      </c>
      <c r="F25" s="361">
        <v>10000</v>
      </c>
      <c r="G25" s="362">
        <f>F25/'- 3 -'!$D25*100</f>
        <v>6.4577679893800715E-3</v>
      </c>
      <c r="J25" s="1">
        <f t="shared" si="0"/>
        <v>0</v>
      </c>
    </row>
    <row r="26" spans="1:10" ht="14.1" customHeight="1">
      <c r="A26" s="23" t="s">
        <v>244</v>
      </c>
      <c r="B26" s="24">
        <v>185153</v>
      </c>
      <c r="C26" s="353">
        <f>B26/'- 3 -'!$D26*100</f>
        <v>0.48797722918763398</v>
      </c>
      <c r="D26" s="24">
        <v>2543673</v>
      </c>
      <c r="E26" s="353">
        <f>D26/'- 3 -'!$D26*100</f>
        <v>6.7039394581745722</v>
      </c>
      <c r="F26" s="24">
        <v>4500</v>
      </c>
      <c r="G26" s="353">
        <f>F26/'- 3 -'!$D26*100</f>
        <v>1.185990792125622E-2</v>
      </c>
      <c r="J26" s="1">
        <f t="shared" si="0"/>
        <v>0</v>
      </c>
    </row>
    <row r="27" spans="1:10" ht="14.1" customHeight="1">
      <c r="A27" s="360" t="s">
        <v>245</v>
      </c>
      <c r="B27" s="361">
        <v>0</v>
      </c>
      <c r="C27" s="362">
        <f>B27/'- 3 -'!$D27*100</f>
        <v>0</v>
      </c>
      <c r="D27" s="361">
        <v>0</v>
      </c>
      <c r="E27" s="362">
        <f>D27/'- 3 -'!$D27*100</f>
        <v>0</v>
      </c>
      <c r="F27" s="361">
        <v>145000</v>
      </c>
      <c r="G27" s="362">
        <f>F27/'- 3 -'!$D27*100</f>
        <v>0.37684463826098413</v>
      </c>
      <c r="J27" s="1">
        <f t="shared" si="0"/>
        <v>0</v>
      </c>
    </row>
    <row r="28" spans="1:10" ht="14.1" customHeight="1">
      <c r="A28" s="23" t="s">
        <v>246</v>
      </c>
      <c r="B28" s="24">
        <v>77549</v>
      </c>
      <c r="C28" s="353">
        <f>B28/'- 3 -'!$D28*100</f>
        <v>0.29742967586382479</v>
      </c>
      <c r="D28" s="24">
        <v>1957174</v>
      </c>
      <c r="E28" s="353">
        <f>D28/'- 3 -'!$D28*100</f>
        <v>7.5065007727901767</v>
      </c>
      <c r="F28" s="24">
        <v>13650</v>
      </c>
      <c r="G28" s="353">
        <f>F28/'- 3 -'!$D28*100</f>
        <v>5.2352900431226812E-2</v>
      </c>
      <c r="J28" s="1">
        <f t="shared" si="0"/>
        <v>0</v>
      </c>
    </row>
    <row r="29" spans="1:10" ht="14.1" customHeight="1">
      <c r="A29" s="360" t="s">
        <v>247</v>
      </c>
      <c r="B29" s="361">
        <v>167981</v>
      </c>
      <c r="C29" s="362">
        <f>B29/'- 3 -'!$D29*100</f>
        <v>0.11828237411661326</v>
      </c>
      <c r="D29" s="361">
        <v>2106728</v>
      </c>
      <c r="E29" s="362">
        <f>D29/'- 3 -'!$D29*100</f>
        <v>1.4834343732799806</v>
      </c>
      <c r="F29" s="361">
        <v>70000</v>
      </c>
      <c r="G29" s="362">
        <f>F29/'- 3 -'!$D29*100</f>
        <v>4.9289897001225907E-2</v>
      </c>
      <c r="J29" s="1">
        <f t="shared" si="0"/>
        <v>0</v>
      </c>
    </row>
    <row r="30" spans="1:10" ht="14.1" customHeight="1">
      <c r="A30" s="23" t="s">
        <v>248</v>
      </c>
      <c r="B30" s="24">
        <v>58070</v>
      </c>
      <c r="C30" s="353">
        <f>B30/'- 3 -'!$D30*100</f>
        <v>0.43157814236192527</v>
      </c>
      <c r="D30" s="24">
        <v>1095550</v>
      </c>
      <c r="E30" s="353">
        <f>D30/'- 3 -'!$D30*100</f>
        <v>8.1421634900052915</v>
      </c>
      <c r="F30" s="24">
        <v>0</v>
      </c>
      <c r="G30" s="353">
        <f>F30/'- 3 -'!$D30*100</f>
        <v>0</v>
      </c>
      <c r="J30" s="1">
        <f t="shared" si="0"/>
        <v>0</v>
      </c>
    </row>
    <row r="31" spans="1:10" ht="14.1" customHeight="1">
      <c r="A31" s="360" t="s">
        <v>249</v>
      </c>
      <c r="B31" s="361">
        <v>86342</v>
      </c>
      <c r="C31" s="362">
        <f>B31/'- 3 -'!$D31*100</f>
        <v>0.25677663920830168</v>
      </c>
      <c r="D31" s="361">
        <v>882356</v>
      </c>
      <c r="E31" s="362">
        <f>D31/'- 3 -'!$D31*100</f>
        <v>2.62408107601492</v>
      </c>
      <c r="F31" s="361">
        <v>5000</v>
      </c>
      <c r="G31" s="362">
        <f>F31/'- 3 -'!$D31*100</f>
        <v>1.4869741215648333E-2</v>
      </c>
      <c r="J31" s="1">
        <f t="shared" si="0"/>
        <v>0</v>
      </c>
    </row>
    <row r="32" spans="1:10" ht="14.1" customHeight="1">
      <c r="A32" s="23" t="s">
        <v>250</v>
      </c>
      <c r="B32" s="24">
        <v>97150</v>
      </c>
      <c r="C32" s="353">
        <f>B32/'- 3 -'!$D32*100</f>
        <v>0.38033579011070567</v>
      </c>
      <c r="D32" s="24">
        <v>1809475</v>
      </c>
      <c r="E32" s="353">
        <f>D32/'- 3 -'!$D32*100</f>
        <v>7.0839743058216085</v>
      </c>
      <c r="F32" s="24">
        <v>8500</v>
      </c>
      <c r="G32" s="353">
        <f>F32/'- 3 -'!$D32*100</f>
        <v>3.3276934801245481E-2</v>
      </c>
      <c r="J32" s="1">
        <f t="shared" si="0"/>
        <v>0</v>
      </c>
    </row>
    <row r="33" spans="1:10" ht="14.1" customHeight="1">
      <c r="A33" s="360" t="s">
        <v>251</v>
      </c>
      <c r="B33" s="361">
        <v>66100</v>
      </c>
      <c r="C33" s="362">
        <f>B33/'- 3 -'!$D33*100</f>
        <v>0.25168200492702741</v>
      </c>
      <c r="D33" s="361">
        <v>2215600</v>
      </c>
      <c r="E33" s="362">
        <f>D33/'- 3 -'!$D33*100</f>
        <v>8.4361066583407265</v>
      </c>
      <c r="F33" s="361">
        <v>0</v>
      </c>
      <c r="G33" s="362">
        <f>F33/'- 3 -'!$D33*100</f>
        <v>0</v>
      </c>
      <c r="J33" s="1">
        <f t="shared" si="0"/>
        <v>0</v>
      </c>
    </row>
    <row r="34" spans="1:10" ht="14.1" customHeight="1">
      <c r="A34" s="23" t="s">
        <v>252</v>
      </c>
      <c r="B34" s="24">
        <v>91144</v>
      </c>
      <c r="C34" s="353">
        <f>B34/'- 3 -'!$D34*100</f>
        <v>0.35682426404995543</v>
      </c>
      <c r="D34" s="24">
        <v>2298605</v>
      </c>
      <c r="E34" s="353">
        <f>D34/'- 3 -'!$D34*100</f>
        <v>8.998925189442506</v>
      </c>
      <c r="F34" s="24">
        <v>0</v>
      </c>
      <c r="G34" s="353">
        <f>F34/'- 3 -'!$D34*100</f>
        <v>0</v>
      </c>
      <c r="J34" s="1">
        <f t="shared" si="0"/>
        <v>0</v>
      </c>
    </row>
    <row r="35" spans="1:10" ht="14.1" customHeight="1">
      <c r="A35" s="360" t="s">
        <v>253</v>
      </c>
      <c r="B35" s="361">
        <v>352600</v>
      </c>
      <c r="C35" s="362">
        <f>B35/'- 3 -'!$D35*100</f>
        <v>0.21044757496054886</v>
      </c>
      <c r="D35" s="361">
        <v>2984500</v>
      </c>
      <c r="E35" s="362">
        <f>D35/'- 3 -'!$D35*100</f>
        <v>1.7812841391655077</v>
      </c>
      <c r="F35" s="361">
        <v>25700</v>
      </c>
      <c r="G35" s="362">
        <f>F35/'- 3 -'!$D35*100</f>
        <v>1.5338918537963998E-2</v>
      </c>
      <c r="J35" s="1">
        <f t="shared" si="0"/>
        <v>0</v>
      </c>
    </row>
    <row r="36" spans="1:10" ht="14.1" customHeight="1">
      <c r="A36" s="23" t="s">
        <v>254</v>
      </c>
      <c r="B36" s="24">
        <v>56725</v>
      </c>
      <c r="C36" s="353">
        <f>B36/'- 3 -'!$D36*100</f>
        <v>0.2630006226704914</v>
      </c>
      <c r="D36" s="24">
        <v>1417500</v>
      </c>
      <c r="E36" s="353">
        <f>D36/'- 3 -'!$D36*100</f>
        <v>6.5721178075878646</v>
      </c>
      <c r="F36" s="24">
        <v>7500</v>
      </c>
      <c r="G36" s="353">
        <f>F36/'- 3 -'!$D36*100</f>
        <v>3.4773110093057474E-2</v>
      </c>
      <c r="J36" s="1">
        <f t="shared" si="0"/>
        <v>0</v>
      </c>
    </row>
    <row r="37" spans="1:10" ht="14.1" customHeight="1">
      <c r="A37" s="360" t="s">
        <v>255</v>
      </c>
      <c r="B37" s="361">
        <v>160713</v>
      </c>
      <c r="C37" s="362">
        <f>B37/'- 3 -'!$D37*100</f>
        <v>0.38572616617524758</v>
      </c>
      <c r="D37" s="361">
        <v>2480488</v>
      </c>
      <c r="E37" s="362">
        <f>D37/'- 3 -'!$D37*100</f>
        <v>5.9534021920050497</v>
      </c>
      <c r="F37" s="361">
        <v>8000</v>
      </c>
      <c r="G37" s="362">
        <f>F37/'- 3 -'!$D37*100</f>
        <v>1.9200744988905571E-2</v>
      </c>
      <c r="J37" s="1">
        <f t="shared" si="0"/>
        <v>0</v>
      </c>
    </row>
    <row r="38" spans="1:10" ht="14.1" customHeight="1">
      <c r="A38" s="23" t="s">
        <v>256</v>
      </c>
      <c r="B38" s="24">
        <v>277550</v>
      </c>
      <c r="C38" s="353">
        <f>B38/'- 3 -'!$D38*100</f>
        <v>0.23661983262098729</v>
      </c>
      <c r="D38" s="24">
        <v>2593910</v>
      </c>
      <c r="E38" s="353">
        <f>D38/'- 3 -'!$D38*100</f>
        <v>2.2113873177225911</v>
      </c>
      <c r="F38" s="24">
        <v>190000</v>
      </c>
      <c r="G38" s="353">
        <f>F38/'- 3 -'!$D38*100</f>
        <v>0.16198078976035882</v>
      </c>
      <c r="J38" s="1">
        <f t="shared" si="0"/>
        <v>0</v>
      </c>
    </row>
    <row r="39" spans="1:10" ht="14.1" customHeight="1">
      <c r="A39" s="360" t="s">
        <v>257</v>
      </c>
      <c r="B39" s="361">
        <v>66925</v>
      </c>
      <c r="C39" s="362">
        <f>B39/'- 3 -'!$D39*100</f>
        <v>0.32568536025204958</v>
      </c>
      <c r="D39" s="361">
        <v>1776700</v>
      </c>
      <c r="E39" s="362">
        <f>D39/'- 3 -'!$D39*100</f>
        <v>8.6461737700383487</v>
      </c>
      <c r="F39" s="361">
        <v>10998</v>
      </c>
      <c r="G39" s="362">
        <f>F39/'- 3 -'!$D39*100</f>
        <v>5.3520920314561689E-2</v>
      </c>
      <c r="J39" s="1">
        <f t="shared" si="0"/>
        <v>0</v>
      </c>
    </row>
    <row r="40" spans="1:10" ht="14.1" customHeight="1">
      <c r="A40" s="23" t="s">
        <v>258</v>
      </c>
      <c r="B40" s="24">
        <v>113648</v>
      </c>
      <c r="C40" s="353">
        <f>B40/'- 3 -'!$D40*100</f>
        <v>0.11689486715428267</v>
      </c>
      <c r="D40" s="24">
        <v>1623733</v>
      </c>
      <c r="E40" s="353">
        <f>D40/'- 3 -'!$D40*100</f>
        <v>1.6701222487771439</v>
      </c>
      <c r="F40" s="24">
        <v>15600</v>
      </c>
      <c r="G40" s="353">
        <f>F40/'- 3 -'!$D40*100</f>
        <v>1.6045684284869154E-2</v>
      </c>
      <c r="J40" s="1">
        <f t="shared" si="0"/>
        <v>0</v>
      </c>
    </row>
    <row r="41" spans="1:10" ht="14.1" customHeight="1">
      <c r="A41" s="360" t="s">
        <v>259</v>
      </c>
      <c r="B41" s="361">
        <v>255369</v>
      </c>
      <c r="C41" s="362">
        <f>B41/'- 3 -'!$D41*100</f>
        <v>0.44274011381223843</v>
      </c>
      <c r="D41" s="361">
        <v>4185704</v>
      </c>
      <c r="E41" s="362">
        <f>D41/'- 3 -'!$D41*100</f>
        <v>7.2568677691667416</v>
      </c>
      <c r="F41" s="361">
        <v>8000</v>
      </c>
      <c r="G41" s="362">
        <f>F41/'- 3 -'!$D41*100</f>
        <v>1.3869815484643427E-2</v>
      </c>
      <c r="J41" s="1">
        <f t="shared" si="0"/>
        <v>0</v>
      </c>
    </row>
    <row r="42" spans="1:10" ht="14.1" customHeight="1">
      <c r="A42" s="23" t="s">
        <v>260</v>
      </c>
      <c r="B42" s="24">
        <v>95484</v>
      </c>
      <c r="C42" s="353">
        <f>B42/'- 3 -'!$D42*100</f>
        <v>0.47326377387464419</v>
      </c>
      <c r="D42" s="24">
        <v>1494814</v>
      </c>
      <c r="E42" s="353">
        <f>D42/'- 3 -'!$D42*100</f>
        <v>7.4090037585422932</v>
      </c>
      <c r="F42" s="24">
        <v>0</v>
      </c>
      <c r="G42" s="353">
        <f>F42/'- 3 -'!$D42*100</f>
        <v>0</v>
      </c>
      <c r="J42" s="1">
        <f t="shared" si="0"/>
        <v>0</v>
      </c>
    </row>
    <row r="43" spans="1:10" ht="14.1" customHeight="1">
      <c r="A43" s="360" t="s">
        <v>261</v>
      </c>
      <c r="B43" s="361">
        <v>7427</v>
      </c>
      <c r="C43" s="362">
        <f>B43/'- 3 -'!$D43*100</f>
        <v>6.2119593809619802E-2</v>
      </c>
      <c r="D43" s="361">
        <v>908815</v>
      </c>
      <c r="E43" s="362">
        <f>D43/'- 3 -'!$D43*100</f>
        <v>7.6013489495206157</v>
      </c>
      <c r="F43" s="361">
        <v>15000</v>
      </c>
      <c r="G43" s="362">
        <f>F43/'- 3 -'!$D43*100</f>
        <v>0.12546033487872585</v>
      </c>
      <c r="J43" s="1">
        <f t="shared" si="0"/>
        <v>0</v>
      </c>
    </row>
    <row r="44" spans="1:10" ht="14.1" customHeight="1">
      <c r="A44" s="23" t="s">
        <v>262</v>
      </c>
      <c r="B44" s="24">
        <v>29663</v>
      </c>
      <c r="C44" s="353">
        <f>B44/'- 3 -'!$D44*100</f>
        <v>0.28147117295090779</v>
      </c>
      <c r="D44" s="24">
        <v>976208</v>
      </c>
      <c r="E44" s="353">
        <f>D44/'- 3 -'!$D44*100</f>
        <v>9.2632036814907401</v>
      </c>
      <c r="F44" s="24">
        <v>0</v>
      </c>
      <c r="G44" s="353">
        <f>F44/'- 3 -'!$D44*100</f>
        <v>0</v>
      </c>
      <c r="J44" s="1">
        <f t="shared" si="0"/>
        <v>0</v>
      </c>
    </row>
    <row r="45" spans="1:10" ht="14.1" customHeight="1">
      <c r="A45" s="360" t="s">
        <v>263</v>
      </c>
      <c r="B45" s="361">
        <v>44168</v>
      </c>
      <c r="C45" s="362">
        <f>B45/'- 3 -'!$D45*100</f>
        <v>0.26085327511185247</v>
      </c>
      <c r="D45" s="361">
        <v>603309</v>
      </c>
      <c r="E45" s="362">
        <f>D45/'- 3 -'!$D45*100</f>
        <v>3.5631028924664148</v>
      </c>
      <c r="F45" s="361">
        <v>18000</v>
      </c>
      <c r="G45" s="362">
        <f>F45/'- 3 -'!$D45*100</f>
        <v>0.10630680474581924</v>
      </c>
      <c r="J45" s="1">
        <f t="shared" si="0"/>
        <v>0</v>
      </c>
    </row>
    <row r="46" spans="1:10" ht="14.1" customHeight="1">
      <c r="A46" s="23" t="s">
        <v>264</v>
      </c>
      <c r="B46" s="24">
        <v>271500</v>
      </c>
      <c r="C46" s="353">
        <f>B46/'- 3 -'!$D46*100</f>
        <v>7.5279031504066729E-2</v>
      </c>
      <c r="D46" s="24">
        <v>4352000</v>
      </c>
      <c r="E46" s="353">
        <f>D46/'- 3 -'!$D46*100</f>
        <v>1.2066826707392206</v>
      </c>
      <c r="F46" s="24">
        <v>0</v>
      </c>
      <c r="G46" s="353">
        <f>F46/'- 3 -'!$D46*100</f>
        <v>0</v>
      </c>
      <c r="J46" s="1">
        <f t="shared" si="0"/>
        <v>0</v>
      </c>
    </row>
    <row r="47" spans="1:10" ht="5.0999999999999996" customHeight="1">
      <c r="A47"/>
      <c r="B47"/>
      <c r="C47"/>
      <c r="D47"/>
      <c r="E47"/>
      <c r="F47"/>
      <c r="G47"/>
      <c r="J47" s="1">
        <f t="shared" si="0"/>
        <v>0</v>
      </c>
    </row>
    <row r="48" spans="1:10" ht="14.1" customHeight="1">
      <c r="A48" s="363" t="s">
        <v>265</v>
      </c>
      <c r="B48" s="364">
        <f>SUM(B11:B46)</f>
        <v>4696632</v>
      </c>
      <c r="C48" s="365">
        <f>B48/'- 3 -'!$D48*100</f>
        <v>0.22556187111204234</v>
      </c>
      <c r="D48" s="364">
        <f>SUM(D11:D46)</f>
        <v>76690866</v>
      </c>
      <c r="E48" s="365">
        <f>D48/'- 3 -'!$D48*100</f>
        <v>3.6831787613257569</v>
      </c>
      <c r="F48" s="364">
        <f>SUM(F11:F46)</f>
        <v>1103670</v>
      </c>
      <c r="G48" s="365">
        <f>F48/'- 3 -'!$D48*100</f>
        <v>5.3005189738141667E-2</v>
      </c>
      <c r="J48" s="1">
        <f t="shared" si="0"/>
        <v>0</v>
      </c>
    </row>
    <row r="49" spans="1:7" ht="5.0999999999999996" customHeight="1">
      <c r="A49" s="25" t="s">
        <v>3</v>
      </c>
      <c r="B49" s="26"/>
      <c r="C49" s="351"/>
      <c r="D49" s="26"/>
      <c r="E49" s="351"/>
      <c r="F49" s="26"/>
      <c r="G49" s="351"/>
    </row>
    <row r="50" spans="1:7" ht="14.1" customHeight="1">
      <c r="A50" s="23" t="s">
        <v>266</v>
      </c>
      <c r="B50" s="24">
        <v>0</v>
      </c>
      <c r="C50" s="353">
        <f>B50/'- 3 -'!$D50*100</f>
        <v>0</v>
      </c>
      <c r="D50" s="24">
        <v>0</v>
      </c>
      <c r="E50" s="353">
        <f>D50/'- 3 -'!$D50*100</f>
        <v>0</v>
      </c>
      <c r="F50" s="24">
        <v>8500</v>
      </c>
      <c r="G50" s="353">
        <f>F50/'- 3 -'!$D50*100</f>
        <v>0.25900807221510713</v>
      </c>
    </row>
    <row r="51" spans="1:7" ht="14.1" customHeight="1">
      <c r="A51" s="360" t="s">
        <v>267</v>
      </c>
      <c r="B51" s="361">
        <v>0</v>
      </c>
      <c r="C51" s="362">
        <f>B51/'- 3 -'!$D51*100</f>
        <v>0</v>
      </c>
      <c r="D51" s="361">
        <v>0</v>
      </c>
      <c r="E51" s="362">
        <f>D51/'- 3 -'!$D51*100</f>
        <v>0</v>
      </c>
      <c r="F51" s="361">
        <v>0</v>
      </c>
      <c r="G51" s="362">
        <f>F51/'- 3 -'!$D51*100</f>
        <v>0</v>
      </c>
    </row>
    <row r="52" spans="1:7" ht="50.1" customHeight="1"/>
    <row r="53" spans="1:7" ht="15" customHeight="1">
      <c r="D53" s="92"/>
      <c r="E53" s="92"/>
    </row>
    <row r="54" spans="1:7" ht="14.45" customHeight="1">
      <c r="D54" s="92"/>
      <c r="E54" s="92"/>
    </row>
    <row r="55" spans="1:7" ht="14.45" customHeight="1">
      <c r="D55" s="92"/>
      <c r="E55" s="92"/>
    </row>
    <row r="56" spans="1:7" ht="14.45" customHeight="1">
      <c r="D56" s="92"/>
      <c r="E56" s="92"/>
    </row>
    <row r="57" spans="1:7" ht="14.45" customHeight="1"/>
    <row r="58" spans="1:7" ht="14.45" customHeight="1"/>
    <row r="59" spans="1:7" ht="14.45" customHeight="1"/>
    <row r="60" spans="1:7" ht="12" customHeight="1"/>
    <row r="61" spans="1:7" ht="12" customHeight="1"/>
    <row r="62" spans="1:7" ht="12" customHeight="1"/>
    <row r="63" spans="1:7" ht="12" customHeight="1"/>
    <row r="64" spans="1:7" ht="12" customHeight="1"/>
    <row r="65" ht="12" customHeight="1"/>
    <row r="66" ht="12"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7.xml><?xml version="1.0" encoding="utf-8"?>
<worksheet xmlns="http://schemas.openxmlformats.org/spreadsheetml/2006/main" xmlns:r="http://schemas.openxmlformats.org/officeDocument/2006/relationships">
  <sheetPr codeName="Sheet28">
    <pageSetUpPr fitToPage="1"/>
  </sheetPr>
  <dimension ref="A1:F59"/>
  <sheetViews>
    <sheetView showGridLines="0" showZeros="0" workbookViewId="0"/>
  </sheetViews>
  <sheetFormatPr defaultColWidth="15.83203125" defaultRowHeight="12"/>
  <cols>
    <col min="1" max="1" width="35.83203125" style="1" customWidth="1"/>
    <col min="2" max="2" width="19.83203125" style="1" customWidth="1"/>
    <col min="3" max="3" width="12" style="1" customWidth="1"/>
    <col min="4" max="4" width="19.83203125" style="1" customWidth="1"/>
    <col min="5" max="5" width="12.1640625" style="1" customWidth="1"/>
    <col min="6" max="6" width="25.83203125" style="1" customWidth="1"/>
    <col min="7" max="16384" width="15.83203125" style="1"/>
  </cols>
  <sheetData>
    <row r="1" spans="1:6" ht="6.95" customHeight="1">
      <c r="A1" s="3"/>
      <c r="B1" s="4"/>
      <c r="C1" s="4"/>
      <c r="D1" s="4"/>
      <c r="E1" s="4"/>
      <c r="F1" s="4"/>
    </row>
    <row r="2" spans="1:6" ht="15.95" customHeight="1">
      <c r="A2" s="161"/>
      <c r="B2" s="5" t="s">
        <v>483</v>
      </c>
      <c r="C2" s="6"/>
      <c r="D2" s="6"/>
      <c r="E2" s="6"/>
      <c r="F2" s="184" t="s">
        <v>432</v>
      </c>
    </row>
    <row r="3" spans="1:6" ht="15.95" customHeight="1">
      <c r="A3" s="164"/>
      <c r="B3" s="7" t="str">
        <f>OPYEAR</f>
        <v>OPERATING FUND 2013/2014 BUDGET</v>
      </c>
      <c r="C3" s="8"/>
      <c r="D3" s="8"/>
      <c r="E3" s="8"/>
      <c r="F3" s="101"/>
    </row>
    <row r="4" spans="1:6" ht="15.95" customHeight="1">
      <c r="B4" s="4"/>
      <c r="C4" s="4"/>
      <c r="D4" s="4"/>
      <c r="E4" s="4"/>
      <c r="F4" s="4"/>
    </row>
    <row r="5" spans="1:6" ht="15.95" customHeight="1">
      <c r="B5" s="4"/>
      <c r="C5" s="4"/>
      <c r="D5" s="4"/>
      <c r="E5" s="4"/>
      <c r="F5" s="4"/>
    </row>
    <row r="6" spans="1:6" ht="15.95" customHeight="1">
      <c r="B6" s="185" t="s">
        <v>398</v>
      </c>
      <c r="C6" s="194"/>
      <c r="D6" s="195"/>
      <c r="E6" s="196"/>
      <c r="F6" s="75"/>
    </row>
    <row r="7" spans="1:6" ht="15.95" customHeight="1">
      <c r="B7" s="354" t="s">
        <v>46</v>
      </c>
      <c r="C7" s="356"/>
      <c r="D7" s="354" t="s">
        <v>272</v>
      </c>
      <c r="E7" s="356"/>
      <c r="F7" s="4"/>
    </row>
    <row r="8" spans="1:6" ht="15.95" customHeight="1">
      <c r="A8" s="102"/>
      <c r="B8" s="357" t="s">
        <v>64</v>
      </c>
      <c r="C8" s="359"/>
      <c r="D8" s="357" t="s">
        <v>214</v>
      </c>
      <c r="E8" s="359"/>
      <c r="F8" s="4"/>
    </row>
    <row r="9" spans="1:6" ht="15.95" customHeight="1">
      <c r="A9" s="35" t="s">
        <v>81</v>
      </c>
      <c r="B9" s="189" t="s">
        <v>82</v>
      </c>
      <c r="C9" s="189" t="s">
        <v>83</v>
      </c>
      <c r="D9" s="189" t="s">
        <v>82</v>
      </c>
      <c r="E9" s="189" t="s">
        <v>83</v>
      </c>
    </row>
    <row r="10" spans="1:6" ht="5.0999999999999996" customHeight="1">
      <c r="A10" s="37"/>
    </row>
    <row r="11" spans="1:6" ht="14.1" customHeight="1">
      <c r="A11" s="360" t="s">
        <v>230</v>
      </c>
      <c r="B11" s="361">
        <v>0</v>
      </c>
      <c r="C11" s="362">
        <f>B11/'- 3 -'!$D11*100</f>
        <v>0</v>
      </c>
      <c r="D11" s="361">
        <v>119000</v>
      </c>
      <c r="E11" s="362">
        <f>D11/'- 3 -'!$D11*100</f>
        <v>0.71017509635554255</v>
      </c>
    </row>
    <row r="12" spans="1:6" ht="14.1" customHeight="1">
      <c r="A12" s="23" t="s">
        <v>231</v>
      </c>
      <c r="B12" s="24">
        <v>0</v>
      </c>
      <c r="C12" s="353">
        <f>B12/'- 3 -'!$D12*100</f>
        <v>0</v>
      </c>
      <c r="D12" s="24">
        <v>188180</v>
      </c>
      <c r="E12" s="353">
        <f>D12/'- 3 -'!$D12*100</f>
        <v>0.60757315496550768</v>
      </c>
    </row>
    <row r="13" spans="1:6" ht="14.1" customHeight="1">
      <c r="A13" s="360" t="s">
        <v>232</v>
      </c>
      <c r="B13" s="361">
        <v>6000</v>
      </c>
      <c r="C13" s="362">
        <f>B13/'- 3 -'!$D13*100</f>
        <v>6.9471863316424654E-3</v>
      </c>
      <c r="D13" s="361">
        <v>77300</v>
      </c>
      <c r="E13" s="362">
        <f>D13/'- 3 -'!$D13*100</f>
        <v>8.9502917239327101E-2</v>
      </c>
    </row>
    <row r="14" spans="1:6" ht="14.1" customHeight="1">
      <c r="A14" s="23" t="s">
        <v>578</v>
      </c>
      <c r="B14" s="24">
        <v>6000</v>
      </c>
      <c r="C14" s="353">
        <f>B14/'- 3 -'!$D14*100</f>
        <v>8.0034185268334276E-3</v>
      </c>
      <c r="D14" s="24">
        <v>230369</v>
      </c>
      <c r="E14" s="353">
        <f>D14/'- 3 -'!$D14*100</f>
        <v>0.30728992043468167</v>
      </c>
    </row>
    <row r="15" spans="1:6" ht="14.1" customHeight="1">
      <c r="A15" s="360" t="s">
        <v>233</v>
      </c>
      <c r="B15" s="361">
        <v>0</v>
      </c>
      <c r="C15" s="362">
        <f>B15/'- 3 -'!$D15*100</f>
        <v>0</v>
      </c>
      <c r="D15" s="361">
        <v>24000</v>
      </c>
      <c r="E15" s="362">
        <f>D15/'- 3 -'!$D15*100</f>
        <v>0.12282041107377485</v>
      </c>
    </row>
    <row r="16" spans="1:6" ht="14.1" customHeight="1">
      <c r="A16" s="23" t="s">
        <v>234</v>
      </c>
      <c r="B16" s="24">
        <v>0</v>
      </c>
      <c r="C16" s="353">
        <f>B16/'- 3 -'!$D16*100</f>
        <v>0</v>
      </c>
      <c r="D16" s="24">
        <v>157042</v>
      </c>
      <c r="E16" s="353">
        <f>D16/'- 3 -'!$D16*100</f>
        <v>1.1991914571372784</v>
      </c>
    </row>
    <row r="17" spans="1:5" ht="14.1" customHeight="1">
      <c r="A17" s="360" t="s">
        <v>235</v>
      </c>
      <c r="B17" s="361">
        <v>0</v>
      </c>
      <c r="C17" s="362">
        <f>B17/'- 3 -'!$D17*100</f>
        <v>0</v>
      </c>
      <c r="D17" s="361">
        <v>36750</v>
      </c>
      <c r="E17" s="362">
        <f>D17/'- 3 -'!$D17*100</f>
        <v>0.22292082204221678</v>
      </c>
    </row>
    <row r="18" spans="1:5" ht="14.1" customHeight="1">
      <c r="A18" s="23" t="s">
        <v>236</v>
      </c>
      <c r="B18" s="24">
        <v>2371291</v>
      </c>
      <c r="C18" s="353">
        <f>B18/'- 3 -'!$D18*100</f>
        <v>1.9895529489522805</v>
      </c>
      <c r="D18" s="24">
        <v>613233</v>
      </c>
      <c r="E18" s="353">
        <f>D18/'- 3 -'!$D18*100</f>
        <v>0.51451277955546315</v>
      </c>
    </row>
    <row r="19" spans="1:5" ht="14.1" customHeight="1">
      <c r="A19" s="360" t="s">
        <v>237</v>
      </c>
      <c r="B19" s="361">
        <v>4800</v>
      </c>
      <c r="C19" s="362">
        <f>B19/'- 3 -'!$D19*100</f>
        <v>1.1057616053999868E-2</v>
      </c>
      <c r="D19" s="361">
        <v>92000</v>
      </c>
      <c r="E19" s="362">
        <f>D19/'- 3 -'!$D19*100</f>
        <v>0.21193764103499746</v>
      </c>
    </row>
    <row r="20" spans="1:5" ht="14.1" customHeight="1">
      <c r="A20" s="23" t="s">
        <v>238</v>
      </c>
      <c r="B20" s="24">
        <v>0</v>
      </c>
      <c r="C20" s="353">
        <f>B20/'- 3 -'!$D20*100</f>
        <v>0</v>
      </c>
      <c r="D20" s="24">
        <v>186500</v>
      </c>
      <c r="E20" s="353">
        <f>D20/'- 3 -'!$D20*100</f>
        <v>0.26239444427248504</v>
      </c>
    </row>
    <row r="21" spans="1:5" ht="14.1" customHeight="1">
      <c r="A21" s="360" t="s">
        <v>239</v>
      </c>
      <c r="B21" s="361">
        <v>0</v>
      </c>
      <c r="C21" s="362">
        <f>B21/'- 3 -'!$D21*100</f>
        <v>0</v>
      </c>
      <c r="D21" s="361">
        <v>140000</v>
      </c>
      <c r="E21" s="362">
        <f>D21/'- 3 -'!$D21*100</f>
        <v>0.41118243527320292</v>
      </c>
    </row>
    <row r="22" spans="1:5" ht="14.1" customHeight="1">
      <c r="A22" s="23" t="s">
        <v>240</v>
      </c>
      <c r="B22" s="24">
        <v>0</v>
      </c>
      <c r="C22" s="353">
        <f>B22/'- 3 -'!$D22*100</f>
        <v>0</v>
      </c>
      <c r="D22" s="24">
        <v>52250</v>
      </c>
      <c r="E22" s="353">
        <f>D22/'- 3 -'!$D22*100</f>
        <v>0.26239137624753917</v>
      </c>
    </row>
    <row r="23" spans="1:5" ht="14.1" customHeight="1">
      <c r="A23" s="360" t="s">
        <v>241</v>
      </c>
      <c r="B23" s="361">
        <v>0</v>
      </c>
      <c r="C23" s="362">
        <f>B23/'- 3 -'!$D23*100</f>
        <v>0</v>
      </c>
      <c r="D23" s="361">
        <v>20000</v>
      </c>
      <c r="E23" s="362">
        <f>D23/'- 3 -'!$D23*100</f>
        <v>0.12481293661125389</v>
      </c>
    </row>
    <row r="24" spans="1:5" ht="14.1" customHeight="1">
      <c r="A24" s="23" t="s">
        <v>242</v>
      </c>
      <c r="B24" s="24">
        <v>0</v>
      </c>
      <c r="C24" s="353">
        <f>B24/'- 3 -'!$D24*100</f>
        <v>0</v>
      </c>
      <c r="D24" s="24">
        <v>86000</v>
      </c>
      <c r="E24" s="353">
        <f>D24/'- 3 -'!$D24*100</f>
        <v>0.16297986317461463</v>
      </c>
    </row>
    <row r="25" spans="1:5" ht="14.1" customHeight="1">
      <c r="A25" s="360" t="s">
        <v>243</v>
      </c>
      <c r="B25" s="361">
        <v>0</v>
      </c>
      <c r="C25" s="362">
        <f>B25/'- 3 -'!$D25*100</f>
        <v>0</v>
      </c>
      <c r="D25" s="361">
        <v>44500</v>
      </c>
      <c r="E25" s="362">
        <f>D25/'- 3 -'!$D25*100</f>
        <v>2.8737067552741316E-2</v>
      </c>
    </row>
    <row r="26" spans="1:5" ht="14.1" customHeight="1">
      <c r="A26" s="23" t="s">
        <v>244</v>
      </c>
      <c r="B26" s="24">
        <v>0</v>
      </c>
      <c r="C26" s="353">
        <f>B26/'- 3 -'!$D26*100</f>
        <v>0</v>
      </c>
      <c r="D26" s="24">
        <v>182372</v>
      </c>
      <c r="E26" s="353">
        <f>D26/'- 3 -'!$D26*100</f>
        <v>0.48064780609229762</v>
      </c>
    </row>
    <row r="27" spans="1:5" ht="14.1" customHeight="1">
      <c r="A27" s="360" t="s">
        <v>245</v>
      </c>
      <c r="B27" s="361">
        <v>0</v>
      </c>
      <c r="C27" s="362">
        <f>B27/'- 3 -'!$D27*100</f>
        <v>0</v>
      </c>
      <c r="D27" s="361">
        <v>81000</v>
      </c>
      <c r="E27" s="362">
        <f>D27/'- 3 -'!$D27*100</f>
        <v>0.21051321171820492</v>
      </c>
    </row>
    <row r="28" spans="1:5" ht="14.1" customHeight="1">
      <c r="A28" s="23" t="s">
        <v>246</v>
      </c>
      <c r="B28" s="24">
        <v>0</v>
      </c>
      <c r="C28" s="353">
        <f>B28/'- 3 -'!$D28*100</f>
        <v>0</v>
      </c>
      <c r="D28" s="24">
        <v>98428</v>
      </c>
      <c r="E28" s="353">
        <f>D28/'- 3 -'!$D28*100</f>
        <v>0.37750851894833648</v>
      </c>
    </row>
    <row r="29" spans="1:5" ht="14.1" customHeight="1">
      <c r="A29" s="360" t="s">
        <v>247</v>
      </c>
      <c r="B29" s="361">
        <v>0</v>
      </c>
      <c r="C29" s="362">
        <f>B29/'- 3 -'!$D29*100</f>
        <v>0</v>
      </c>
      <c r="D29" s="361">
        <v>88000</v>
      </c>
      <c r="E29" s="362">
        <f>D29/'- 3 -'!$D29*100</f>
        <v>6.1964441944398284E-2</v>
      </c>
    </row>
    <row r="30" spans="1:5" ht="14.1" customHeight="1">
      <c r="A30" s="23" t="s">
        <v>248</v>
      </c>
      <c r="B30" s="24">
        <v>0</v>
      </c>
      <c r="C30" s="353">
        <f>B30/'- 3 -'!$D30*100</f>
        <v>0</v>
      </c>
      <c r="D30" s="24">
        <v>44774</v>
      </c>
      <c r="E30" s="353">
        <f>D30/'- 3 -'!$D30*100</f>
        <v>0.33276183478754678</v>
      </c>
    </row>
    <row r="31" spans="1:5" ht="14.1" customHeight="1">
      <c r="A31" s="360" t="s">
        <v>249</v>
      </c>
      <c r="B31" s="361">
        <v>0</v>
      </c>
      <c r="C31" s="362">
        <f>B31/'- 3 -'!$D31*100</f>
        <v>0</v>
      </c>
      <c r="D31" s="361">
        <v>34000</v>
      </c>
      <c r="E31" s="362">
        <f>D31/'- 3 -'!$D31*100</f>
        <v>0.10111424026640865</v>
      </c>
    </row>
    <row r="32" spans="1:5" ht="14.1" customHeight="1">
      <c r="A32" s="23" t="s">
        <v>250</v>
      </c>
      <c r="B32" s="24">
        <v>0</v>
      </c>
      <c r="C32" s="353">
        <f>B32/'- 3 -'!$D32*100</f>
        <v>0</v>
      </c>
      <c r="D32" s="24">
        <v>55100</v>
      </c>
      <c r="E32" s="353">
        <f>D32/'- 3 -'!$D32*100</f>
        <v>0.21571283618219131</v>
      </c>
    </row>
    <row r="33" spans="1:5" ht="14.1" customHeight="1">
      <c r="A33" s="360" t="s">
        <v>251</v>
      </c>
      <c r="B33" s="361">
        <v>0</v>
      </c>
      <c r="C33" s="362">
        <f>B33/'- 3 -'!$D33*100</f>
        <v>0</v>
      </c>
      <c r="D33" s="361">
        <v>70000</v>
      </c>
      <c r="E33" s="362">
        <f>D33/'- 3 -'!$D33*100</f>
        <v>0.26653162397718488</v>
      </c>
    </row>
    <row r="34" spans="1:5" ht="14.1" customHeight="1">
      <c r="A34" s="23" t="s">
        <v>252</v>
      </c>
      <c r="B34" s="24">
        <v>0</v>
      </c>
      <c r="C34" s="353">
        <f>B34/'- 3 -'!$D34*100</f>
        <v>0</v>
      </c>
      <c r="D34" s="24">
        <v>147060</v>
      </c>
      <c r="E34" s="353">
        <f>D34/'- 3 -'!$D34*100</f>
        <v>0.57573264582623584</v>
      </c>
    </row>
    <row r="35" spans="1:5" ht="14.1" customHeight="1">
      <c r="A35" s="360" t="s">
        <v>253</v>
      </c>
      <c r="B35" s="361">
        <v>0</v>
      </c>
      <c r="C35" s="362">
        <f>B35/'- 3 -'!$D35*100</f>
        <v>0</v>
      </c>
      <c r="D35" s="361">
        <v>151500</v>
      </c>
      <c r="E35" s="362">
        <f>D35/'- 3 -'!$D35*100</f>
        <v>9.0422029513678809E-2</v>
      </c>
    </row>
    <row r="36" spans="1:5" ht="14.1" customHeight="1">
      <c r="A36" s="23" t="s">
        <v>254</v>
      </c>
      <c r="B36" s="24">
        <v>0</v>
      </c>
      <c r="C36" s="353">
        <f>B36/'- 3 -'!$D36*100</f>
        <v>0</v>
      </c>
      <c r="D36" s="24">
        <v>100000</v>
      </c>
      <c r="E36" s="353">
        <f>D36/'- 3 -'!$D36*100</f>
        <v>0.4636414679074331</v>
      </c>
    </row>
    <row r="37" spans="1:5" ht="14.1" customHeight="1">
      <c r="A37" s="360" t="s">
        <v>255</v>
      </c>
      <c r="B37" s="361">
        <v>0</v>
      </c>
      <c r="C37" s="362">
        <f>B37/'- 3 -'!$D37*100</f>
        <v>0</v>
      </c>
      <c r="D37" s="361">
        <v>73975</v>
      </c>
      <c r="E37" s="362">
        <f>D37/'- 3 -'!$D37*100</f>
        <v>0.17754688881928618</v>
      </c>
    </row>
    <row r="38" spans="1:5" ht="14.1" customHeight="1">
      <c r="A38" s="23" t="s">
        <v>256</v>
      </c>
      <c r="B38" s="24">
        <v>0</v>
      </c>
      <c r="C38" s="353">
        <f>B38/'- 3 -'!$D38*100</f>
        <v>0</v>
      </c>
      <c r="D38" s="24">
        <v>283000</v>
      </c>
      <c r="E38" s="353">
        <f>D38/'- 3 -'!$D38*100</f>
        <v>0.24126612369569234</v>
      </c>
    </row>
    <row r="39" spans="1:5" ht="14.1" customHeight="1">
      <c r="A39" s="360" t="s">
        <v>257</v>
      </c>
      <c r="B39" s="361">
        <v>0</v>
      </c>
      <c r="C39" s="362">
        <f>B39/'- 3 -'!$D39*100</f>
        <v>0</v>
      </c>
      <c r="D39" s="361">
        <v>40789</v>
      </c>
      <c r="E39" s="362">
        <f>D39/'- 3 -'!$D39*100</f>
        <v>0.1984965283424856</v>
      </c>
    </row>
    <row r="40" spans="1:5" ht="14.1" customHeight="1">
      <c r="A40" s="23" t="s">
        <v>258</v>
      </c>
      <c r="B40" s="24">
        <v>0</v>
      </c>
      <c r="C40" s="353">
        <f>B40/'- 3 -'!$D40*100</f>
        <v>0</v>
      </c>
      <c r="D40" s="24">
        <v>69652</v>
      </c>
      <c r="E40" s="353">
        <f>D40/'- 3 -'!$D40*100</f>
        <v>7.1641923192929891E-2</v>
      </c>
    </row>
    <row r="41" spans="1:5" ht="14.1" customHeight="1">
      <c r="A41" s="360" t="s">
        <v>259</v>
      </c>
      <c r="B41" s="361">
        <v>0</v>
      </c>
      <c r="C41" s="362">
        <f>B41/'- 3 -'!$D41*100</f>
        <v>0</v>
      </c>
      <c r="D41" s="361">
        <v>130849</v>
      </c>
      <c r="E41" s="362">
        <f>D41/'- 3 -'!$D41*100</f>
        <v>0.22685643579376347</v>
      </c>
    </row>
    <row r="42" spans="1:5" ht="14.1" customHeight="1">
      <c r="A42" s="23" t="s">
        <v>260</v>
      </c>
      <c r="B42" s="24">
        <v>0</v>
      </c>
      <c r="C42" s="353">
        <f>B42/'- 3 -'!$D42*100</f>
        <v>0</v>
      </c>
      <c r="D42" s="24">
        <v>53249</v>
      </c>
      <c r="E42" s="353">
        <f>D42/'- 3 -'!$D42*100</f>
        <v>0.26392717832360318</v>
      </c>
    </row>
    <row r="43" spans="1:5" ht="14.1" customHeight="1">
      <c r="A43" s="360" t="s">
        <v>261</v>
      </c>
      <c r="B43" s="361">
        <v>0</v>
      </c>
      <c r="C43" s="362">
        <f>B43/'- 3 -'!$D43*100</f>
        <v>0</v>
      </c>
      <c r="D43" s="361">
        <v>14739</v>
      </c>
      <c r="E43" s="362">
        <f>D43/'- 3 -'!$D43*100</f>
        <v>0.12327732505183603</v>
      </c>
    </row>
    <row r="44" spans="1:5" ht="14.1" customHeight="1">
      <c r="A44" s="23" t="s">
        <v>262</v>
      </c>
      <c r="B44" s="24">
        <v>0</v>
      </c>
      <c r="C44" s="353">
        <f>B44/'- 3 -'!$D44*100</f>
        <v>0</v>
      </c>
      <c r="D44" s="24">
        <v>46994</v>
      </c>
      <c r="E44" s="353">
        <f>D44/'- 3 -'!$D44*100</f>
        <v>0.44592442779405189</v>
      </c>
    </row>
    <row r="45" spans="1:5" ht="14.1" customHeight="1">
      <c r="A45" s="360" t="s">
        <v>263</v>
      </c>
      <c r="B45" s="361">
        <v>0</v>
      </c>
      <c r="C45" s="362">
        <f>B45/'- 3 -'!$D45*100</f>
        <v>0</v>
      </c>
      <c r="D45" s="361">
        <v>33312</v>
      </c>
      <c r="E45" s="362">
        <f>D45/'- 3 -'!$D45*100</f>
        <v>0.19673845998292946</v>
      </c>
    </row>
    <row r="46" spans="1:5" ht="14.1" customHeight="1">
      <c r="A46" s="23" t="s">
        <v>264</v>
      </c>
      <c r="B46" s="24">
        <v>0</v>
      </c>
      <c r="C46" s="353">
        <f>B46/'- 3 -'!$D46*100</f>
        <v>0</v>
      </c>
      <c r="D46" s="24">
        <v>369600</v>
      </c>
      <c r="E46" s="353">
        <f>D46/'- 3 -'!$D46*100</f>
        <v>0.10247930034586765</v>
      </c>
    </row>
    <row r="47" spans="1:5" ht="5.0999999999999996" customHeight="1">
      <c r="A47"/>
      <c r="B47"/>
      <c r="C47"/>
      <c r="D47"/>
      <c r="E47"/>
    </row>
    <row r="48" spans="1:5" ht="14.1" customHeight="1">
      <c r="A48" s="363" t="s">
        <v>265</v>
      </c>
      <c r="B48" s="364">
        <f>SUM(B11:B46)</f>
        <v>2388091</v>
      </c>
      <c r="C48" s="365">
        <f>B48/'- 3 -'!$D48*100</f>
        <v>0.11469118175446327</v>
      </c>
      <c r="D48" s="364">
        <f>SUM(D11:D46)</f>
        <v>4235517</v>
      </c>
      <c r="E48" s="365">
        <f>D48/'- 3 -'!$D48*100</f>
        <v>0.2034162224434157</v>
      </c>
    </row>
    <row r="49" spans="1:5" ht="5.0999999999999996" customHeight="1">
      <c r="A49" s="25" t="s">
        <v>3</v>
      </c>
      <c r="B49" s="26"/>
      <c r="C49" s="351"/>
      <c r="D49" s="26"/>
      <c r="E49" s="351"/>
    </row>
    <row r="50" spans="1:5" ht="14.1" customHeight="1">
      <c r="A50" s="23" t="s">
        <v>266</v>
      </c>
      <c r="B50" s="24">
        <v>0</v>
      </c>
      <c r="C50" s="353">
        <f>B50/'- 3 -'!$D50*100</f>
        <v>0</v>
      </c>
      <c r="D50" s="24">
        <v>25000</v>
      </c>
      <c r="E50" s="353">
        <f>D50/'- 3 -'!$D50*100</f>
        <v>0.76178844769149157</v>
      </c>
    </row>
    <row r="51" spans="1:5" ht="14.1" customHeight="1">
      <c r="A51" s="360" t="s">
        <v>267</v>
      </c>
      <c r="B51" s="361">
        <v>0</v>
      </c>
      <c r="C51" s="362">
        <f>B51/'- 3 -'!$D51*100</f>
        <v>0</v>
      </c>
      <c r="D51" s="361">
        <v>0</v>
      </c>
      <c r="E51" s="362">
        <f>D51/'- 3 -'!$D51*100</f>
        <v>0</v>
      </c>
    </row>
    <row r="52" spans="1:5" ht="50.1" customHeight="1"/>
    <row r="53" spans="1:5" ht="15" customHeight="1"/>
    <row r="54" spans="1:5" ht="14.45" customHeight="1"/>
    <row r="55" spans="1:5" ht="14.45" customHeight="1"/>
    <row r="56" spans="1:5" ht="14.45" customHeight="1"/>
    <row r="57" spans="1:5" ht="14.45" customHeight="1"/>
    <row r="58" spans="1:5" ht="14.45" customHeight="1"/>
    <row r="59" spans="1:5"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8.xml><?xml version="1.0" encoding="utf-8"?>
<worksheet xmlns="http://schemas.openxmlformats.org/spreadsheetml/2006/main" xmlns:r="http://schemas.openxmlformats.org/officeDocument/2006/relationships">
  <sheetPr codeName="Sheet29">
    <pageSetUpPr fitToPage="1"/>
  </sheetPr>
  <dimension ref="A1:G59"/>
  <sheetViews>
    <sheetView showGridLines="0" showZeros="0" workbookViewId="0"/>
  </sheetViews>
  <sheetFormatPr defaultColWidth="15.83203125" defaultRowHeight="12"/>
  <cols>
    <col min="1" max="1" width="31.83203125" style="1" customWidth="1"/>
    <col min="2" max="2" width="17.83203125" style="1" customWidth="1"/>
    <col min="3" max="3" width="11.5" style="1" customWidth="1"/>
    <col min="4" max="4" width="17.83203125" style="1" customWidth="1"/>
    <col min="5" max="5" width="12.1640625" style="1" customWidth="1"/>
    <col min="6" max="6" width="17.83203125" style="1" customWidth="1"/>
    <col min="7" max="7" width="12" style="1" customWidth="1"/>
    <col min="8" max="16384" width="15.83203125" style="1"/>
  </cols>
  <sheetData>
    <row r="1" spans="1:7" ht="6.95" customHeight="1">
      <c r="A1" s="3"/>
      <c r="B1" s="4"/>
      <c r="C1" s="4"/>
      <c r="D1" s="4"/>
      <c r="E1" s="4"/>
      <c r="F1" s="4"/>
      <c r="G1" s="4"/>
    </row>
    <row r="2" spans="1:7" ht="15.95" customHeight="1">
      <c r="A2" s="161"/>
      <c r="B2" s="5" t="s">
        <v>483</v>
      </c>
      <c r="C2" s="6"/>
      <c r="D2" s="162"/>
      <c r="E2" s="6"/>
      <c r="F2" s="106"/>
      <c r="G2" s="184" t="s">
        <v>431</v>
      </c>
    </row>
    <row r="3" spans="1:7" ht="15.95" customHeight="1">
      <c r="A3" s="164"/>
      <c r="B3" s="7" t="str">
        <f>OPYEAR</f>
        <v>OPERATING FUND 2013/2014 BUDGET</v>
      </c>
      <c r="C3" s="8"/>
      <c r="D3" s="177"/>
      <c r="E3" s="8"/>
      <c r="F3" s="108"/>
      <c r="G3" s="108"/>
    </row>
    <row r="4" spans="1:7" ht="15.95" customHeight="1">
      <c r="B4" s="4"/>
      <c r="C4" s="4"/>
      <c r="D4" s="4"/>
      <c r="E4" s="4"/>
      <c r="F4" s="4"/>
      <c r="G4" s="4"/>
    </row>
    <row r="5" spans="1:7" ht="15.95" customHeight="1">
      <c r="B5" s="4"/>
      <c r="C5" s="4"/>
      <c r="D5" s="4"/>
      <c r="E5" s="4"/>
      <c r="F5" s="4"/>
      <c r="G5" s="4"/>
    </row>
    <row r="6" spans="1:7" ht="15.95" customHeight="1">
      <c r="B6" s="166" t="s">
        <v>20</v>
      </c>
      <c r="C6" s="186"/>
      <c r="D6" s="187"/>
      <c r="E6" s="187"/>
      <c r="F6" s="187"/>
      <c r="G6" s="188"/>
    </row>
    <row r="7" spans="1:7" ht="15.95" customHeight="1">
      <c r="B7" s="366"/>
      <c r="C7" s="356"/>
      <c r="D7" s="355" t="s">
        <v>47</v>
      </c>
      <c r="E7" s="355"/>
      <c r="F7" s="355"/>
      <c r="G7" s="356"/>
    </row>
    <row r="8" spans="1:7" ht="15.95" customHeight="1">
      <c r="A8" s="102"/>
      <c r="B8" s="358" t="s">
        <v>30</v>
      </c>
      <c r="C8" s="359"/>
      <c r="D8" s="357" t="s">
        <v>52</v>
      </c>
      <c r="E8" s="359"/>
      <c r="F8" s="357" t="s">
        <v>227</v>
      </c>
      <c r="G8" s="359"/>
    </row>
    <row r="9" spans="1:7" ht="15.95" customHeight="1">
      <c r="A9" s="35" t="s">
        <v>81</v>
      </c>
      <c r="B9" s="189" t="s">
        <v>82</v>
      </c>
      <c r="C9" s="189" t="s">
        <v>83</v>
      </c>
      <c r="D9" s="189" t="s">
        <v>82</v>
      </c>
      <c r="E9" s="189" t="s">
        <v>83</v>
      </c>
      <c r="F9" s="189" t="s">
        <v>82</v>
      </c>
      <c r="G9" s="189" t="s">
        <v>83</v>
      </c>
    </row>
    <row r="10" spans="1:7" ht="5.0999999999999996" customHeight="1">
      <c r="A10" s="37"/>
    </row>
    <row r="11" spans="1:7" ht="14.1" customHeight="1">
      <c r="A11" s="360" t="s">
        <v>230</v>
      </c>
      <c r="B11" s="361">
        <v>59330</v>
      </c>
      <c r="C11" s="362">
        <f>B11/'- 3 -'!$D11*100</f>
        <v>0.35407301232583477</v>
      </c>
      <c r="D11" s="361">
        <v>1406035</v>
      </c>
      <c r="E11" s="362">
        <f>D11/'- 3 -'!$D11*100</f>
        <v>8.3910171563383642</v>
      </c>
      <c r="F11" s="361">
        <v>258200</v>
      </c>
      <c r="G11" s="362">
        <f>F11/'- 3 -'!$D11*100</f>
        <v>1.5409009233529503</v>
      </c>
    </row>
    <row r="12" spans="1:7" ht="14.1" customHeight="1">
      <c r="A12" s="23" t="s">
        <v>231</v>
      </c>
      <c r="B12" s="24">
        <v>83499</v>
      </c>
      <c r="C12" s="353">
        <f>B12/'- 3 -'!$D12*100</f>
        <v>0.26959161901618089</v>
      </c>
      <c r="D12" s="24">
        <v>2378980</v>
      </c>
      <c r="E12" s="353">
        <f>D12/'- 3 -'!$D12*100</f>
        <v>7.680967075139991</v>
      </c>
      <c r="F12" s="24">
        <v>542500</v>
      </c>
      <c r="G12" s="353">
        <f>F12/'- 3 -'!$D12*100</f>
        <v>1.75155933982776</v>
      </c>
    </row>
    <row r="13" spans="1:7" ht="14.1" customHeight="1">
      <c r="A13" s="360" t="s">
        <v>232</v>
      </c>
      <c r="B13" s="361">
        <v>218900</v>
      </c>
      <c r="C13" s="362">
        <f>B13/'- 3 -'!$D13*100</f>
        <v>0.25345651466608932</v>
      </c>
      <c r="D13" s="361">
        <v>5959800</v>
      </c>
      <c r="E13" s="362">
        <f>D13/'- 3 -'!$D13*100</f>
        <v>6.9006401832204602</v>
      </c>
      <c r="F13" s="361">
        <v>752600</v>
      </c>
      <c r="G13" s="362">
        <f>F13/'- 3 -'!$D13*100</f>
        <v>0.87140873886568659</v>
      </c>
    </row>
    <row r="14" spans="1:7" ht="14.1" customHeight="1">
      <c r="A14" s="23" t="s">
        <v>578</v>
      </c>
      <c r="B14" s="24">
        <v>320384</v>
      </c>
      <c r="C14" s="353">
        <f>B14/'- 3 -'!$D14*100</f>
        <v>0.42736120688350016</v>
      </c>
      <c r="D14" s="24">
        <v>6267520</v>
      </c>
      <c r="E14" s="353">
        <f>D14/'- 3 -'!$D14*100</f>
        <v>8.3602642808831735</v>
      </c>
      <c r="F14" s="24">
        <v>515380</v>
      </c>
      <c r="G14" s="353">
        <f>F14/'- 3 -'!$D14*100</f>
        <v>0.68746697339323537</v>
      </c>
    </row>
    <row r="15" spans="1:7" ht="14.1" customHeight="1">
      <c r="A15" s="360" t="s">
        <v>233</v>
      </c>
      <c r="B15" s="361">
        <v>73105</v>
      </c>
      <c r="C15" s="362">
        <f>B15/'- 3 -'!$D15*100</f>
        <v>0.37411608964784626</v>
      </c>
      <c r="D15" s="361">
        <v>1970700</v>
      </c>
      <c r="E15" s="362">
        <f>D15/'- 3 -'!$D15*100</f>
        <v>10.085091004295336</v>
      </c>
      <c r="F15" s="361">
        <v>244000</v>
      </c>
      <c r="G15" s="362">
        <f>F15/'- 3 -'!$D15*100</f>
        <v>1.2486741792500442</v>
      </c>
    </row>
    <row r="16" spans="1:7" ht="14.1" customHeight="1">
      <c r="A16" s="23" t="s">
        <v>234</v>
      </c>
      <c r="B16" s="24">
        <v>62871</v>
      </c>
      <c r="C16" s="353">
        <f>B16/'- 3 -'!$D16*100</f>
        <v>0.48009046052443188</v>
      </c>
      <c r="D16" s="24">
        <v>1712994</v>
      </c>
      <c r="E16" s="353">
        <f>D16/'- 3 -'!$D16*100</f>
        <v>13.080626653553923</v>
      </c>
      <c r="F16" s="24">
        <v>100000</v>
      </c>
      <c r="G16" s="353">
        <f>F16/'- 3 -'!$D16*100</f>
        <v>0.76361193638471137</v>
      </c>
    </row>
    <row r="17" spans="1:7" ht="14.1" customHeight="1">
      <c r="A17" s="360" t="s">
        <v>235</v>
      </c>
      <c r="B17" s="361">
        <v>71660</v>
      </c>
      <c r="C17" s="362">
        <f>B17/'- 3 -'!$D17*100</f>
        <v>0.43468043830055109</v>
      </c>
      <c r="D17" s="361">
        <v>1513045</v>
      </c>
      <c r="E17" s="362">
        <f>D17/'- 3 -'!$D17*100</f>
        <v>9.1779383724317256</v>
      </c>
      <c r="F17" s="361">
        <v>129510</v>
      </c>
      <c r="G17" s="362">
        <f>F17/'- 3 -'!$D17*100</f>
        <v>0.78559117449489779</v>
      </c>
    </row>
    <row r="18" spans="1:7" ht="14.1" customHeight="1">
      <c r="A18" s="23" t="s">
        <v>236</v>
      </c>
      <c r="B18" s="24">
        <v>850152</v>
      </c>
      <c r="C18" s="353">
        <f>B18/'- 3 -'!$D18*100</f>
        <v>0.71329179702435486</v>
      </c>
      <c r="D18" s="24">
        <v>15373436</v>
      </c>
      <c r="E18" s="353">
        <f>D18/'- 3 -'!$D18*100</f>
        <v>12.898570833073272</v>
      </c>
      <c r="F18" s="24">
        <v>1555196</v>
      </c>
      <c r="G18" s="353">
        <f>F18/'- 3 -'!$D18*100</f>
        <v>1.3048355465435457</v>
      </c>
    </row>
    <row r="19" spans="1:7" ht="14.1" customHeight="1">
      <c r="A19" s="360" t="s">
        <v>237</v>
      </c>
      <c r="B19" s="361">
        <v>162325</v>
      </c>
      <c r="C19" s="362">
        <f>B19/'- 3 -'!$D19*100</f>
        <v>0.37394323457615181</v>
      </c>
      <c r="D19" s="361">
        <v>3654900</v>
      </c>
      <c r="E19" s="362">
        <f>D19/'- 3 -'!$D19*100</f>
        <v>8.4196835241175236</v>
      </c>
      <c r="F19" s="361">
        <v>85000</v>
      </c>
      <c r="G19" s="362">
        <f>F19/'- 3 -'!$D19*100</f>
        <v>0.19581195095624768</v>
      </c>
    </row>
    <row r="20" spans="1:7" ht="14.1" customHeight="1">
      <c r="A20" s="23" t="s">
        <v>238</v>
      </c>
      <c r="B20" s="24">
        <v>249900</v>
      </c>
      <c r="C20" s="353">
        <f>B20/'- 3 -'!$D20*100</f>
        <v>0.3515944859179303</v>
      </c>
      <c r="D20" s="24">
        <v>6408400</v>
      </c>
      <c r="E20" s="353">
        <f>D20/'- 3 -'!$D20*100</f>
        <v>9.0162389097897755</v>
      </c>
      <c r="F20" s="24">
        <v>632000</v>
      </c>
      <c r="G20" s="353">
        <f>F20/'- 3 -'!$D20*100</f>
        <v>0.88918653501453371</v>
      </c>
    </row>
    <row r="21" spans="1:7" ht="14.1" customHeight="1">
      <c r="A21" s="360" t="s">
        <v>239</v>
      </c>
      <c r="B21" s="361">
        <v>175000</v>
      </c>
      <c r="C21" s="362">
        <f>B21/'- 3 -'!$D21*100</f>
        <v>0.51397804409150372</v>
      </c>
      <c r="D21" s="361">
        <v>2739500</v>
      </c>
      <c r="E21" s="362">
        <f>D21/'- 3 -'!$D21*100</f>
        <v>8.0459591530781402</v>
      </c>
      <c r="F21" s="361">
        <v>350000</v>
      </c>
      <c r="G21" s="362">
        <f>F21/'- 3 -'!$D21*100</f>
        <v>1.0279560881830074</v>
      </c>
    </row>
    <row r="22" spans="1:7" ht="14.1" customHeight="1">
      <c r="A22" s="23" t="s">
        <v>240</v>
      </c>
      <c r="B22" s="24">
        <v>92890</v>
      </c>
      <c r="C22" s="353">
        <f>B22/'- 3 -'!$D22*100</f>
        <v>0.46647913760064902</v>
      </c>
      <c r="D22" s="24">
        <v>2121775</v>
      </c>
      <c r="E22" s="353">
        <f>D22/'- 3 -'!$D22*100</f>
        <v>10.65522415957172</v>
      </c>
      <c r="F22" s="24">
        <v>115000</v>
      </c>
      <c r="G22" s="353">
        <f>F22/'- 3 -'!$D22*100</f>
        <v>0.57751211997066043</v>
      </c>
    </row>
    <row r="23" spans="1:7" ht="14.1" customHeight="1">
      <c r="A23" s="360" t="s">
        <v>241</v>
      </c>
      <c r="B23" s="361">
        <v>59250</v>
      </c>
      <c r="C23" s="362">
        <f>B23/'- 3 -'!$D23*100</f>
        <v>0.36975832471083964</v>
      </c>
      <c r="D23" s="361">
        <v>1138000</v>
      </c>
      <c r="E23" s="362">
        <f>D23/'- 3 -'!$D23*100</f>
        <v>7.1018560931803458</v>
      </c>
      <c r="F23" s="361">
        <v>140382</v>
      </c>
      <c r="G23" s="362">
        <f>F23/'- 3 -'!$D23*100</f>
        <v>0.87607448336805216</v>
      </c>
    </row>
    <row r="24" spans="1:7" ht="14.1" customHeight="1">
      <c r="A24" s="23" t="s">
        <v>242</v>
      </c>
      <c r="B24" s="24">
        <v>222790</v>
      </c>
      <c r="C24" s="353">
        <f>B24/'- 3 -'!$D24*100</f>
        <v>0.42221260135665573</v>
      </c>
      <c r="D24" s="24">
        <v>4736530</v>
      </c>
      <c r="E24" s="353">
        <f>D24/'- 3 -'!$D24*100</f>
        <v>8.9762675735169459</v>
      </c>
      <c r="F24" s="24">
        <v>220200</v>
      </c>
      <c r="G24" s="353">
        <f>F24/'- 3 -'!$D24*100</f>
        <v>0.41730425431453655</v>
      </c>
    </row>
    <row r="25" spans="1:7" ht="14.1" customHeight="1">
      <c r="A25" s="360" t="s">
        <v>243</v>
      </c>
      <c r="B25" s="361">
        <v>579128</v>
      </c>
      <c r="C25" s="362">
        <f>B25/'- 3 -'!$D25*100</f>
        <v>0.37398742601537016</v>
      </c>
      <c r="D25" s="361">
        <v>14555142</v>
      </c>
      <c r="E25" s="362">
        <f>D25/'- 3 -'!$D25*100</f>
        <v>9.3993730088481424</v>
      </c>
      <c r="F25" s="361">
        <v>501460</v>
      </c>
      <c r="G25" s="362">
        <f>F25/'- 3 -'!$D25*100</f>
        <v>0.32383123359545302</v>
      </c>
    </row>
    <row r="26" spans="1:7" ht="14.1" customHeight="1">
      <c r="A26" s="23" t="s">
        <v>244</v>
      </c>
      <c r="B26" s="24">
        <v>152068</v>
      </c>
      <c r="C26" s="353">
        <f>B26/'- 3 -'!$D26*100</f>
        <v>0.40078055061546464</v>
      </c>
      <c r="D26" s="24">
        <v>3977133</v>
      </c>
      <c r="E26" s="353">
        <f>D26/'- 3 -'!$D26*100</f>
        <v>10.481873593464337</v>
      </c>
      <c r="F26" s="24">
        <v>176580</v>
      </c>
      <c r="G26" s="353">
        <f>F26/'- 3 -'!$D26*100</f>
        <v>0.4653827868300941</v>
      </c>
    </row>
    <row r="27" spans="1:7" ht="14.1" customHeight="1">
      <c r="A27" s="360" t="s">
        <v>245</v>
      </c>
      <c r="B27" s="361">
        <v>204691</v>
      </c>
      <c r="C27" s="362">
        <f>B27/'- 3 -'!$D27*100</f>
        <v>0.53197728172606273</v>
      </c>
      <c r="D27" s="361">
        <v>4062250</v>
      </c>
      <c r="E27" s="362">
        <f>D27/'- 3 -'!$D27*100</f>
        <v>10.557497460521951</v>
      </c>
      <c r="F27" s="361">
        <v>452000</v>
      </c>
      <c r="G27" s="362">
        <f>F27/'- 3 -'!$D27*100</f>
        <v>1.1747156999583781</v>
      </c>
    </row>
    <row r="28" spans="1:7" ht="14.1" customHeight="1">
      <c r="A28" s="23" t="s">
        <v>246</v>
      </c>
      <c r="B28" s="24">
        <v>46017</v>
      </c>
      <c r="C28" s="353">
        <f>B28/'- 3 -'!$D28*100</f>
        <v>0.17649255817903034</v>
      </c>
      <c r="D28" s="24">
        <v>2583275</v>
      </c>
      <c r="E28" s="353">
        <f>D28/'- 3 -'!$D28*100</f>
        <v>9.9078343488261869</v>
      </c>
      <c r="F28" s="24">
        <v>187486</v>
      </c>
      <c r="G28" s="353">
        <f>F28/'- 3 -'!$D28*100</f>
        <v>0.71907955239919352</v>
      </c>
    </row>
    <row r="29" spans="1:7" ht="14.1" customHeight="1">
      <c r="A29" s="360" t="s">
        <v>247</v>
      </c>
      <c r="B29" s="361">
        <v>939834</v>
      </c>
      <c r="C29" s="362">
        <f>B29/'- 3 -'!$D29*100</f>
        <v>0.66177601511785922</v>
      </c>
      <c r="D29" s="361">
        <v>12881987</v>
      </c>
      <c r="E29" s="362">
        <f>D29/'- 3 -'!$D29*100</f>
        <v>9.0707401771590153</v>
      </c>
      <c r="F29" s="361">
        <v>2308800</v>
      </c>
      <c r="G29" s="362">
        <f>F29/'- 3 -'!$D29*100</f>
        <v>1.6257216313775766</v>
      </c>
    </row>
    <row r="30" spans="1:7" ht="14.1" customHeight="1">
      <c r="A30" s="23" t="s">
        <v>248</v>
      </c>
      <c r="B30" s="24">
        <v>58080</v>
      </c>
      <c r="C30" s="353">
        <f>B30/'- 3 -'!$D30*100</f>
        <v>0.43165246268952334</v>
      </c>
      <c r="D30" s="24">
        <v>1104025</v>
      </c>
      <c r="E30" s="353">
        <f>D30/'- 3 -'!$D30*100</f>
        <v>8.2051499676446458</v>
      </c>
      <c r="F30" s="24">
        <v>254050</v>
      </c>
      <c r="G30" s="353">
        <f>F30/'- 3 -'!$D30*100</f>
        <v>1.8881079226286746</v>
      </c>
    </row>
    <row r="31" spans="1:7" ht="14.1" customHeight="1">
      <c r="A31" s="360" t="s">
        <v>249</v>
      </c>
      <c r="B31" s="361">
        <v>102578</v>
      </c>
      <c r="C31" s="362">
        <f>B31/'- 3 -'!$D31*100</f>
        <v>0.30506166288375491</v>
      </c>
      <c r="D31" s="361">
        <v>3460892</v>
      </c>
      <c r="E31" s="362">
        <f>D31/'- 3 -'!$D31*100</f>
        <v>10.292513683061518</v>
      </c>
      <c r="F31" s="361">
        <v>128220</v>
      </c>
      <c r="G31" s="362">
        <f>F31/'- 3 -'!$D31*100</f>
        <v>0.38131964373408583</v>
      </c>
    </row>
    <row r="32" spans="1:7" ht="14.1" customHeight="1">
      <c r="A32" s="23" t="s">
        <v>250</v>
      </c>
      <c r="B32" s="24">
        <v>91550</v>
      </c>
      <c r="C32" s="353">
        <f>B32/'- 3 -'!$D32*100</f>
        <v>0.35841216247694396</v>
      </c>
      <c r="D32" s="24">
        <v>1992000</v>
      </c>
      <c r="E32" s="353">
        <f>D32/'- 3 -'!$D32*100</f>
        <v>7.7985475440095291</v>
      </c>
      <c r="F32" s="24">
        <v>397000</v>
      </c>
      <c r="G32" s="353">
        <f>F32/'- 3 -'!$D32*100</f>
        <v>1.5542286018934655</v>
      </c>
    </row>
    <row r="33" spans="1:7" ht="14.1" customHeight="1">
      <c r="A33" s="360" t="s">
        <v>251</v>
      </c>
      <c r="B33" s="361">
        <v>87700</v>
      </c>
      <c r="C33" s="362">
        <f>B33/'- 3 -'!$D33*100</f>
        <v>0.33392604889713018</v>
      </c>
      <c r="D33" s="361">
        <v>2684500</v>
      </c>
      <c r="E33" s="362">
        <f>D33/'- 3 -'!$D33*100</f>
        <v>10.22148777952504</v>
      </c>
      <c r="F33" s="361">
        <v>388400</v>
      </c>
      <c r="G33" s="362">
        <f>F33/'- 3 -'!$D33*100</f>
        <v>1.4788697536105515</v>
      </c>
    </row>
    <row r="34" spans="1:7" ht="14.1" customHeight="1">
      <c r="A34" s="23" t="s">
        <v>252</v>
      </c>
      <c r="B34" s="24">
        <v>65173</v>
      </c>
      <c r="C34" s="353">
        <f>B34/'- 3 -'!$D34*100</f>
        <v>0.25514908014710508</v>
      </c>
      <c r="D34" s="24">
        <v>2052813</v>
      </c>
      <c r="E34" s="353">
        <f>D34/'- 3 -'!$D34*100</f>
        <v>8.0366616338670784</v>
      </c>
      <c r="F34" s="24">
        <v>432052</v>
      </c>
      <c r="G34" s="353">
        <f>F34/'- 3 -'!$D34*100</f>
        <v>1.6914622677445725</v>
      </c>
    </row>
    <row r="35" spans="1:7" ht="14.1" customHeight="1">
      <c r="A35" s="360" t="s">
        <v>253</v>
      </c>
      <c r="B35" s="361">
        <v>782350</v>
      </c>
      <c r="C35" s="362">
        <f>B35/'- 3 -'!$D35*100</f>
        <v>0.46694174778895459</v>
      </c>
      <c r="D35" s="361">
        <v>17747850</v>
      </c>
      <c r="E35" s="362">
        <f>D35/'- 3 -'!$D35*100</f>
        <v>10.592716940622736</v>
      </c>
      <c r="F35" s="361">
        <v>622000</v>
      </c>
      <c r="G35" s="362">
        <f>F35/'- 3 -'!$D35*100</f>
        <v>0.37123763932348658</v>
      </c>
    </row>
    <row r="36" spans="1:7" ht="14.1" customHeight="1">
      <c r="A36" s="23" t="s">
        <v>254</v>
      </c>
      <c r="B36" s="24">
        <v>59315</v>
      </c>
      <c r="C36" s="353">
        <f>B36/'- 3 -'!$D36*100</f>
        <v>0.27500893668929388</v>
      </c>
      <c r="D36" s="24">
        <v>2054550</v>
      </c>
      <c r="E36" s="353">
        <f>D36/'- 3 -'!$D36*100</f>
        <v>9.5257457788921656</v>
      </c>
      <c r="F36" s="24">
        <v>155000</v>
      </c>
      <c r="G36" s="353">
        <f>F36/'- 3 -'!$D36*100</f>
        <v>0.7186442752565213</v>
      </c>
    </row>
    <row r="37" spans="1:7" ht="14.1" customHeight="1">
      <c r="A37" s="360" t="s">
        <v>255</v>
      </c>
      <c r="B37" s="361">
        <v>110791</v>
      </c>
      <c r="C37" s="362">
        <f>B37/'- 3 -'!$D37*100</f>
        <v>0.26590871725822962</v>
      </c>
      <c r="D37" s="361">
        <v>3752439</v>
      </c>
      <c r="E37" s="362">
        <f>D37/'- 3 -'!$D37*100</f>
        <v>9.0062030406779776</v>
      </c>
      <c r="F37" s="361">
        <v>400000</v>
      </c>
      <c r="G37" s="362">
        <f>F37/'- 3 -'!$D37*100</f>
        <v>0.96003724944527857</v>
      </c>
    </row>
    <row r="38" spans="1:7" ht="14.1" customHeight="1">
      <c r="A38" s="23" t="s">
        <v>256</v>
      </c>
      <c r="B38" s="24">
        <v>567150</v>
      </c>
      <c r="C38" s="353">
        <f>B38/'- 3 -'!$D38*100</f>
        <v>0.48351265743467103</v>
      </c>
      <c r="D38" s="24">
        <v>9902510</v>
      </c>
      <c r="E38" s="353">
        <f>D38/'- 3 -'!$D38*100</f>
        <v>8.4421915284728968</v>
      </c>
      <c r="F38" s="24">
        <v>1167620</v>
      </c>
      <c r="G38" s="353">
        <f>F38/'- 3 -'!$D38*100</f>
        <v>0.99543163021047432</v>
      </c>
    </row>
    <row r="39" spans="1:7" ht="14.1" customHeight="1">
      <c r="A39" s="360" t="s">
        <v>257</v>
      </c>
      <c r="B39" s="361">
        <v>71821</v>
      </c>
      <c r="C39" s="362">
        <f>B39/'- 3 -'!$D39*100</f>
        <v>0.3495113673315271</v>
      </c>
      <c r="D39" s="361">
        <v>1937895</v>
      </c>
      <c r="E39" s="362">
        <f>D39/'- 3 -'!$D39*100</f>
        <v>9.430616827876662</v>
      </c>
      <c r="F39" s="361">
        <v>160200</v>
      </c>
      <c r="G39" s="362">
        <f>F39/'- 3 -'!$D39*100</f>
        <v>0.77960096693878733</v>
      </c>
    </row>
    <row r="40" spans="1:7" ht="14.1" customHeight="1">
      <c r="A40" s="23" t="s">
        <v>258</v>
      </c>
      <c r="B40" s="24">
        <v>446680</v>
      </c>
      <c r="C40" s="353">
        <f>B40/'- 3 -'!$D40*100</f>
        <v>0.45944142669008675</v>
      </c>
      <c r="D40" s="24">
        <v>8039851</v>
      </c>
      <c r="E40" s="353">
        <f>D40/'- 3 -'!$D40*100</f>
        <v>8.269545566883945</v>
      </c>
      <c r="F40" s="24">
        <v>1075411</v>
      </c>
      <c r="G40" s="353">
        <f>F40/'- 3 -'!$D40*100</f>
        <v>1.1061349604150912</v>
      </c>
    </row>
    <row r="41" spans="1:7" ht="14.1" customHeight="1">
      <c r="A41" s="360" t="s">
        <v>259</v>
      </c>
      <c r="B41" s="361">
        <v>182336</v>
      </c>
      <c r="C41" s="362">
        <f>B41/'- 3 -'!$D41*100</f>
        <v>0.31612083452599299</v>
      </c>
      <c r="D41" s="361">
        <v>4129203</v>
      </c>
      <c r="E41" s="362">
        <f>D41/'- 3 -'!$D41*100</f>
        <v>7.1589104635795113</v>
      </c>
      <c r="F41" s="361">
        <v>395540</v>
      </c>
      <c r="G41" s="362">
        <f>F41/'- 3 -'!$D41*100</f>
        <v>0.68575835209948266</v>
      </c>
    </row>
    <row r="42" spans="1:7" ht="14.1" customHeight="1">
      <c r="A42" s="23" t="s">
        <v>260</v>
      </c>
      <c r="B42" s="24">
        <v>52459</v>
      </c>
      <c r="C42" s="353">
        <f>B42/'- 3 -'!$D42*100</f>
        <v>0.26001156543179965</v>
      </c>
      <c r="D42" s="24">
        <v>1791369</v>
      </c>
      <c r="E42" s="353">
        <f>D42/'- 3 -'!$D42*100</f>
        <v>8.8788703169331775</v>
      </c>
      <c r="F42" s="24">
        <v>96979</v>
      </c>
      <c r="G42" s="353">
        <f>F42/'- 3 -'!$D42*100</f>
        <v>0.48067369953698125</v>
      </c>
    </row>
    <row r="43" spans="1:7" ht="14.1" customHeight="1">
      <c r="A43" s="360" t="s">
        <v>261</v>
      </c>
      <c r="B43" s="361">
        <v>21388</v>
      </c>
      <c r="C43" s="362">
        <f>B43/'- 3 -'!$D43*100</f>
        <v>0.17888970949241259</v>
      </c>
      <c r="D43" s="361">
        <v>828642</v>
      </c>
      <c r="E43" s="362">
        <f>D43/'- 3 -'!$D43*100</f>
        <v>6.9307801876384776</v>
      </c>
      <c r="F43" s="361">
        <v>125783</v>
      </c>
      <c r="G43" s="362">
        <f>F43/'- 3 -'!$D43*100</f>
        <v>1.0520518201367184</v>
      </c>
    </row>
    <row r="44" spans="1:7" ht="14.1" customHeight="1">
      <c r="A44" s="23" t="s">
        <v>262</v>
      </c>
      <c r="B44" s="24">
        <v>29663</v>
      </c>
      <c r="C44" s="353">
        <f>B44/'- 3 -'!$D44*100</f>
        <v>0.28147117295090779</v>
      </c>
      <c r="D44" s="24">
        <v>983690</v>
      </c>
      <c r="E44" s="353">
        <f>D44/'- 3 -'!$D44*100</f>
        <v>9.3342001186689973</v>
      </c>
      <c r="F44" s="24">
        <v>53940</v>
      </c>
      <c r="G44" s="353">
        <f>F44/'- 3 -'!$D44*100</f>
        <v>0.51183477965721491</v>
      </c>
    </row>
    <row r="45" spans="1:7" ht="14.1" customHeight="1">
      <c r="A45" s="360" t="s">
        <v>263</v>
      </c>
      <c r="B45" s="361">
        <v>66349</v>
      </c>
      <c r="C45" s="362">
        <f>B45/'- 3 -'!$D45*100</f>
        <v>0.39185278822668668</v>
      </c>
      <c r="D45" s="361">
        <v>1371278</v>
      </c>
      <c r="E45" s="362">
        <f>D45/'- 3 -'!$D45*100</f>
        <v>8.0986768110131955</v>
      </c>
      <c r="F45" s="361">
        <v>138880</v>
      </c>
      <c r="G45" s="362">
        <f>F45/'- 3 -'!$D45*100</f>
        <v>0.82021605794996544</v>
      </c>
    </row>
    <row r="46" spans="1:7" ht="14.1" customHeight="1">
      <c r="A46" s="23" t="s">
        <v>264</v>
      </c>
      <c r="B46" s="24">
        <v>1034000</v>
      </c>
      <c r="C46" s="353">
        <f>B46/'- 3 -'!$D46*100</f>
        <v>0.28669804263427257</v>
      </c>
      <c r="D46" s="24">
        <v>36876400</v>
      </c>
      <c r="E46" s="353">
        <f>D46/'- 3 -'!$D46*100</f>
        <v>10.224750192841865</v>
      </c>
      <c r="F46" s="24">
        <v>4664400</v>
      </c>
      <c r="G46" s="353">
        <f>F46/'- 3 -'!$D46*100</f>
        <v>1.2933020793648946</v>
      </c>
    </row>
    <row r="47" spans="1:7" ht="5.0999999999999996" customHeight="1">
      <c r="A47"/>
      <c r="B47"/>
      <c r="C47"/>
      <c r="D47"/>
      <c r="E47"/>
      <c r="F47"/>
      <c r="G47"/>
    </row>
    <row r="48" spans="1:7" ht="14.1" customHeight="1">
      <c r="A48" s="363" t="s">
        <v>265</v>
      </c>
      <c r="B48" s="364">
        <f>SUM(B11:B46)</f>
        <v>8453177</v>
      </c>
      <c r="C48" s="365">
        <f>B48/'- 3 -'!$D48*100</f>
        <v>0.40597483919567912</v>
      </c>
      <c r="D48" s="364">
        <f>SUM(D11:D46)</f>
        <v>196151309</v>
      </c>
      <c r="E48" s="365">
        <f>D48/'- 3 -'!$D48*100</f>
        <v>9.4204221831977453</v>
      </c>
      <c r="F48" s="364">
        <f>SUM(F11:F46)</f>
        <v>19921769</v>
      </c>
      <c r="G48" s="365">
        <f>F48/'- 3 -'!$D48*100</f>
        <v>0.95676891259563901</v>
      </c>
    </row>
    <row r="49" spans="1:7" ht="5.0999999999999996" customHeight="1">
      <c r="A49" s="25" t="s">
        <v>3</v>
      </c>
      <c r="B49" s="26"/>
      <c r="C49" s="351"/>
      <c r="D49" s="26"/>
      <c r="E49" s="351"/>
      <c r="F49" s="26"/>
      <c r="G49" s="351"/>
    </row>
    <row r="50" spans="1:7" ht="14.1" customHeight="1">
      <c r="A50" s="23" t="s">
        <v>266</v>
      </c>
      <c r="B50" s="24">
        <v>0</v>
      </c>
      <c r="C50" s="353">
        <f>B50/'- 3 -'!$D50*100</f>
        <v>0</v>
      </c>
      <c r="D50" s="24">
        <v>444400</v>
      </c>
      <c r="E50" s="353">
        <f>D50/'- 3 -'!$D50*100</f>
        <v>13.541551446163954</v>
      </c>
      <c r="F50" s="24">
        <v>0</v>
      </c>
      <c r="G50" s="353">
        <f>F50/'- 3 -'!$D50*100</f>
        <v>0</v>
      </c>
    </row>
    <row r="51" spans="1:7" ht="14.1" customHeight="1">
      <c r="A51" s="360" t="s">
        <v>267</v>
      </c>
      <c r="B51" s="361">
        <v>115430</v>
      </c>
      <c r="C51" s="362">
        <f>B51/'- 3 -'!$D51*100</f>
        <v>0.55537026641029408</v>
      </c>
      <c r="D51" s="361">
        <v>1927638</v>
      </c>
      <c r="E51" s="362">
        <f>D51/'- 3 -'!$D51*100</f>
        <v>9.2744765624413628</v>
      </c>
      <c r="F51" s="361">
        <v>48500</v>
      </c>
      <c r="G51" s="362">
        <f>F51/'- 3 -'!$D51*100</f>
        <v>0.23334885143289663</v>
      </c>
    </row>
    <row r="52" spans="1:7" ht="50.1" customHeight="1"/>
    <row r="53" spans="1:7" ht="15" customHeight="1"/>
    <row r="54" spans="1:7" ht="14.45" customHeight="1"/>
    <row r="55" spans="1:7" ht="14.45" customHeight="1"/>
    <row r="56" spans="1:7" ht="14.45" customHeight="1"/>
    <row r="57" spans="1:7" ht="14.45" customHeight="1"/>
    <row r="58" spans="1:7" ht="14.45" customHeight="1"/>
    <row r="59" spans="1:7"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29.xml><?xml version="1.0" encoding="utf-8"?>
<worksheet xmlns="http://schemas.openxmlformats.org/spreadsheetml/2006/main" xmlns:r="http://schemas.openxmlformats.org/officeDocument/2006/relationships">
  <sheetPr codeName="Sheet30">
    <pageSetUpPr fitToPage="1"/>
  </sheetPr>
  <dimension ref="A1:F59"/>
  <sheetViews>
    <sheetView showGridLines="0" showZeros="0" workbookViewId="0"/>
  </sheetViews>
  <sheetFormatPr defaultColWidth="15.83203125" defaultRowHeight="12"/>
  <cols>
    <col min="1" max="1" width="35.83203125" style="1" customWidth="1"/>
    <col min="2" max="2" width="19.83203125" style="1" customWidth="1"/>
    <col min="3" max="3" width="10.1640625" style="1" customWidth="1"/>
    <col min="4" max="4" width="19.83203125" style="1" customWidth="1"/>
    <col min="5" max="5" width="11.1640625" style="1" customWidth="1"/>
    <col min="6" max="6" width="25.83203125" style="1" customWidth="1"/>
    <col min="7" max="16384" width="15.83203125" style="1"/>
  </cols>
  <sheetData>
    <row r="1" spans="1:6" ht="6.95" customHeight="1">
      <c r="A1" s="3"/>
      <c r="B1" s="3"/>
      <c r="C1" s="3"/>
      <c r="D1" s="4"/>
      <c r="E1" s="4"/>
      <c r="F1" s="4"/>
    </row>
    <row r="2" spans="1:6" ht="15.95" customHeight="1">
      <c r="A2" s="161"/>
      <c r="B2" s="5" t="s">
        <v>483</v>
      </c>
      <c r="C2" s="190"/>
      <c r="D2" s="162"/>
      <c r="E2" s="6"/>
      <c r="F2" s="184" t="s">
        <v>445</v>
      </c>
    </row>
    <row r="3" spans="1:6" ht="15.95" customHeight="1">
      <c r="A3" s="164"/>
      <c r="B3" s="7" t="str">
        <f>OPYEAR</f>
        <v>OPERATING FUND 2013/2014 BUDGET</v>
      </c>
      <c r="C3" s="191"/>
      <c r="D3" s="177"/>
      <c r="E3" s="8"/>
      <c r="F3" s="101"/>
    </row>
    <row r="4" spans="1:6" ht="15.95" customHeight="1">
      <c r="D4" s="4"/>
      <c r="E4" s="4"/>
      <c r="F4" s="4"/>
    </row>
    <row r="5" spans="1:6" ht="15.95" customHeight="1">
      <c r="D5" s="4"/>
      <c r="E5" s="4"/>
      <c r="F5" s="4"/>
    </row>
    <row r="6" spans="1:6" ht="15.95" customHeight="1">
      <c r="B6" s="185" t="s">
        <v>397</v>
      </c>
      <c r="C6" s="187"/>
      <c r="D6" s="72"/>
      <c r="E6" s="192"/>
      <c r="F6" s="75"/>
    </row>
    <row r="7" spans="1:6" ht="15.95" customHeight="1">
      <c r="B7" s="441"/>
      <c r="C7" s="356"/>
      <c r="D7" s="441"/>
      <c r="E7" s="356"/>
      <c r="F7" s="4"/>
    </row>
    <row r="8" spans="1:6" ht="15.95" customHeight="1">
      <c r="A8" s="102"/>
      <c r="B8" s="358" t="s">
        <v>65</v>
      </c>
      <c r="C8" s="359"/>
      <c r="D8" s="357" t="s">
        <v>66</v>
      </c>
      <c r="E8" s="359"/>
      <c r="F8" s="4"/>
    </row>
    <row r="9" spans="1:6" ht="15.95" customHeight="1">
      <c r="A9" s="35" t="s">
        <v>81</v>
      </c>
      <c r="B9" s="189" t="s">
        <v>82</v>
      </c>
      <c r="C9" s="189" t="s">
        <v>83</v>
      </c>
      <c r="D9" s="193" t="s">
        <v>82</v>
      </c>
      <c r="E9" s="189" t="s">
        <v>83</v>
      </c>
    </row>
    <row r="10" spans="1:6" ht="5.0999999999999996" customHeight="1">
      <c r="A10" s="37"/>
    </row>
    <row r="11" spans="1:6" ht="14.1" customHeight="1">
      <c r="A11" s="360" t="s">
        <v>230</v>
      </c>
      <c r="B11" s="361">
        <v>57980</v>
      </c>
      <c r="C11" s="362">
        <f>B11/'- 3 -'!$D11*100</f>
        <v>0.34601640408986856</v>
      </c>
      <c r="D11" s="361">
        <v>21700</v>
      </c>
      <c r="E11" s="362">
        <f>D11/'- 3 -'!$D11*100</f>
        <v>0.12950251757071657</v>
      </c>
    </row>
    <row r="12" spans="1:6" ht="14.1" customHeight="1">
      <c r="A12" s="23" t="s">
        <v>231</v>
      </c>
      <c r="B12" s="24">
        <v>231828</v>
      </c>
      <c r="C12" s="353">
        <f>B12/'- 3 -'!$D12*100</f>
        <v>0.74849861499279258</v>
      </c>
      <c r="D12" s="24">
        <v>86276</v>
      </c>
      <c r="E12" s="353">
        <f>D12/'- 3 -'!$D12*100</f>
        <v>0.27855766562761258</v>
      </c>
    </row>
    <row r="13" spans="1:6" ht="14.1" customHeight="1">
      <c r="A13" s="360" t="s">
        <v>232</v>
      </c>
      <c r="B13" s="361">
        <v>240000</v>
      </c>
      <c r="C13" s="362">
        <f>B13/'- 3 -'!$D13*100</f>
        <v>0.27788745326569858</v>
      </c>
      <c r="D13" s="361">
        <v>159100</v>
      </c>
      <c r="E13" s="362">
        <f>D13/'- 3 -'!$D13*100</f>
        <v>0.18421622422738604</v>
      </c>
    </row>
    <row r="14" spans="1:6" ht="14.1" customHeight="1">
      <c r="A14" s="23" t="s">
        <v>578</v>
      </c>
      <c r="B14" s="24">
        <v>151396</v>
      </c>
      <c r="C14" s="353">
        <f>B14/'- 3 -'!$D14*100</f>
        <v>0.20194759188141226</v>
      </c>
      <c r="D14" s="24">
        <v>316974</v>
      </c>
      <c r="E14" s="353">
        <f>D14/'- 3 -'!$D14*100</f>
        <v>0.42281259735408316</v>
      </c>
    </row>
    <row r="15" spans="1:6" ht="14.1" customHeight="1">
      <c r="A15" s="360" t="s">
        <v>233</v>
      </c>
      <c r="B15" s="361">
        <v>114975</v>
      </c>
      <c r="C15" s="362">
        <f>B15/'- 3 -'!$D15*100</f>
        <v>0.58838653180030265</v>
      </c>
      <c r="D15" s="361">
        <v>75000</v>
      </c>
      <c r="E15" s="362">
        <f>D15/'- 3 -'!$D15*100</f>
        <v>0.38381378460554638</v>
      </c>
    </row>
    <row r="16" spans="1:6" ht="14.1" customHeight="1">
      <c r="A16" s="23" t="s">
        <v>234</v>
      </c>
      <c r="B16" s="24">
        <v>7137</v>
      </c>
      <c r="C16" s="353">
        <f>B16/'- 3 -'!$D16*100</f>
        <v>5.4498983899776844E-2</v>
      </c>
      <c r="D16" s="24">
        <v>21000</v>
      </c>
      <c r="E16" s="353">
        <f>D16/'- 3 -'!$D16*100</f>
        <v>0.16035850664078938</v>
      </c>
    </row>
    <row r="17" spans="1:5" ht="14.1" customHeight="1">
      <c r="A17" s="360" t="s">
        <v>235</v>
      </c>
      <c r="B17" s="361">
        <v>64100</v>
      </c>
      <c r="C17" s="362">
        <f>B17/'- 3 -'!$D17*100</f>
        <v>0.38882244062329507</v>
      </c>
      <c r="D17" s="361">
        <v>54600</v>
      </c>
      <c r="E17" s="362">
        <f>D17/'- 3 -'!$D17*100</f>
        <v>0.33119664989129349</v>
      </c>
    </row>
    <row r="18" spans="1:5" ht="14.1" customHeight="1">
      <c r="A18" s="23" t="s">
        <v>236</v>
      </c>
      <c r="B18" s="24">
        <v>2919054</v>
      </c>
      <c r="C18" s="353">
        <f>B18/'- 3 -'!$D18*100</f>
        <v>2.4491352996536278</v>
      </c>
      <c r="D18" s="24">
        <v>65750</v>
      </c>
      <c r="E18" s="353">
        <f>D18/'- 3 -'!$D18*100</f>
        <v>5.5165353553660208E-2</v>
      </c>
    </row>
    <row r="19" spans="1:5" ht="14.1" customHeight="1">
      <c r="A19" s="360" t="s">
        <v>237</v>
      </c>
      <c r="B19" s="361">
        <v>66400</v>
      </c>
      <c r="C19" s="362">
        <f>B19/'- 3 -'!$D19*100</f>
        <v>0.15296368874699817</v>
      </c>
      <c r="D19" s="361">
        <v>22000</v>
      </c>
      <c r="E19" s="362">
        <f>D19/'- 3 -'!$D19*100</f>
        <v>5.0680740247499391E-2</v>
      </c>
    </row>
    <row r="20" spans="1:5" ht="14.1" customHeight="1">
      <c r="A20" s="23" t="s">
        <v>238</v>
      </c>
      <c r="B20" s="24">
        <v>181500</v>
      </c>
      <c r="C20" s="353">
        <f>B20/'- 3 -'!$D20*100</f>
        <v>0.25535974067268646</v>
      </c>
      <c r="D20" s="24">
        <v>375900</v>
      </c>
      <c r="E20" s="353">
        <f>D20/'- 3 -'!$D20*100</f>
        <v>0.52886901663285324</v>
      </c>
    </row>
    <row r="21" spans="1:5" ht="14.1" customHeight="1">
      <c r="A21" s="360" t="s">
        <v>239</v>
      </c>
      <c r="B21" s="361">
        <v>147000</v>
      </c>
      <c r="C21" s="362">
        <f>B21/'- 3 -'!$D21*100</f>
        <v>0.43174155703686312</v>
      </c>
      <c r="D21" s="361">
        <v>136000</v>
      </c>
      <c r="E21" s="362">
        <f>D21/'- 3 -'!$D21*100</f>
        <v>0.39943436569396856</v>
      </c>
    </row>
    <row r="22" spans="1:5" ht="14.1" customHeight="1">
      <c r="A22" s="23" t="s">
        <v>240</v>
      </c>
      <c r="B22" s="24">
        <v>60615</v>
      </c>
      <c r="C22" s="353">
        <f>B22/'- 3 -'!$D22*100</f>
        <v>0.30439910566975287</v>
      </c>
      <c r="D22" s="24">
        <v>6500</v>
      </c>
      <c r="E22" s="353">
        <f>D22/'- 3 -'!$D22*100</f>
        <v>3.264198938964602E-2</v>
      </c>
    </row>
    <row r="23" spans="1:5" ht="14.1" customHeight="1">
      <c r="A23" s="360" t="s">
        <v>241</v>
      </c>
      <c r="B23" s="361">
        <v>45000</v>
      </c>
      <c r="C23" s="362">
        <f>B23/'- 3 -'!$D23*100</f>
        <v>0.28082910737532124</v>
      </c>
      <c r="D23" s="361">
        <v>7700</v>
      </c>
      <c r="E23" s="362">
        <f>D23/'- 3 -'!$D23*100</f>
        <v>4.8052980595332744E-2</v>
      </c>
    </row>
    <row r="24" spans="1:5" ht="14.1" customHeight="1">
      <c r="A24" s="23" t="s">
        <v>242</v>
      </c>
      <c r="B24" s="24">
        <v>249915</v>
      </c>
      <c r="C24" s="353">
        <f>B24/'- 3 -'!$D24*100</f>
        <v>0.47361758727074205</v>
      </c>
      <c r="D24" s="24">
        <v>324880</v>
      </c>
      <c r="E24" s="353">
        <f>D24/'- 3 -'!$D24*100</f>
        <v>0.61568485986242794</v>
      </c>
    </row>
    <row r="25" spans="1:5" ht="14.1" customHeight="1">
      <c r="A25" s="360" t="s">
        <v>243</v>
      </c>
      <c r="B25" s="361">
        <v>222000</v>
      </c>
      <c r="C25" s="362">
        <f>B25/'- 3 -'!$D25*100</f>
        <v>0.14336244936423759</v>
      </c>
      <c r="D25" s="361">
        <v>345000</v>
      </c>
      <c r="E25" s="362">
        <f>D25/'- 3 -'!$D25*100</f>
        <v>0.22279299563361243</v>
      </c>
    </row>
    <row r="26" spans="1:5" ht="14.1" customHeight="1">
      <c r="A26" s="23" t="s">
        <v>244</v>
      </c>
      <c r="B26" s="24">
        <v>241953</v>
      </c>
      <c r="C26" s="353">
        <f>B26/'- 3 -'!$D26*100</f>
        <v>0.63767562250482357</v>
      </c>
      <c r="D26" s="24">
        <v>85500</v>
      </c>
      <c r="E26" s="353">
        <f>D26/'- 3 -'!$D26*100</f>
        <v>0.22533825050386819</v>
      </c>
    </row>
    <row r="27" spans="1:5" ht="14.1" customHeight="1">
      <c r="A27" s="360" t="s">
        <v>245</v>
      </c>
      <c r="B27" s="361">
        <v>163025</v>
      </c>
      <c r="C27" s="362">
        <f>B27/'- 3 -'!$D27*100</f>
        <v>0.42369032518963406</v>
      </c>
      <c r="D27" s="361">
        <v>156480</v>
      </c>
      <c r="E27" s="362">
        <f>D27/'- 3 -'!$D27*100</f>
        <v>0.40668033789709518</v>
      </c>
    </row>
    <row r="28" spans="1:5" ht="14.1" customHeight="1">
      <c r="A28" s="23" t="s">
        <v>246</v>
      </c>
      <c r="B28" s="24">
        <v>56950</v>
      </c>
      <c r="C28" s="353">
        <f>B28/'- 3 -'!$D28*100</f>
        <v>0.21842473842918439</v>
      </c>
      <c r="D28" s="24">
        <v>49000</v>
      </c>
      <c r="E28" s="353">
        <f>D28/'- 3 -'!$D28*100</f>
        <v>0.18793348872748086</v>
      </c>
    </row>
    <row r="29" spans="1:5" ht="14.1" customHeight="1">
      <c r="A29" s="360" t="s">
        <v>247</v>
      </c>
      <c r="B29" s="361">
        <v>443859</v>
      </c>
      <c r="C29" s="362">
        <f>B29/'- 3 -'!$D29*100</f>
        <v>0.31253949132953041</v>
      </c>
      <c r="D29" s="361">
        <v>463528</v>
      </c>
      <c r="E29" s="362">
        <f>D29/'- 3 -'!$D29*100</f>
        <v>0.32638924824548915</v>
      </c>
    </row>
    <row r="30" spans="1:5" ht="14.1" customHeight="1">
      <c r="A30" s="23" t="s">
        <v>248</v>
      </c>
      <c r="B30" s="24">
        <v>47617</v>
      </c>
      <c r="C30" s="353">
        <f>B30/'- 3 -'!$D30*100</f>
        <v>0.35389110392367479</v>
      </c>
      <c r="D30" s="24">
        <v>30700</v>
      </c>
      <c r="E30" s="353">
        <f>D30/'- 3 -'!$D30*100</f>
        <v>0.22816340572603938</v>
      </c>
    </row>
    <row r="31" spans="1:5" ht="14.1" customHeight="1">
      <c r="A31" s="360" t="s">
        <v>249</v>
      </c>
      <c r="B31" s="361">
        <v>39439</v>
      </c>
      <c r="C31" s="362">
        <f>B31/'- 3 -'!$D31*100</f>
        <v>0.11728954476079093</v>
      </c>
      <c r="D31" s="361">
        <v>61500</v>
      </c>
      <c r="E31" s="362">
        <f>D31/'- 3 -'!$D31*100</f>
        <v>0.18289781695247448</v>
      </c>
    </row>
    <row r="32" spans="1:5" ht="14.1" customHeight="1">
      <c r="A32" s="23" t="s">
        <v>250</v>
      </c>
      <c r="B32" s="24">
        <v>101900</v>
      </c>
      <c r="C32" s="353">
        <f>B32/'- 3 -'!$D32*100</f>
        <v>0.39893172426434287</v>
      </c>
      <c r="D32" s="24">
        <v>171500</v>
      </c>
      <c r="E32" s="353">
        <f>D32/'- 3 -'!$D32*100</f>
        <v>0.6714110962839529</v>
      </c>
    </row>
    <row r="33" spans="1:5" ht="14.1" customHeight="1">
      <c r="A33" s="360" t="s">
        <v>251</v>
      </c>
      <c r="B33" s="361">
        <v>102300</v>
      </c>
      <c r="C33" s="362">
        <f>B33/'- 3 -'!$D33*100</f>
        <v>0.38951693046951452</v>
      </c>
      <c r="D33" s="361">
        <v>72000</v>
      </c>
      <c r="E33" s="362">
        <f>D33/'- 3 -'!$D33*100</f>
        <v>0.2741468132336759</v>
      </c>
    </row>
    <row r="34" spans="1:5" ht="14.1" customHeight="1">
      <c r="A34" s="23" t="s">
        <v>252</v>
      </c>
      <c r="B34" s="24">
        <v>83852</v>
      </c>
      <c r="C34" s="353">
        <f>B34/'- 3 -'!$D34*100</f>
        <v>0.32827644374963638</v>
      </c>
      <c r="D34" s="24">
        <v>92674</v>
      </c>
      <c r="E34" s="353">
        <f>D34/'- 3 -'!$D34*100</f>
        <v>0.36281413857813533</v>
      </c>
    </row>
    <row r="35" spans="1:5" ht="14.1" customHeight="1">
      <c r="A35" s="360" t="s">
        <v>253</v>
      </c>
      <c r="B35" s="361">
        <v>345000</v>
      </c>
      <c r="C35" s="362">
        <f>B35/'- 3 -'!$D35*100</f>
        <v>0.20591155235788247</v>
      </c>
      <c r="D35" s="361">
        <v>589500</v>
      </c>
      <c r="E35" s="362">
        <f>D35/'- 3 -'!$D35*100</f>
        <v>0.35184017424629477</v>
      </c>
    </row>
    <row r="36" spans="1:5" ht="14.1" customHeight="1">
      <c r="A36" s="23" t="s">
        <v>254</v>
      </c>
      <c r="B36" s="24">
        <v>79050</v>
      </c>
      <c r="C36" s="353">
        <f>B36/'- 3 -'!$D36*100</f>
        <v>0.36650858038082584</v>
      </c>
      <c r="D36" s="24">
        <v>70000</v>
      </c>
      <c r="E36" s="353">
        <f>D36/'- 3 -'!$D36*100</f>
        <v>0.32454902753520315</v>
      </c>
    </row>
    <row r="37" spans="1:5" ht="14.1" customHeight="1">
      <c r="A37" s="360" t="s">
        <v>255</v>
      </c>
      <c r="B37" s="361">
        <v>121924</v>
      </c>
      <c r="C37" s="362">
        <f>B37/'- 3 -'!$D37*100</f>
        <v>0.29262895400341532</v>
      </c>
      <c r="D37" s="361">
        <v>146500</v>
      </c>
      <c r="E37" s="362">
        <f>D37/'- 3 -'!$D37*100</f>
        <v>0.35161364260933325</v>
      </c>
    </row>
    <row r="38" spans="1:5" ht="14.1" customHeight="1">
      <c r="A38" s="23" t="s">
        <v>256</v>
      </c>
      <c r="B38" s="24">
        <v>413690</v>
      </c>
      <c r="C38" s="353">
        <f>B38/'- 3 -'!$D38*100</f>
        <v>0.35268333113664646</v>
      </c>
      <c r="D38" s="24">
        <v>349870</v>
      </c>
      <c r="E38" s="353">
        <f>D38/'- 3 -'!$D38*100</f>
        <v>0.29827483638661439</v>
      </c>
    </row>
    <row r="39" spans="1:5" ht="14.1" customHeight="1">
      <c r="A39" s="360" t="s">
        <v>257</v>
      </c>
      <c r="B39" s="361">
        <v>115000</v>
      </c>
      <c r="C39" s="362">
        <f>B39/'- 3 -'!$D39*100</f>
        <v>0.55963864667890473</v>
      </c>
      <c r="D39" s="361">
        <v>70000</v>
      </c>
      <c r="E39" s="362">
        <f>D39/'- 3 -'!$D39*100</f>
        <v>0.34064961102194202</v>
      </c>
    </row>
    <row r="40" spans="1:5" ht="14.1" customHeight="1">
      <c r="A40" s="23" t="s">
        <v>258</v>
      </c>
      <c r="B40" s="24">
        <v>534391</v>
      </c>
      <c r="C40" s="353">
        <f>B40/'- 3 -'!$D40*100</f>
        <v>0.54965828658176363</v>
      </c>
      <c r="D40" s="24">
        <v>261564</v>
      </c>
      <c r="E40" s="353">
        <f>D40/'- 3 -'!$D40*100</f>
        <v>0.26903675412099459</v>
      </c>
    </row>
    <row r="41" spans="1:5" ht="14.1" customHeight="1">
      <c r="A41" s="360" t="s">
        <v>259</v>
      </c>
      <c r="B41" s="361">
        <v>215678</v>
      </c>
      <c r="C41" s="362">
        <f>B41/'- 3 -'!$D41*100</f>
        <v>0.37392675801211567</v>
      </c>
      <c r="D41" s="361">
        <v>295000</v>
      </c>
      <c r="E41" s="362">
        <f>D41/'- 3 -'!$D41*100</f>
        <v>0.51144944599622633</v>
      </c>
    </row>
    <row r="42" spans="1:5" ht="14.1" customHeight="1">
      <c r="A42" s="23" t="s">
        <v>260</v>
      </c>
      <c r="B42" s="24">
        <v>126228</v>
      </c>
      <c r="C42" s="353">
        <f>B42/'- 3 -'!$D42*100</f>
        <v>0.62564554950199602</v>
      </c>
      <c r="D42" s="24">
        <v>95444</v>
      </c>
      <c r="E42" s="353">
        <f>D42/'- 3 -'!$D42*100</f>
        <v>0.47306551499404659</v>
      </c>
    </row>
    <row r="43" spans="1:5" ht="14.1" customHeight="1">
      <c r="A43" s="360" t="s">
        <v>261</v>
      </c>
      <c r="B43" s="361">
        <v>52100</v>
      </c>
      <c r="C43" s="362">
        <f>B43/'- 3 -'!$D43*100</f>
        <v>0.43576556314544113</v>
      </c>
      <c r="D43" s="361">
        <v>11000</v>
      </c>
      <c r="E43" s="362">
        <f>D43/'- 3 -'!$D43*100</f>
        <v>9.2004245577732291E-2</v>
      </c>
    </row>
    <row r="44" spans="1:5" ht="14.1" customHeight="1">
      <c r="A44" s="23" t="s">
        <v>262</v>
      </c>
      <c r="B44" s="24">
        <v>48413</v>
      </c>
      <c r="C44" s="353">
        <f>B44/'- 3 -'!$D44*100</f>
        <v>0.45938926932785956</v>
      </c>
      <c r="D44" s="24">
        <v>32000</v>
      </c>
      <c r="E44" s="353">
        <f>D44/'- 3 -'!$D44*100</f>
        <v>0.30364688448333105</v>
      </c>
    </row>
    <row r="45" spans="1:5" ht="14.1" customHeight="1">
      <c r="A45" s="360" t="s">
        <v>263</v>
      </c>
      <c r="B45" s="361">
        <v>48050</v>
      </c>
      <c r="C45" s="362">
        <f>B45/'- 3 -'!$D45*100</f>
        <v>0.28378010933536751</v>
      </c>
      <c r="D45" s="361">
        <v>33500</v>
      </c>
      <c r="E45" s="362">
        <f>D45/'- 3 -'!$D45*100</f>
        <v>0.19784877549916363</v>
      </c>
    </row>
    <row r="46" spans="1:5" ht="14.1" customHeight="1">
      <c r="A46" s="23" t="s">
        <v>264</v>
      </c>
      <c r="B46" s="24">
        <v>2083200</v>
      </c>
      <c r="C46" s="353">
        <f>B46/'- 3 -'!$D46*100</f>
        <v>0.57761060194943581</v>
      </c>
      <c r="D46" s="24">
        <v>975700</v>
      </c>
      <c r="E46" s="353">
        <f>D46/'- 3 -'!$D46*100</f>
        <v>0.2705331529963827</v>
      </c>
    </row>
    <row r="47" spans="1:5" ht="5.0999999999999996" customHeight="1">
      <c r="A47"/>
      <c r="B47"/>
      <c r="C47"/>
      <c r="D47"/>
      <c r="E47"/>
    </row>
    <row r="48" spans="1:5" ht="14.1" customHeight="1">
      <c r="A48" s="363" t="s">
        <v>265</v>
      </c>
      <c r="B48" s="364">
        <f>SUM(B11:B46)</f>
        <v>10222519</v>
      </c>
      <c r="C48" s="365">
        <f>B48/'- 3 -'!$D48*100</f>
        <v>0.49094979404782069</v>
      </c>
      <c r="D48" s="364">
        <f>SUM(D11:D46)</f>
        <v>6131340</v>
      </c>
      <c r="E48" s="365">
        <f>D48/'- 3 -'!$D48*100</f>
        <v>0.29446559211454287</v>
      </c>
    </row>
    <row r="49" spans="1:5" ht="5.0999999999999996" customHeight="1">
      <c r="A49" s="25" t="s">
        <v>3</v>
      </c>
      <c r="B49" s="26"/>
      <c r="C49" s="351"/>
      <c r="D49" s="26"/>
      <c r="E49" s="351"/>
    </row>
    <row r="50" spans="1:5" ht="14.1" customHeight="1">
      <c r="A50" s="23" t="s">
        <v>266</v>
      </c>
      <c r="B50" s="24">
        <v>30000</v>
      </c>
      <c r="C50" s="353">
        <f>B50/'- 3 -'!$D50*100</f>
        <v>0.91414613722978988</v>
      </c>
      <c r="D50" s="24">
        <v>6400</v>
      </c>
      <c r="E50" s="353">
        <f>D50/'- 3 -'!$D50*100</f>
        <v>0.19501784260902183</v>
      </c>
    </row>
    <row r="51" spans="1:5" ht="14.1" customHeight="1">
      <c r="A51" s="360" t="s">
        <v>267</v>
      </c>
      <c r="B51" s="361">
        <v>0</v>
      </c>
      <c r="C51" s="362">
        <f>B51/'- 3 -'!$D51*100</f>
        <v>0</v>
      </c>
      <c r="D51" s="361">
        <v>85000</v>
      </c>
      <c r="E51" s="362">
        <f>D51/'- 3 -'!$D51*100</f>
        <v>0.40896190457311787</v>
      </c>
    </row>
    <row r="52" spans="1:5" ht="50.1" customHeight="1"/>
    <row r="53" spans="1:5" ht="15" customHeight="1"/>
    <row r="54" spans="1:5" ht="14.45" customHeight="1"/>
    <row r="55" spans="1:5" ht="14.45" customHeight="1"/>
    <row r="56" spans="1:5" ht="14.45" customHeight="1"/>
    <row r="57" spans="1:5" ht="14.45" customHeight="1"/>
    <row r="58" spans="1:5" ht="14.45" customHeight="1"/>
    <row r="59" spans="1:5"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3.xml><?xml version="1.0" encoding="utf-8"?>
<worksheet xmlns="http://schemas.openxmlformats.org/spreadsheetml/2006/main" xmlns:r="http://schemas.openxmlformats.org/officeDocument/2006/relationships">
  <sheetPr codeName="Sheet2">
    <pageSetUpPr fitToPage="1"/>
  </sheetPr>
  <dimension ref="A1:F59"/>
  <sheetViews>
    <sheetView showGridLines="0" showZeros="0" workbookViewId="0"/>
  </sheetViews>
  <sheetFormatPr defaultColWidth="15.83203125" defaultRowHeight="12"/>
  <cols>
    <col min="1" max="1" width="40.83203125" style="1" customWidth="1"/>
    <col min="2" max="2" width="27.83203125" style="1" customWidth="1"/>
    <col min="3" max="3" width="18.83203125" style="1" customWidth="1"/>
    <col min="4" max="4" width="27.83203125" style="1" customWidth="1"/>
    <col min="5" max="5" width="18.83203125" style="1" customWidth="1"/>
    <col min="6" max="16384" width="15.83203125" style="1"/>
  </cols>
  <sheetData>
    <row r="1" spans="1:6" ht="6.95" customHeight="1">
      <c r="A1" s="3"/>
      <c r="B1" s="4"/>
      <c r="C1" s="4"/>
      <c r="D1" s="4"/>
      <c r="E1" s="4"/>
    </row>
    <row r="2" spans="1:6" ht="15.95" customHeight="1">
      <c r="A2" s="640" t="s">
        <v>473</v>
      </c>
      <c r="B2" s="640"/>
      <c r="C2" s="640"/>
      <c r="D2" s="640"/>
      <c r="E2" s="640"/>
    </row>
    <row r="3" spans="1:6" ht="15.95" customHeight="1">
      <c r="A3" s="641"/>
      <c r="B3" s="641"/>
      <c r="C3" s="641"/>
      <c r="D3" s="641"/>
      <c r="E3" s="641"/>
    </row>
    <row r="4" spans="1:6" ht="15.95" customHeight="1">
      <c r="B4" s="4"/>
      <c r="C4" s="30"/>
      <c r="D4" s="31"/>
      <c r="E4" s="30"/>
    </row>
    <row r="5" spans="1:6" ht="15.95" customHeight="1">
      <c r="B5" s="4"/>
      <c r="C5" s="4"/>
      <c r="D5" s="4"/>
      <c r="E5" s="4"/>
    </row>
    <row r="6" spans="1:6" ht="15.95" customHeight="1">
      <c r="B6" s="4"/>
      <c r="C6" s="4"/>
      <c r="D6" s="4"/>
      <c r="E6" s="4"/>
    </row>
    <row r="7" spans="1:6" ht="15.95" customHeight="1">
      <c r="B7" s="373" t="s">
        <v>664</v>
      </c>
      <c r="C7" s="390"/>
      <c r="D7" s="373" t="s">
        <v>674</v>
      </c>
      <c r="E7" s="397"/>
    </row>
    <row r="8" spans="1:6" ht="15.95" customHeight="1">
      <c r="A8" s="32"/>
      <c r="B8" s="33"/>
      <c r="C8" s="34"/>
      <c r="D8" s="33"/>
      <c r="E8" s="34"/>
    </row>
    <row r="9" spans="1:6" ht="15.95" customHeight="1">
      <c r="A9" s="35" t="s">
        <v>81</v>
      </c>
      <c r="B9" s="36" t="s">
        <v>474</v>
      </c>
      <c r="C9" s="36" t="s">
        <v>93</v>
      </c>
      <c r="D9" s="36" t="s">
        <v>474</v>
      </c>
      <c r="E9" s="36" t="s">
        <v>93</v>
      </c>
    </row>
    <row r="10" spans="1:6" ht="5.0999999999999996" customHeight="1">
      <c r="A10" s="37"/>
    </row>
    <row r="11" spans="1:6" ht="14.1" customHeight="1">
      <c r="A11" s="360" t="s">
        <v>230</v>
      </c>
      <c r="B11" s="361">
        <v>15845690</v>
      </c>
      <c r="C11" s="361">
        <v>10714</v>
      </c>
      <c r="D11" s="361">
        <f>'- 3 -'!F11</f>
        <v>16734981</v>
      </c>
      <c r="E11" s="361">
        <f>ROUND(D11/'- 7 -'!F11,0)</f>
        <v>10927</v>
      </c>
      <c r="F11" s="1" t="str">
        <f>IF(B11=D11,"Check","")</f>
        <v/>
      </c>
    </row>
    <row r="12" spans="1:6" ht="14.1" customHeight="1">
      <c r="A12" s="23" t="s">
        <v>231</v>
      </c>
      <c r="B12" s="38">
        <v>29404787</v>
      </c>
      <c r="C12" s="38">
        <v>12730</v>
      </c>
      <c r="D12" s="24">
        <f>'- 3 -'!F12</f>
        <v>30400761</v>
      </c>
      <c r="E12" s="24">
        <f>ROUND(D12/'- 7 -'!F12,0)</f>
        <v>13345</v>
      </c>
      <c r="F12" s="1" t="str">
        <f t="shared" ref="F12:F51" si="0">IF(B12=D12,"Check","")</f>
        <v/>
      </c>
    </row>
    <row r="13" spans="1:6" ht="14.1" customHeight="1">
      <c r="A13" s="360" t="s">
        <v>232</v>
      </c>
      <c r="B13" s="361">
        <v>78130200</v>
      </c>
      <c r="C13" s="361">
        <v>10110</v>
      </c>
      <c r="D13" s="361">
        <f>'- 3 -'!F13</f>
        <v>86072700</v>
      </c>
      <c r="E13" s="361">
        <f>ROUND(D13/'- 7 -'!F13,0)</f>
        <v>10647</v>
      </c>
      <c r="F13" s="1" t="str">
        <f t="shared" si="0"/>
        <v/>
      </c>
    </row>
    <row r="14" spans="1:6" ht="14.1" customHeight="1">
      <c r="A14" s="23" t="s">
        <v>578</v>
      </c>
      <c r="B14" s="24">
        <v>70525772</v>
      </c>
      <c r="C14" s="24">
        <v>13993</v>
      </c>
      <c r="D14" s="24">
        <f>'- 3 -'!F14</f>
        <v>73776236</v>
      </c>
      <c r="E14" s="24">
        <f>ROUND(D14/'- 7 -'!F14,0)</f>
        <v>14147</v>
      </c>
      <c r="F14" s="1" t="str">
        <f t="shared" si="0"/>
        <v/>
      </c>
    </row>
    <row r="15" spans="1:6" ht="14.1" customHeight="1">
      <c r="A15" s="360" t="s">
        <v>233</v>
      </c>
      <c r="B15" s="361">
        <v>18660283</v>
      </c>
      <c r="C15" s="361">
        <v>12490</v>
      </c>
      <c r="D15" s="361">
        <f>'- 3 -'!F15</f>
        <v>19493226</v>
      </c>
      <c r="E15" s="361">
        <f>ROUND(D15/'- 7 -'!F15,0)</f>
        <v>12824</v>
      </c>
      <c r="F15" s="1" t="str">
        <f t="shared" si="0"/>
        <v/>
      </c>
    </row>
    <row r="16" spans="1:6" ht="14.1" customHeight="1">
      <c r="A16" s="23" t="s">
        <v>234</v>
      </c>
      <c r="B16" s="38">
        <v>12550992</v>
      </c>
      <c r="C16" s="38">
        <v>12684</v>
      </c>
      <c r="D16" s="24">
        <f>'- 3 -'!F16</f>
        <v>12985367</v>
      </c>
      <c r="E16" s="24">
        <f>ROUND(D16/'- 7 -'!F16,0)</f>
        <v>13051</v>
      </c>
      <c r="F16" s="1" t="str">
        <f t="shared" si="0"/>
        <v/>
      </c>
    </row>
    <row r="17" spans="1:6" ht="14.1" customHeight="1">
      <c r="A17" s="360" t="s">
        <v>235</v>
      </c>
      <c r="B17" s="361">
        <v>16074662</v>
      </c>
      <c r="C17" s="361">
        <v>12505</v>
      </c>
      <c r="D17" s="361">
        <f>'- 3 -'!F17</f>
        <v>16250174</v>
      </c>
      <c r="E17" s="361">
        <f>ROUND(D17/'- 7 -'!F17,0)</f>
        <v>12495</v>
      </c>
      <c r="F17" s="1" t="str">
        <f t="shared" si="0"/>
        <v/>
      </c>
    </row>
    <row r="18" spans="1:6" ht="14.1" customHeight="1">
      <c r="A18" s="23" t="s">
        <v>236</v>
      </c>
      <c r="B18" s="24">
        <v>110822941</v>
      </c>
      <c r="C18" s="24">
        <v>17526</v>
      </c>
      <c r="D18" s="24">
        <f>'- 3 -'!F18</f>
        <v>114995597</v>
      </c>
      <c r="E18" s="24">
        <f>ROUND(D18/'- 7 -'!F18,0)</f>
        <v>18451</v>
      </c>
      <c r="F18" s="1" t="str">
        <f t="shared" si="0"/>
        <v/>
      </c>
    </row>
    <row r="19" spans="1:6" ht="14.1" customHeight="1">
      <c r="A19" s="360" t="s">
        <v>237</v>
      </c>
      <c r="B19" s="361">
        <v>39006435</v>
      </c>
      <c r="C19" s="361">
        <v>9259</v>
      </c>
      <c r="D19" s="361">
        <f>'- 3 -'!F19</f>
        <v>43337195</v>
      </c>
      <c r="E19" s="361">
        <f>ROUND(D19/'- 7 -'!F19,0)</f>
        <v>10296</v>
      </c>
      <c r="F19" s="1" t="str">
        <f t="shared" si="0"/>
        <v/>
      </c>
    </row>
    <row r="20" spans="1:6" ht="14.1" customHeight="1">
      <c r="A20" s="23" t="s">
        <v>238</v>
      </c>
      <c r="B20" s="38">
        <v>67543300</v>
      </c>
      <c r="C20" s="38">
        <v>9097</v>
      </c>
      <c r="D20" s="24">
        <f>'- 3 -'!F20</f>
        <v>70951500</v>
      </c>
      <c r="E20" s="24">
        <f>ROUND(D20/'- 7 -'!F20,0)</f>
        <v>9411</v>
      </c>
      <c r="F20" s="1" t="str">
        <f t="shared" si="0"/>
        <v/>
      </c>
    </row>
    <row r="21" spans="1:6" ht="14.1" customHeight="1">
      <c r="A21" s="360" t="s">
        <v>239</v>
      </c>
      <c r="B21" s="361">
        <v>32353360</v>
      </c>
      <c r="C21" s="361">
        <v>11596</v>
      </c>
      <c r="D21" s="361">
        <f>'- 3 -'!F21</f>
        <v>33808147</v>
      </c>
      <c r="E21" s="361">
        <f>ROUND(D21/'- 7 -'!F21,0)</f>
        <v>12568</v>
      </c>
      <c r="F21" s="1" t="str">
        <f t="shared" si="0"/>
        <v/>
      </c>
    </row>
    <row r="22" spans="1:6" ht="14.1" customHeight="1">
      <c r="A22" s="23" t="s">
        <v>240</v>
      </c>
      <c r="B22" s="24">
        <v>18282875</v>
      </c>
      <c r="C22" s="24">
        <v>11324</v>
      </c>
      <c r="D22" s="24">
        <f>'- 3 -'!F22</f>
        <v>19038452</v>
      </c>
      <c r="E22" s="24">
        <f>ROUND(D22/'- 7 -'!F22,0)</f>
        <v>11759</v>
      </c>
      <c r="F22" s="1" t="str">
        <f t="shared" si="0"/>
        <v/>
      </c>
    </row>
    <row r="23" spans="1:6" ht="14.1" customHeight="1">
      <c r="A23" s="360" t="s">
        <v>241</v>
      </c>
      <c r="B23" s="361">
        <v>15051980</v>
      </c>
      <c r="C23" s="361">
        <v>12591</v>
      </c>
      <c r="D23" s="361">
        <f>'- 3 -'!F23</f>
        <v>15511980</v>
      </c>
      <c r="E23" s="361">
        <f>ROUND(D23/'- 7 -'!F23,0)</f>
        <v>13124</v>
      </c>
      <c r="F23" s="1" t="str">
        <f t="shared" si="0"/>
        <v/>
      </c>
    </row>
    <row r="24" spans="1:6" ht="14.1" customHeight="1">
      <c r="A24" s="23" t="s">
        <v>242</v>
      </c>
      <c r="B24" s="38">
        <v>50280635</v>
      </c>
      <c r="C24" s="38">
        <v>11770</v>
      </c>
      <c r="D24" s="24">
        <f>'- 3 -'!F24</f>
        <v>52010285</v>
      </c>
      <c r="E24" s="24">
        <f>ROUND(D24/'- 7 -'!F24,0)</f>
        <v>12394</v>
      </c>
      <c r="F24" s="1" t="str">
        <f t="shared" si="0"/>
        <v/>
      </c>
    </row>
    <row r="25" spans="1:6" ht="14.1" customHeight="1">
      <c r="A25" s="360" t="s">
        <v>243</v>
      </c>
      <c r="B25" s="361">
        <v>149161851</v>
      </c>
      <c r="C25" s="361">
        <v>10974</v>
      </c>
      <c r="D25" s="361">
        <f>'- 3 -'!F25</f>
        <v>153861333</v>
      </c>
      <c r="E25" s="361">
        <f>ROUND(D25/'- 7 -'!F25,0)</f>
        <v>11144</v>
      </c>
      <c r="F25" s="1" t="str">
        <f t="shared" si="0"/>
        <v/>
      </c>
    </row>
    <row r="26" spans="1:6" ht="14.1" customHeight="1">
      <c r="A26" s="23" t="s">
        <v>244</v>
      </c>
      <c r="B26" s="24">
        <v>36674890</v>
      </c>
      <c r="C26" s="24">
        <v>12270</v>
      </c>
      <c r="D26" s="24">
        <f>'- 3 -'!F26</f>
        <v>37841954</v>
      </c>
      <c r="E26" s="24">
        <f>ROUND(D26/'- 7 -'!F26,0)</f>
        <v>12253</v>
      </c>
      <c r="F26" s="1" t="str">
        <f t="shared" si="0"/>
        <v/>
      </c>
    </row>
    <row r="27" spans="1:6" ht="14.1" customHeight="1">
      <c r="A27" s="360" t="s">
        <v>245</v>
      </c>
      <c r="B27" s="361">
        <v>38261919</v>
      </c>
      <c r="C27" s="361">
        <v>13675</v>
      </c>
      <c r="D27" s="361">
        <f>'- 3 -'!F27</f>
        <v>38427414</v>
      </c>
      <c r="E27" s="361">
        <f>ROUND(D27/'- 7 -'!F27,0)</f>
        <v>13969</v>
      </c>
      <c r="F27" s="1" t="str">
        <f t="shared" si="0"/>
        <v/>
      </c>
    </row>
    <row r="28" spans="1:6" ht="14.1" customHeight="1">
      <c r="A28" s="23" t="s">
        <v>246</v>
      </c>
      <c r="B28" s="38">
        <v>25426681</v>
      </c>
      <c r="C28" s="38">
        <v>13006</v>
      </c>
      <c r="D28" s="24">
        <f>'- 3 -'!F28</f>
        <v>25850410</v>
      </c>
      <c r="E28" s="24">
        <f>ROUND(D28/'- 7 -'!F28,0)</f>
        <v>13089</v>
      </c>
      <c r="F28" s="1" t="str">
        <f t="shared" si="0"/>
        <v/>
      </c>
    </row>
    <row r="29" spans="1:6" ht="14.1" customHeight="1">
      <c r="A29" s="360" t="s">
        <v>247</v>
      </c>
      <c r="B29" s="361">
        <v>136693294</v>
      </c>
      <c r="C29" s="361">
        <v>11256</v>
      </c>
      <c r="D29" s="361">
        <f>'- 3 -'!F29</f>
        <v>141425859</v>
      </c>
      <c r="E29" s="361">
        <f>ROUND(D29/'- 7 -'!F29,0)</f>
        <v>11700</v>
      </c>
      <c r="F29" s="1" t="str">
        <f t="shared" si="0"/>
        <v/>
      </c>
    </row>
    <row r="30" spans="1:6" ht="14.1" customHeight="1">
      <c r="A30" s="23" t="s">
        <v>248</v>
      </c>
      <c r="B30" s="24">
        <v>13250159</v>
      </c>
      <c r="C30" s="24">
        <v>12343</v>
      </c>
      <c r="D30" s="24">
        <f>'- 3 -'!F30</f>
        <v>13442161</v>
      </c>
      <c r="E30" s="24">
        <f>ROUND(D30/'- 7 -'!F30,0)</f>
        <v>12563</v>
      </c>
      <c r="F30" s="1" t="str">
        <f t="shared" si="0"/>
        <v/>
      </c>
    </row>
    <row r="31" spans="1:6" ht="14.1" customHeight="1">
      <c r="A31" s="360" t="s">
        <v>249</v>
      </c>
      <c r="B31" s="361">
        <v>32057419</v>
      </c>
      <c r="C31" s="361">
        <v>10113</v>
      </c>
      <c r="D31" s="361">
        <f>'- 3 -'!F31</f>
        <v>33576614</v>
      </c>
      <c r="E31" s="361">
        <f>ROUND(D31/'- 7 -'!F31,0)</f>
        <v>10526</v>
      </c>
      <c r="F31" s="1" t="str">
        <f t="shared" si="0"/>
        <v/>
      </c>
    </row>
    <row r="32" spans="1:6" ht="14.1" customHeight="1">
      <c r="A32" s="23" t="s">
        <v>250</v>
      </c>
      <c r="B32" s="38">
        <v>24419431</v>
      </c>
      <c r="C32" s="38">
        <v>11906</v>
      </c>
      <c r="D32" s="24">
        <f>'- 3 -'!F32</f>
        <v>25256468</v>
      </c>
      <c r="E32" s="24">
        <f>ROUND(D32/'- 7 -'!F32,0)</f>
        <v>12347</v>
      </c>
      <c r="F32" s="1" t="str">
        <f t="shared" si="0"/>
        <v/>
      </c>
    </row>
    <row r="33" spans="1:6" ht="14.1" customHeight="1">
      <c r="A33" s="360" t="s">
        <v>251</v>
      </c>
      <c r="B33" s="361">
        <v>25486900</v>
      </c>
      <c r="C33" s="361">
        <v>12715</v>
      </c>
      <c r="D33" s="361">
        <f>'- 3 -'!F33</f>
        <v>26233300</v>
      </c>
      <c r="E33" s="361">
        <f>ROUND(D33/'- 7 -'!F33,0)</f>
        <v>12948</v>
      </c>
      <c r="F33" s="1" t="str">
        <f t="shared" si="0"/>
        <v/>
      </c>
    </row>
    <row r="34" spans="1:6" ht="14.1" customHeight="1">
      <c r="A34" s="23" t="s">
        <v>252</v>
      </c>
      <c r="B34" s="24">
        <v>23911366</v>
      </c>
      <c r="C34" s="24">
        <v>11960</v>
      </c>
      <c r="D34" s="24">
        <f>'- 3 -'!F34</f>
        <v>25513189</v>
      </c>
      <c r="E34" s="24">
        <f>ROUND(D34/'- 7 -'!F34,0)</f>
        <v>12666</v>
      </c>
      <c r="F34" s="1" t="str">
        <f t="shared" si="0"/>
        <v/>
      </c>
    </row>
    <row r="35" spans="1:6" ht="14.1" customHeight="1">
      <c r="A35" s="360" t="s">
        <v>253</v>
      </c>
      <c r="B35" s="361">
        <v>163013185</v>
      </c>
      <c r="C35" s="361">
        <v>10454</v>
      </c>
      <c r="D35" s="361">
        <f>'- 3 -'!F35</f>
        <v>166937668</v>
      </c>
      <c r="E35" s="361">
        <f>ROUND(D35/'- 7 -'!F35,0)</f>
        <v>10575</v>
      </c>
      <c r="F35" s="1" t="str">
        <f t="shared" si="0"/>
        <v/>
      </c>
    </row>
    <row r="36" spans="1:6" ht="14.1" customHeight="1">
      <c r="A36" s="23" t="s">
        <v>254</v>
      </c>
      <c r="B36" s="38">
        <v>21090760</v>
      </c>
      <c r="C36" s="38">
        <v>12876</v>
      </c>
      <c r="D36" s="24">
        <f>'- 3 -'!F36</f>
        <v>21539890</v>
      </c>
      <c r="E36" s="24">
        <f>ROUND(D36/'- 7 -'!F36,0)</f>
        <v>12833</v>
      </c>
      <c r="F36" s="1" t="str">
        <f t="shared" si="0"/>
        <v/>
      </c>
    </row>
    <row r="37" spans="1:6" ht="14.1" customHeight="1">
      <c r="A37" s="360" t="s">
        <v>255</v>
      </c>
      <c r="B37" s="361">
        <v>39780158</v>
      </c>
      <c r="C37" s="361">
        <v>10817</v>
      </c>
      <c r="D37" s="361">
        <f>'- 3 -'!F37</f>
        <v>41492577</v>
      </c>
      <c r="E37" s="361">
        <f>ROUND(D37/'- 7 -'!F37,0)</f>
        <v>11128</v>
      </c>
      <c r="F37" s="1" t="str">
        <f t="shared" si="0"/>
        <v/>
      </c>
    </row>
    <row r="38" spans="1:6" ht="14.1" customHeight="1">
      <c r="A38" s="23" t="s">
        <v>256</v>
      </c>
      <c r="B38" s="24">
        <v>110407900</v>
      </c>
      <c r="C38" s="24">
        <v>10482</v>
      </c>
      <c r="D38" s="24">
        <f>'- 3 -'!F38</f>
        <v>115312140</v>
      </c>
      <c r="E38" s="24">
        <f>ROUND(D38/'- 7 -'!F38,0)</f>
        <v>10928</v>
      </c>
      <c r="F38" s="1" t="str">
        <f t="shared" si="0"/>
        <v/>
      </c>
    </row>
    <row r="39" spans="1:6" ht="14.1" customHeight="1">
      <c r="A39" s="360" t="s">
        <v>257</v>
      </c>
      <c r="B39" s="361">
        <v>19738173</v>
      </c>
      <c r="C39" s="361">
        <v>12645</v>
      </c>
      <c r="D39" s="361">
        <f>'- 3 -'!F39</f>
        <v>20375860</v>
      </c>
      <c r="E39" s="361">
        <f>ROUND(D39/'- 7 -'!F39,0)</f>
        <v>12872</v>
      </c>
      <c r="F39" s="1" t="str">
        <f t="shared" si="0"/>
        <v/>
      </c>
    </row>
    <row r="40" spans="1:6" ht="14.1" customHeight="1">
      <c r="A40" s="23" t="s">
        <v>258</v>
      </c>
      <c r="B40" s="38">
        <v>93051190</v>
      </c>
      <c r="C40" s="38">
        <v>11445</v>
      </c>
      <c r="D40" s="24">
        <f>'- 3 -'!F40</f>
        <v>96191378</v>
      </c>
      <c r="E40" s="24">
        <f>ROUND(D40/'- 7 -'!F40,0)</f>
        <v>12050</v>
      </c>
      <c r="F40" s="1" t="str">
        <f t="shared" si="0"/>
        <v/>
      </c>
    </row>
    <row r="41" spans="1:6" ht="14.1" customHeight="1">
      <c r="A41" s="360" t="s">
        <v>259</v>
      </c>
      <c r="B41" s="361">
        <v>55596385</v>
      </c>
      <c r="C41" s="361">
        <v>12345</v>
      </c>
      <c r="D41" s="361">
        <f>'- 3 -'!F41</f>
        <v>56379474</v>
      </c>
      <c r="E41" s="361">
        <f>ROUND(D41/'- 7 -'!F41,0)</f>
        <v>12678</v>
      </c>
      <c r="F41" s="1" t="str">
        <f t="shared" si="0"/>
        <v/>
      </c>
    </row>
    <row r="42" spans="1:6" ht="14.1" customHeight="1">
      <c r="A42" s="23" t="s">
        <v>260</v>
      </c>
      <c r="B42" s="24">
        <v>19674762</v>
      </c>
      <c r="C42" s="24">
        <v>13494</v>
      </c>
      <c r="D42" s="24">
        <f>'- 3 -'!F42</f>
        <v>19950668</v>
      </c>
      <c r="E42" s="24">
        <f>ROUND(D42/'- 7 -'!F42,0)</f>
        <v>14261</v>
      </c>
      <c r="F42" s="1" t="str">
        <f t="shared" si="0"/>
        <v/>
      </c>
    </row>
    <row r="43" spans="1:6" ht="14.1" customHeight="1">
      <c r="A43" s="360" t="s">
        <v>261</v>
      </c>
      <c r="B43" s="361">
        <v>11562654</v>
      </c>
      <c r="C43" s="361">
        <v>12182</v>
      </c>
      <c r="D43" s="361">
        <f>'- 3 -'!F43</f>
        <v>11688761</v>
      </c>
      <c r="E43" s="361">
        <f>ROUND(D43/'- 7 -'!F43,0)</f>
        <v>12106</v>
      </c>
      <c r="F43" s="1" t="str">
        <f t="shared" si="0"/>
        <v/>
      </c>
    </row>
    <row r="44" spans="1:6" ht="14.1" customHeight="1">
      <c r="A44" s="23" t="s">
        <v>262</v>
      </c>
      <c r="B44" s="38">
        <v>10044196</v>
      </c>
      <c r="C44" s="38">
        <v>13428</v>
      </c>
      <c r="D44" s="24">
        <f>'- 3 -'!F44</f>
        <v>10528979</v>
      </c>
      <c r="E44" s="24">
        <f>ROUND(D44/'- 7 -'!F44,0)</f>
        <v>13983</v>
      </c>
      <c r="F44" s="1" t="str">
        <f t="shared" si="0"/>
        <v/>
      </c>
    </row>
    <row r="45" spans="1:6" ht="14.1" customHeight="1">
      <c r="A45" s="360" t="s">
        <v>263</v>
      </c>
      <c r="B45" s="361">
        <v>15957250</v>
      </c>
      <c r="C45" s="361">
        <v>9604</v>
      </c>
      <c r="D45" s="361">
        <f>'- 3 -'!F45</f>
        <v>16498865</v>
      </c>
      <c r="E45" s="361">
        <f>ROUND(D45/'- 7 -'!F45,0)</f>
        <v>9792</v>
      </c>
      <c r="F45" s="1" t="str">
        <f t="shared" si="0"/>
        <v/>
      </c>
    </row>
    <row r="46" spans="1:6" ht="14.1" customHeight="1">
      <c r="A46" s="23" t="s">
        <v>264</v>
      </c>
      <c r="B46" s="24">
        <v>343435100</v>
      </c>
      <c r="C46" s="24">
        <v>11271</v>
      </c>
      <c r="D46" s="24">
        <f>'- 3 -'!F46</f>
        <v>351261400</v>
      </c>
      <c r="E46" s="24">
        <f>ROUND(D46/'- 7 -'!F46,0)</f>
        <v>11578</v>
      </c>
      <c r="F46" s="1" t="str">
        <f t="shared" si="0"/>
        <v/>
      </c>
    </row>
    <row r="47" spans="1:6" ht="5.0999999999999996" customHeight="1">
      <c r="A47"/>
      <c r="B47"/>
      <c r="C47"/>
      <c r="D47"/>
      <c r="E47"/>
    </row>
    <row r="48" spans="1:6" ht="14.1" customHeight="1">
      <c r="A48" s="363" t="s">
        <v>265</v>
      </c>
      <c r="B48" s="364">
        <v>1983229535</v>
      </c>
      <c r="C48" s="364">
        <v>11473</v>
      </c>
      <c r="D48" s="364">
        <f>SUM(D11:D46)</f>
        <v>2054952963</v>
      </c>
      <c r="E48" s="364">
        <f>ROUND(D48/'- 7 -'!F48,0)</f>
        <v>11841</v>
      </c>
      <c r="F48" s="1" t="str">
        <f t="shared" si="0"/>
        <v/>
      </c>
    </row>
    <row r="49" spans="1:6" ht="5.0999999999999996" customHeight="1">
      <c r="A49" s="25" t="s">
        <v>3</v>
      </c>
      <c r="B49" s="26"/>
      <c r="C49" s="26"/>
      <c r="D49" s="26"/>
      <c r="E49" s="26"/>
    </row>
    <row r="50" spans="1:6" ht="14.1" customHeight="1">
      <c r="A50" s="23" t="s">
        <v>266</v>
      </c>
      <c r="B50" s="24">
        <v>3219525</v>
      </c>
      <c r="C50" s="24">
        <v>17787</v>
      </c>
      <c r="D50" s="24">
        <f>'- 3 -'!F50</f>
        <v>3251751</v>
      </c>
      <c r="E50" s="24">
        <f>ROUND(D50/'- 7 -'!F50,0)</f>
        <v>19472</v>
      </c>
      <c r="F50" s="1" t="str">
        <f t="shared" si="0"/>
        <v/>
      </c>
    </row>
    <row r="51" spans="1:6" ht="14.1" customHeight="1">
      <c r="A51" s="360" t="s">
        <v>267</v>
      </c>
      <c r="B51" s="504">
        <v>9889697</v>
      </c>
      <c r="C51" s="504">
        <v>15925</v>
      </c>
      <c r="D51" s="361">
        <f>'- 3 -'!F51</f>
        <v>10789492</v>
      </c>
      <c r="E51" s="361">
        <f>ROUND(D51/'- 7 -'!F51,0)</f>
        <v>17374</v>
      </c>
      <c r="F51" s="1" t="str">
        <f t="shared" si="0"/>
        <v/>
      </c>
    </row>
    <row r="52" spans="1:6" ht="50.1" customHeight="1">
      <c r="A52" s="27"/>
      <c r="B52" s="27"/>
      <c r="C52" s="27"/>
      <c r="D52" s="27"/>
      <c r="E52" s="27"/>
    </row>
    <row r="53" spans="1:6" ht="15" customHeight="1">
      <c r="A53" s="2" t="s">
        <v>614</v>
      </c>
      <c r="B53" s="39"/>
      <c r="C53" s="39"/>
      <c r="D53" s="39"/>
      <c r="E53" s="39"/>
    </row>
    <row r="54" spans="1:6" ht="12" customHeight="1">
      <c r="A54" s="2" t="s">
        <v>690</v>
      </c>
      <c r="B54" s="39"/>
      <c r="C54" s="39"/>
      <c r="D54" s="39"/>
      <c r="E54" s="39"/>
    </row>
    <row r="55" spans="1:6" ht="12" customHeight="1">
      <c r="A55" s="2" t="s">
        <v>691</v>
      </c>
      <c r="B55" s="39"/>
      <c r="C55" s="39"/>
      <c r="D55" s="39"/>
      <c r="E55" s="39"/>
    </row>
    <row r="56" spans="1:6" ht="12" customHeight="1">
      <c r="A56" s="2"/>
      <c r="B56" s="39"/>
      <c r="C56" s="39"/>
      <c r="D56" s="39"/>
      <c r="E56" s="39"/>
    </row>
    <row r="57" spans="1:6" ht="12" customHeight="1"/>
    <row r="58" spans="1:6" ht="14.45" customHeight="1">
      <c r="A58" s="2"/>
    </row>
    <row r="59" spans="1:6" ht="14.45" customHeight="1">
      <c r="A59" s="2"/>
    </row>
  </sheetData>
  <mergeCells count="1">
    <mergeCell ref="A2:E3"/>
  </mergeCells>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0.xml><?xml version="1.0" encoding="utf-8"?>
<worksheet xmlns="http://schemas.openxmlformats.org/spreadsheetml/2006/main" xmlns:r="http://schemas.openxmlformats.org/officeDocument/2006/relationships">
  <sheetPr codeName="Sheet31">
    <pageSetUpPr fitToPage="1"/>
  </sheetPr>
  <dimension ref="A1:F59"/>
  <sheetViews>
    <sheetView showGridLines="0" showZeros="0" workbookViewId="0"/>
  </sheetViews>
  <sheetFormatPr defaultColWidth="15.83203125" defaultRowHeight="12"/>
  <cols>
    <col min="1" max="1" width="36.83203125" style="1" customWidth="1"/>
    <col min="2" max="2" width="18.83203125" style="1" customWidth="1"/>
    <col min="3" max="3" width="11.6640625" style="1" customWidth="1"/>
    <col min="4" max="4" width="18.83203125" style="1" customWidth="1"/>
    <col min="5" max="5" width="11.6640625" style="1" customWidth="1"/>
    <col min="6" max="6" width="26.83203125" style="1" customWidth="1"/>
    <col min="7" max="16384" width="15.83203125" style="1"/>
  </cols>
  <sheetData>
    <row r="1" spans="1:6" ht="6.95" customHeight="1">
      <c r="A1" s="3"/>
      <c r="B1" s="4"/>
      <c r="C1" s="4"/>
      <c r="D1" s="4"/>
      <c r="E1" s="4"/>
      <c r="F1" s="4"/>
    </row>
    <row r="2" spans="1:6" ht="15.95" customHeight="1">
      <c r="A2" s="161"/>
      <c r="B2" s="5" t="s">
        <v>483</v>
      </c>
      <c r="C2" s="6"/>
      <c r="D2" s="6"/>
      <c r="E2" s="6"/>
      <c r="F2" s="184" t="s">
        <v>446</v>
      </c>
    </row>
    <row r="3" spans="1:6" ht="15.95" customHeight="1">
      <c r="A3" s="164"/>
      <c r="B3" s="7" t="str">
        <f>OPYEAR</f>
        <v>OPERATING FUND 2013/2014 BUDGET</v>
      </c>
      <c r="C3" s="8"/>
      <c r="D3" s="8"/>
      <c r="E3" s="8"/>
      <c r="F3" s="101"/>
    </row>
    <row r="4" spans="1:6" ht="15.95" customHeight="1">
      <c r="B4" s="4"/>
      <c r="C4" s="4"/>
      <c r="D4" s="4"/>
      <c r="E4" s="4"/>
      <c r="F4" s="4"/>
    </row>
    <row r="5" spans="1:6" ht="15.95" customHeight="1">
      <c r="B5" s="4"/>
      <c r="C5" s="4"/>
      <c r="D5" s="4"/>
      <c r="E5" s="4"/>
      <c r="F5" s="4"/>
    </row>
    <row r="6" spans="1:6" ht="15.95" customHeight="1">
      <c r="B6" s="185" t="s">
        <v>21</v>
      </c>
      <c r="C6" s="186"/>
      <c r="D6" s="187"/>
      <c r="E6" s="188"/>
    </row>
    <row r="7" spans="1:6" ht="15.95" customHeight="1">
      <c r="B7" s="441"/>
      <c r="C7" s="356"/>
      <c r="D7" s="354" t="s">
        <v>48</v>
      </c>
      <c r="E7" s="356"/>
    </row>
    <row r="8" spans="1:6" ht="15.95" customHeight="1">
      <c r="A8" s="102"/>
      <c r="B8" s="358" t="s">
        <v>67</v>
      </c>
      <c r="C8" s="359"/>
      <c r="D8" s="357" t="s">
        <v>68</v>
      </c>
      <c r="E8" s="359"/>
    </row>
    <row r="9" spans="1:6" ht="15.95" customHeight="1">
      <c r="A9" s="35" t="s">
        <v>81</v>
      </c>
      <c r="B9" s="189" t="s">
        <v>82</v>
      </c>
      <c r="C9" s="189" t="s">
        <v>83</v>
      </c>
      <c r="D9" s="193" t="s">
        <v>82</v>
      </c>
      <c r="E9" s="189" t="s">
        <v>83</v>
      </c>
    </row>
    <row r="10" spans="1:6" ht="5.0999999999999996" customHeight="1">
      <c r="A10" s="37"/>
    </row>
    <row r="11" spans="1:6" ht="14.1" customHeight="1">
      <c r="A11" s="360" t="s">
        <v>230</v>
      </c>
      <c r="B11" s="361">
        <v>13000</v>
      </c>
      <c r="C11" s="362">
        <f>B11/'- 3 -'!$D11*100</f>
        <v>7.7582153383378594E-2</v>
      </c>
      <c r="D11" s="361">
        <v>270000</v>
      </c>
      <c r="E11" s="362">
        <f>D11/'- 3 -'!$D11*100</f>
        <v>1.6113216471932479</v>
      </c>
    </row>
    <row r="12" spans="1:6" ht="14.1" customHeight="1">
      <c r="A12" s="23" t="s">
        <v>231</v>
      </c>
      <c r="B12" s="24">
        <v>20000</v>
      </c>
      <c r="C12" s="353">
        <f>B12/'- 3 -'!$D12*100</f>
        <v>6.4573616214848306E-2</v>
      </c>
      <c r="D12" s="24">
        <v>489854</v>
      </c>
      <c r="E12" s="353">
        <f>D12/'- 3 -'!$D12*100</f>
        <v>1.5815822098654151</v>
      </c>
    </row>
    <row r="13" spans="1:6" ht="14.1" customHeight="1">
      <c r="A13" s="360" t="s">
        <v>232</v>
      </c>
      <c r="B13" s="361">
        <v>11700</v>
      </c>
      <c r="C13" s="362">
        <f>B13/'- 3 -'!$D13*100</f>
        <v>1.3547013346702807E-2</v>
      </c>
      <c r="D13" s="361">
        <v>1490000</v>
      </c>
      <c r="E13" s="362">
        <f>D13/'- 3 -'!$D13*100</f>
        <v>1.7252179390245457</v>
      </c>
    </row>
    <row r="14" spans="1:6" ht="14.1" customHeight="1">
      <c r="A14" s="23" t="s">
        <v>578</v>
      </c>
      <c r="B14" s="24">
        <v>40000</v>
      </c>
      <c r="C14" s="353">
        <f>B14/'- 3 -'!$D14*100</f>
        <v>5.3356123512222853E-2</v>
      </c>
      <c r="D14" s="24">
        <v>1087353</v>
      </c>
      <c r="E14" s="353">
        <f>D14/'- 3 -'!$D14*100</f>
        <v>1.4504235242346515</v>
      </c>
    </row>
    <row r="15" spans="1:6" ht="14.1" customHeight="1">
      <c r="A15" s="360" t="s">
        <v>233</v>
      </c>
      <c r="B15" s="361">
        <v>10000</v>
      </c>
      <c r="C15" s="362">
        <f>B15/'- 3 -'!$D15*100</f>
        <v>5.117517128073952E-2</v>
      </c>
      <c r="D15" s="361">
        <v>300000</v>
      </c>
      <c r="E15" s="362">
        <f>D15/'- 3 -'!$D15*100</f>
        <v>1.5352551384221855</v>
      </c>
    </row>
    <row r="16" spans="1:6" ht="14.1" customHeight="1">
      <c r="A16" s="23" t="s">
        <v>234</v>
      </c>
      <c r="B16" s="24">
        <v>17513</v>
      </c>
      <c r="C16" s="353">
        <f>B16/'- 3 -'!$D16*100</f>
        <v>0.13373135841905451</v>
      </c>
      <c r="D16" s="24">
        <v>189000</v>
      </c>
      <c r="E16" s="353">
        <f>D16/'- 3 -'!$D16*100</f>
        <v>1.4432265597671043</v>
      </c>
    </row>
    <row r="17" spans="1:5" ht="14.1" customHeight="1">
      <c r="A17" s="360" t="s">
        <v>235</v>
      </c>
      <c r="B17" s="361">
        <v>61000</v>
      </c>
      <c r="C17" s="362">
        <f>B17/'- 3 -'!$D17*100</f>
        <v>0.37001823522653671</v>
      </c>
      <c r="D17" s="361">
        <v>267000</v>
      </c>
      <c r="E17" s="362">
        <f>D17/'- 3 -'!$D17*100</f>
        <v>1.6195880132046769</v>
      </c>
    </row>
    <row r="18" spans="1:5" ht="14.1" customHeight="1">
      <c r="A18" s="23" t="s">
        <v>236</v>
      </c>
      <c r="B18" s="24">
        <v>350000</v>
      </c>
      <c r="C18" s="353">
        <f>B18/'- 3 -'!$D18*100</f>
        <v>0.29365587443013036</v>
      </c>
      <c r="D18" s="24">
        <v>1675000</v>
      </c>
      <c r="E18" s="353">
        <f>D18/'- 3 -'!$D18*100</f>
        <v>1.4053531133441952</v>
      </c>
    </row>
    <row r="19" spans="1:5" ht="14.1" customHeight="1">
      <c r="A19" s="360" t="s">
        <v>237</v>
      </c>
      <c r="B19" s="361">
        <v>30000</v>
      </c>
      <c r="C19" s="362">
        <f>B19/'- 3 -'!$D19*100</f>
        <v>6.9110100337499175E-2</v>
      </c>
      <c r="D19" s="361">
        <v>663000</v>
      </c>
      <c r="E19" s="362">
        <f>D19/'- 3 -'!$D19*100</f>
        <v>1.5273332174587317</v>
      </c>
    </row>
    <row r="20" spans="1:5" ht="14.1" customHeight="1">
      <c r="A20" s="23" t="s">
        <v>238</v>
      </c>
      <c r="B20" s="24">
        <v>60000</v>
      </c>
      <c r="C20" s="353">
        <f>B20/'- 3 -'!$D20*100</f>
        <v>8.4416443197582319E-2</v>
      </c>
      <c r="D20" s="24">
        <v>1190200</v>
      </c>
      <c r="E20" s="353">
        <f>D20/'- 3 -'!$D20*100</f>
        <v>1.674540844896041</v>
      </c>
    </row>
    <row r="21" spans="1:5" ht="14.1" customHeight="1">
      <c r="A21" s="360" t="s">
        <v>239</v>
      </c>
      <c r="B21" s="361">
        <v>33000</v>
      </c>
      <c r="C21" s="362">
        <f>B21/'- 3 -'!$D21*100</f>
        <v>9.6921574028683552E-2</v>
      </c>
      <c r="D21" s="361">
        <v>567000</v>
      </c>
      <c r="E21" s="362">
        <f>D21/'- 3 -'!$D21*100</f>
        <v>1.6652888628564719</v>
      </c>
    </row>
    <row r="22" spans="1:5" ht="14.1" customHeight="1">
      <c r="A22" s="23" t="s">
        <v>240</v>
      </c>
      <c r="B22" s="24">
        <v>30000</v>
      </c>
      <c r="C22" s="353">
        <f>B22/'- 3 -'!$D22*100</f>
        <v>0.15065533564452011</v>
      </c>
      <c r="D22" s="24">
        <v>325000</v>
      </c>
      <c r="E22" s="353">
        <f>D22/'- 3 -'!$D22*100</f>
        <v>1.632099469482301</v>
      </c>
    </row>
    <row r="23" spans="1:5" ht="14.1" customHeight="1">
      <c r="A23" s="360" t="s">
        <v>241</v>
      </c>
      <c r="B23" s="361">
        <v>5000</v>
      </c>
      <c r="C23" s="362">
        <f>B23/'- 3 -'!$D23*100</f>
        <v>3.1203234152813474E-2</v>
      </c>
      <c r="D23" s="361">
        <v>245000</v>
      </c>
      <c r="E23" s="362">
        <f>D23/'- 3 -'!$D23*100</f>
        <v>1.5289584734878601</v>
      </c>
    </row>
    <row r="24" spans="1:5" ht="14.1" customHeight="1">
      <c r="A24" s="23" t="s">
        <v>242</v>
      </c>
      <c r="B24" s="24">
        <v>30000</v>
      </c>
      <c r="C24" s="353">
        <f>B24/'- 3 -'!$D24*100</f>
        <v>5.6853440642307435E-2</v>
      </c>
      <c r="D24" s="24">
        <v>865935</v>
      </c>
      <c r="E24" s="353">
        <f>D24/'- 3 -'!$D24*100</f>
        <v>1.641046137419883</v>
      </c>
    </row>
    <row r="25" spans="1:5" ht="14.1" customHeight="1">
      <c r="A25" s="360" t="s">
        <v>243</v>
      </c>
      <c r="B25" s="361">
        <v>103000</v>
      </c>
      <c r="C25" s="362">
        <f>B25/'- 3 -'!$D25*100</f>
        <v>6.651501029061474E-2</v>
      </c>
      <c r="D25" s="361">
        <v>2522522</v>
      </c>
      <c r="E25" s="362">
        <f>D25/'- 3 -'!$D25*100</f>
        <v>1.6289861824106997</v>
      </c>
    </row>
    <row r="26" spans="1:5" ht="14.1" customHeight="1">
      <c r="A26" s="23" t="s">
        <v>244</v>
      </c>
      <c r="B26" s="24">
        <v>90000</v>
      </c>
      <c r="C26" s="353">
        <f>B26/'- 3 -'!$D26*100</f>
        <v>0.23719815842512443</v>
      </c>
      <c r="D26" s="24">
        <v>582294</v>
      </c>
      <c r="E26" s="353">
        <f>D26/'- 3 -'!$D26*100</f>
        <v>1.5346562717999934</v>
      </c>
    </row>
    <row r="27" spans="1:5" ht="14.1" customHeight="1">
      <c r="A27" s="360" t="s">
        <v>245</v>
      </c>
      <c r="B27" s="361">
        <v>8000</v>
      </c>
      <c r="C27" s="362">
        <f>B27/'- 3 -'!$D27*100</f>
        <v>2.0791428317847402E-2</v>
      </c>
      <c r="D27" s="361">
        <v>647900</v>
      </c>
      <c r="E27" s="362">
        <f>D27/'- 3 -'!$D27*100</f>
        <v>1.6838458008916664</v>
      </c>
    </row>
    <row r="28" spans="1:5" ht="14.1" customHeight="1">
      <c r="A28" s="23" t="s">
        <v>246</v>
      </c>
      <c r="B28" s="24">
        <v>56500</v>
      </c>
      <c r="C28" s="353">
        <f>B28/'- 3 -'!$D28*100</f>
        <v>0.21669881863474832</v>
      </c>
      <c r="D28" s="24">
        <v>405000</v>
      </c>
      <c r="E28" s="353">
        <f>D28/'- 3 -'!$D28*100</f>
        <v>1.5533278149924439</v>
      </c>
    </row>
    <row r="29" spans="1:5" ht="14.1" customHeight="1">
      <c r="A29" s="360" t="s">
        <v>247</v>
      </c>
      <c r="B29" s="361">
        <v>100000</v>
      </c>
      <c r="C29" s="362">
        <f>B29/'- 3 -'!$D29*100</f>
        <v>7.0414138573179866E-2</v>
      </c>
      <c r="D29" s="361">
        <v>2387000</v>
      </c>
      <c r="E29" s="362">
        <f>D29/'- 3 -'!$D29*100</f>
        <v>1.6807854877418034</v>
      </c>
    </row>
    <row r="30" spans="1:5" ht="14.1" customHeight="1">
      <c r="A30" s="23" t="s">
        <v>248</v>
      </c>
      <c r="B30" s="24">
        <v>4000</v>
      </c>
      <c r="C30" s="353">
        <f>B30/'- 3 -'!$D30*100</f>
        <v>2.9728131039223372E-2</v>
      </c>
      <c r="D30" s="24">
        <v>216950</v>
      </c>
      <c r="E30" s="353">
        <f>D30/'- 3 -'!$D30*100</f>
        <v>1.6123795072398774</v>
      </c>
    </row>
    <row r="31" spans="1:5" ht="14.1" customHeight="1">
      <c r="A31" s="360" t="s">
        <v>249</v>
      </c>
      <c r="B31" s="361">
        <v>25000</v>
      </c>
      <c r="C31" s="362">
        <f>B31/'- 3 -'!$D31*100</f>
        <v>7.4348706078241664E-2</v>
      </c>
      <c r="D31" s="361">
        <v>559071</v>
      </c>
      <c r="E31" s="362">
        <f>D31/'- 3 -'!$D31*100</f>
        <v>1.6626482182347457</v>
      </c>
    </row>
    <row r="32" spans="1:5" ht="14.1" customHeight="1">
      <c r="A32" s="23" t="s">
        <v>250</v>
      </c>
      <c r="B32" s="24">
        <v>20000</v>
      </c>
      <c r="C32" s="353">
        <f>B32/'- 3 -'!$D32*100</f>
        <v>7.8298670120577604E-2</v>
      </c>
      <c r="D32" s="24">
        <v>412000</v>
      </c>
      <c r="E32" s="353">
        <f>D32/'- 3 -'!$D32*100</f>
        <v>1.6129526044838984</v>
      </c>
    </row>
    <row r="33" spans="1:5" ht="14.1" customHeight="1">
      <c r="A33" s="360" t="s">
        <v>251</v>
      </c>
      <c r="B33" s="361">
        <v>15000</v>
      </c>
      <c r="C33" s="362">
        <f>B33/'- 3 -'!$D33*100</f>
        <v>5.7113919423682477E-2</v>
      </c>
      <c r="D33" s="361">
        <v>375000</v>
      </c>
      <c r="E33" s="362">
        <f>D33/'- 3 -'!$D33*100</f>
        <v>1.4278479855920618</v>
      </c>
    </row>
    <row r="34" spans="1:5" ht="14.1" customHeight="1">
      <c r="A34" s="23" t="s">
        <v>252</v>
      </c>
      <c r="B34" s="24">
        <v>30000</v>
      </c>
      <c r="C34" s="353">
        <f>B34/'- 3 -'!$D34*100</f>
        <v>0.11744852016039084</v>
      </c>
      <c r="D34" s="24">
        <v>410540</v>
      </c>
      <c r="E34" s="353">
        <f>D34/'- 3 -'!$D34*100</f>
        <v>1.6072438488882284</v>
      </c>
    </row>
    <row r="35" spans="1:5" ht="14.1" customHeight="1">
      <c r="A35" s="360" t="s">
        <v>253</v>
      </c>
      <c r="B35" s="361">
        <v>60000</v>
      </c>
      <c r="C35" s="362">
        <f>B35/'- 3 -'!$D35*100</f>
        <v>3.5810704757892595E-2</v>
      </c>
      <c r="D35" s="361">
        <v>2850000</v>
      </c>
      <c r="E35" s="362">
        <f>D35/'- 3 -'!$D35*100</f>
        <v>1.7010084759998985</v>
      </c>
    </row>
    <row r="36" spans="1:5" ht="14.1" customHeight="1">
      <c r="A36" s="23" t="s">
        <v>254</v>
      </c>
      <c r="B36" s="24">
        <v>105000</v>
      </c>
      <c r="C36" s="353">
        <f>B36/'- 3 -'!$D36*100</f>
        <v>0.4868235413028047</v>
      </c>
      <c r="D36" s="24">
        <v>375500</v>
      </c>
      <c r="E36" s="353">
        <f>D36/'- 3 -'!$D36*100</f>
        <v>1.7409737119924111</v>
      </c>
    </row>
    <row r="37" spans="1:5" ht="14.1" customHeight="1">
      <c r="A37" s="360" t="s">
        <v>255</v>
      </c>
      <c r="B37" s="361">
        <v>35000</v>
      </c>
      <c r="C37" s="362">
        <f>B37/'- 3 -'!$D37*100</f>
        <v>8.4003259326461868E-2</v>
      </c>
      <c r="D37" s="361">
        <v>672000</v>
      </c>
      <c r="E37" s="362">
        <f>D37/'- 3 -'!$D37*100</f>
        <v>1.6128625790680677</v>
      </c>
    </row>
    <row r="38" spans="1:5" ht="14.1" customHeight="1">
      <c r="A38" s="23" t="s">
        <v>256</v>
      </c>
      <c r="B38" s="24">
        <v>250000</v>
      </c>
      <c r="C38" s="353">
        <f>B38/'- 3 -'!$D38*100</f>
        <v>0.21313261810573525</v>
      </c>
      <c r="D38" s="24">
        <v>1903380</v>
      </c>
      <c r="E38" s="353">
        <f>D38/'- 3 -'!$D38*100</f>
        <v>1.6226894506003775</v>
      </c>
    </row>
    <row r="39" spans="1:5" ht="14.1" customHeight="1">
      <c r="A39" s="360" t="s">
        <v>257</v>
      </c>
      <c r="B39" s="361">
        <v>125000</v>
      </c>
      <c r="C39" s="362">
        <f>B39/'- 3 -'!$D39*100</f>
        <v>0.60830287682489648</v>
      </c>
      <c r="D39" s="361">
        <v>270000</v>
      </c>
      <c r="E39" s="362">
        <f>D39/'- 3 -'!$D39*100</f>
        <v>1.3139342139417765</v>
      </c>
    </row>
    <row r="40" spans="1:5" ht="14.1" customHeight="1">
      <c r="A40" s="23" t="s">
        <v>258</v>
      </c>
      <c r="B40" s="24">
        <v>11000</v>
      </c>
      <c r="C40" s="353">
        <f>B40/'- 3 -'!$D40*100</f>
        <v>1.1314264559843634E-2</v>
      </c>
      <c r="D40" s="24">
        <v>1593688</v>
      </c>
      <c r="E40" s="353">
        <f>D40/'- 3 -'!$D40*100</f>
        <v>1.6392188779861891</v>
      </c>
    </row>
    <row r="41" spans="1:5" ht="14.1" customHeight="1">
      <c r="A41" s="360" t="s">
        <v>259</v>
      </c>
      <c r="B41" s="361">
        <v>98000</v>
      </c>
      <c r="C41" s="362">
        <f>B41/'- 3 -'!$D41*100</f>
        <v>0.16990523968688198</v>
      </c>
      <c r="D41" s="361">
        <v>952000</v>
      </c>
      <c r="E41" s="362">
        <f>D41/'- 3 -'!$D41*100</f>
        <v>1.6505080426725678</v>
      </c>
    </row>
    <row r="42" spans="1:5" ht="14.1" customHeight="1">
      <c r="A42" s="23" t="s">
        <v>260</v>
      </c>
      <c r="B42" s="24">
        <v>2000</v>
      </c>
      <c r="C42" s="353">
        <f>B42/'- 3 -'!$D42*100</f>
        <v>9.9129440298823725E-3</v>
      </c>
      <c r="D42" s="24">
        <v>321000</v>
      </c>
      <c r="E42" s="353">
        <f>D42/'- 3 -'!$D42*100</f>
        <v>1.5910275167961205</v>
      </c>
    </row>
    <row r="43" spans="1:5" ht="14.1" customHeight="1">
      <c r="A43" s="360" t="s">
        <v>261</v>
      </c>
      <c r="B43" s="361">
        <v>26000</v>
      </c>
      <c r="C43" s="362">
        <f>B43/'- 3 -'!$D43*100</f>
        <v>0.21746458045645814</v>
      </c>
      <c r="D43" s="361">
        <v>200000</v>
      </c>
      <c r="E43" s="362">
        <f>D43/'- 3 -'!$D43*100</f>
        <v>1.6728044650496783</v>
      </c>
    </row>
    <row r="44" spans="1:5" ht="14.1" customHeight="1">
      <c r="A44" s="23" t="s">
        <v>262</v>
      </c>
      <c r="B44" s="24">
        <v>2000</v>
      </c>
      <c r="C44" s="353">
        <f>B44/'- 3 -'!$D44*100</f>
        <v>1.897793028020819E-2</v>
      </c>
      <c r="D44" s="24">
        <v>167373</v>
      </c>
      <c r="E44" s="353">
        <f>D44/'- 3 -'!$D44*100</f>
        <v>1.5881965623946428</v>
      </c>
    </row>
    <row r="45" spans="1:5" ht="14.1" customHeight="1">
      <c r="A45" s="360" t="s">
        <v>263</v>
      </c>
      <c r="B45" s="361">
        <v>23000</v>
      </c>
      <c r="C45" s="362">
        <f>B45/'- 3 -'!$D45*100</f>
        <v>0.13583647273076904</v>
      </c>
      <c r="D45" s="361">
        <v>279290</v>
      </c>
      <c r="E45" s="362">
        <f>D45/'- 3 -'!$D45*100</f>
        <v>1.6494681943033254</v>
      </c>
    </row>
    <row r="46" spans="1:5" ht="14.1" customHeight="1">
      <c r="A46" s="23" t="s">
        <v>264</v>
      </c>
      <c r="B46" s="24">
        <v>554000</v>
      </c>
      <c r="C46" s="353">
        <f>B46/'- 3 -'!$D46*100</f>
        <v>0.1536080421850938</v>
      </c>
      <c r="D46" s="24">
        <v>6126000</v>
      </c>
      <c r="E46" s="353">
        <f>D46/'- 3 -'!$D46*100</f>
        <v>1.698561130732644</v>
      </c>
    </row>
    <row r="47" spans="1:5" ht="5.0999999999999996" customHeight="1">
      <c r="A47"/>
      <c r="B47"/>
      <c r="C47"/>
      <c r="D47"/>
      <c r="E47"/>
    </row>
    <row r="48" spans="1:5" ht="14.1" customHeight="1">
      <c r="A48" s="363" t="s">
        <v>265</v>
      </c>
      <c r="B48" s="364">
        <f>SUM(B11:B46)</f>
        <v>2453713</v>
      </c>
      <c r="C48" s="365">
        <f>B48/'- 3 -'!$D48*100</f>
        <v>0.11784276380434806</v>
      </c>
      <c r="D48" s="364">
        <f>SUM(D11:D46)</f>
        <v>33852850</v>
      </c>
      <c r="E48" s="365">
        <f>D48/'- 3 -'!$D48*100</f>
        <v>1.6258272286343283</v>
      </c>
    </row>
    <row r="49" spans="1:5" ht="5.0999999999999996" customHeight="1">
      <c r="A49" s="25" t="s">
        <v>3</v>
      </c>
      <c r="B49" s="26"/>
      <c r="C49" s="351"/>
      <c r="D49" s="26"/>
      <c r="E49" s="351"/>
    </row>
    <row r="50" spans="1:5" ht="14.1" customHeight="1">
      <c r="A50" s="23" t="s">
        <v>266</v>
      </c>
      <c r="B50" s="24">
        <v>1500</v>
      </c>
      <c r="C50" s="353">
        <f>B50/'- 3 -'!$D50*100</f>
        <v>4.5707306861489494E-2</v>
      </c>
      <c r="D50" s="24">
        <v>45738</v>
      </c>
      <c r="E50" s="353">
        <f>D50/'- 3 -'!$D50*100</f>
        <v>1.3937072008205376</v>
      </c>
    </row>
    <row r="51" spans="1:5" ht="14.1" customHeight="1">
      <c r="A51" s="360" t="s">
        <v>267</v>
      </c>
      <c r="B51" s="361">
        <v>18000</v>
      </c>
      <c r="C51" s="362">
        <f>B51/'- 3 -'!$D51*100</f>
        <v>8.6603697439013194E-2</v>
      </c>
      <c r="D51" s="361">
        <v>124960</v>
      </c>
      <c r="E51" s="362">
        <f>D51/'- 3 -'!$D51*100</f>
        <v>0.6012221128877272</v>
      </c>
    </row>
    <row r="52" spans="1:5" ht="50.1" customHeight="1"/>
    <row r="53" spans="1:5" ht="15" customHeight="1">
      <c r="C53" s="115"/>
    </row>
    <row r="54" spans="1:5" ht="14.45" customHeight="1">
      <c r="C54" s="115"/>
    </row>
    <row r="55" spans="1:5" ht="14.45" customHeight="1"/>
    <row r="56" spans="1:5" ht="14.45" customHeight="1"/>
    <row r="57" spans="1:5" ht="14.45" customHeight="1"/>
    <row r="58" spans="1:5" ht="14.45" customHeight="1"/>
    <row r="59" spans="1:5" ht="14.45" customHeight="1"/>
  </sheetData>
  <phoneticPr fontId="0" type="noConversion"/>
  <printOptions horizontalCentered="1"/>
  <pageMargins left="0.51181102362204722" right="0.51181102362204722" top="0.59055118110236227" bottom="0" header="0.31496062992125984" footer="0"/>
  <pageSetup scale="90" orientation="portrait" r:id="rId1"/>
  <headerFooter alignWithMargins="0">
    <oddHeader>&amp;C&amp;"Arial,Bold"&amp;10&amp;A</oddHeader>
  </headerFooter>
</worksheet>
</file>

<file path=xl/worksheets/sheet31.xml><?xml version="1.0" encoding="utf-8"?>
<worksheet xmlns="http://schemas.openxmlformats.org/spreadsheetml/2006/main" xmlns:r="http://schemas.openxmlformats.org/officeDocument/2006/relationships">
  <sheetPr codeName="Sheet32">
    <pageSetUpPr fitToPage="1"/>
  </sheetPr>
  <dimension ref="A1:H59"/>
  <sheetViews>
    <sheetView showGridLines="0" showZeros="0" workbookViewId="0"/>
  </sheetViews>
  <sheetFormatPr defaultColWidth="15.83203125" defaultRowHeight="12"/>
  <cols>
    <col min="1" max="1" width="30.83203125" style="1" customWidth="1"/>
    <col min="2" max="2" width="16.83203125" style="1" customWidth="1"/>
    <col min="3" max="3" width="19.83203125" style="1" customWidth="1"/>
    <col min="4" max="4" width="10.83203125" style="1" customWidth="1"/>
    <col min="5" max="5" width="16.83203125" style="1" customWidth="1"/>
    <col min="6" max="6" width="11.83203125" style="1" customWidth="1"/>
    <col min="7" max="7" width="14.83203125" style="1" customWidth="1"/>
    <col min="8" max="8" width="11.83203125" style="1" customWidth="1"/>
    <col min="9" max="16384" width="15.83203125" style="1"/>
  </cols>
  <sheetData>
    <row r="1" spans="1:8" ht="6.95" customHeight="1">
      <c r="A1" s="3"/>
      <c r="B1" s="4"/>
      <c r="C1" s="4"/>
      <c r="D1" s="4"/>
      <c r="E1" s="4"/>
      <c r="F1" s="4"/>
      <c r="G1" s="4"/>
      <c r="H1" s="4"/>
    </row>
    <row r="2" spans="1:8" ht="15.95" customHeight="1">
      <c r="A2" s="161"/>
      <c r="B2" s="5" t="s">
        <v>484</v>
      </c>
      <c r="C2" s="6"/>
      <c r="D2" s="6"/>
      <c r="E2" s="6"/>
      <c r="F2" s="106"/>
      <c r="G2" s="106"/>
      <c r="H2" s="106"/>
    </row>
    <row r="3" spans="1:8" ht="15.95" customHeight="1">
      <c r="A3" s="164"/>
      <c r="B3" s="7" t="str">
        <f>OPYEAR</f>
        <v>OPERATING FUND 2013/2014 BUDGET</v>
      </c>
      <c r="C3" s="8"/>
      <c r="D3" s="8"/>
      <c r="E3" s="8"/>
      <c r="F3" s="108"/>
      <c r="G3" s="108"/>
      <c r="H3" s="108"/>
    </row>
    <row r="4" spans="1:8" ht="15.95" customHeight="1">
      <c r="B4" s="4"/>
      <c r="C4" s="4"/>
      <c r="D4" s="4"/>
      <c r="E4" s="4"/>
      <c r="F4" s="4"/>
      <c r="G4" s="4"/>
      <c r="H4" s="4"/>
    </row>
    <row r="5" spans="1:8" ht="15.95" customHeight="1">
      <c r="B5" s="4"/>
      <c r="C5" s="4"/>
      <c r="D5" s="4"/>
      <c r="E5" s="4"/>
      <c r="F5" s="4"/>
      <c r="G5" s="4"/>
      <c r="H5" s="4"/>
    </row>
    <row r="6" spans="1:8" ht="15.95" customHeight="1">
      <c r="B6" s="354" t="s">
        <v>25</v>
      </c>
      <c r="C6" s="355"/>
      <c r="D6" s="369"/>
      <c r="E6" s="369"/>
      <c r="F6" s="369"/>
      <c r="G6" s="369"/>
      <c r="H6" s="368"/>
    </row>
    <row r="7" spans="1:8" ht="15.95" customHeight="1">
      <c r="B7" s="357" t="s">
        <v>55</v>
      </c>
      <c r="C7" s="358"/>
      <c r="D7" s="380"/>
      <c r="E7" s="380"/>
      <c r="F7" s="380"/>
      <c r="G7" s="380"/>
      <c r="H7" s="370"/>
    </row>
    <row r="8" spans="1:8" ht="15.95" customHeight="1">
      <c r="A8" s="102"/>
      <c r="B8" s="30"/>
      <c r="C8" s="111" t="s">
        <v>193</v>
      </c>
      <c r="D8" s="112" t="s">
        <v>60</v>
      </c>
      <c r="E8" s="182" t="s">
        <v>73</v>
      </c>
      <c r="F8" s="182" t="s">
        <v>74</v>
      </c>
      <c r="G8" s="182" t="s">
        <v>75</v>
      </c>
      <c r="H8" s="182" t="s">
        <v>74</v>
      </c>
    </row>
    <row r="9" spans="1:8" ht="15.95" customHeight="1">
      <c r="A9" s="35" t="s">
        <v>81</v>
      </c>
      <c r="B9" s="113" t="s">
        <v>82</v>
      </c>
      <c r="C9" s="113" t="s">
        <v>88</v>
      </c>
      <c r="D9" s="113" t="s">
        <v>84</v>
      </c>
      <c r="E9" s="113" t="s">
        <v>89</v>
      </c>
      <c r="F9" s="113" t="s">
        <v>90</v>
      </c>
      <c r="G9" s="113" t="s">
        <v>91</v>
      </c>
      <c r="H9" s="113" t="s">
        <v>90</v>
      </c>
    </row>
    <row r="10" spans="1:8" ht="5.0999999999999996" customHeight="1">
      <c r="A10" s="37"/>
    </row>
    <row r="11" spans="1:8" ht="14.1" customHeight="1">
      <c r="A11" s="360" t="s">
        <v>230</v>
      </c>
      <c r="B11" s="417">
        <f>'- 30 -'!$D11</f>
        <v>993870</v>
      </c>
      <c r="C11" s="417">
        <v>688</v>
      </c>
      <c r="D11" s="417">
        <f ca="1">IF(AND(CELL("type",C11)="v",C11&gt;0),B11/C11,"")</f>
        <v>1444.578488372093</v>
      </c>
      <c r="E11" s="417">
        <v>614000</v>
      </c>
      <c r="F11" s="418">
        <f ca="1">IF(AND(CELL("type",E11)="v",E11&gt;0),B11/E11,"")</f>
        <v>1.6186807817589577</v>
      </c>
      <c r="G11" s="417">
        <v>395000</v>
      </c>
      <c r="H11" s="418">
        <f ca="1">IF(AND(CELL("type",G11)="v",G11&gt;0),B11/G11,"")</f>
        <v>2.5161265822784808</v>
      </c>
    </row>
    <row r="12" spans="1:8" ht="14.1" customHeight="1">
      <c r="A12" s="23" t="s">
        <v>231</v>
      </c>
      <c r="B12" s="171">
        <f>'- 30 -'!$D12</f>
        <v>2072540</v>
      </c>
      <c r="C12" s="171">
        <v>1587</v>
      </c>
      <c r="D12" s="171">
        <f t="shared" ref="D12:D46" ca="1" si="0">IF(AND(CELL("type",C12)="v",C12&gt;0),B12/C12,"")</f>
        <v>1305.9483301827347</v>
      </c>
      <c r="E12" s="171">
        <v>1144830</v>
      </c>
      <c r="F12" s="178">
        <f t="shared" ref="F12:F46" ca="1" si="1">IF(AND(CELL("type",E12)="v",E12&gt;0),B12/E12,"")</f>
        <v>1.8103473878217726</v>
      </c>
      <c r="G12" s="171">
        <v>735503</v>
      </c>
      <c r="H12" s="178">
        <f t="shared" ref="H12:H46" ca="1" si="2">IF(AND(CELL("type",G12)="v",G12&gt;0),B12/G12,"")</f>
        <v>2.8178539040629338</v>
      </c>
    </row>
    <row r="13" spans="1:8" ht="14.1" customHeight="1">
      <c r="A13" s="360" t="s">
        <v>232</v>
      </c>
      <c r="B13" s="417">
        <f>'- 30 -'!$D13</f>
        <v>1777200</v>
      </c>
      <c r="C13" s="417">
        <v>3000</v>
      </c>
      <c r="D13" s="417">
        <f t="shared" ca="1" si="0"/>
        <v>592.4</v>
      </c>
      <c r="E13" s="417">
        <v>820000</v>
      </c>
      <c r="F13" s="418">
        <f t="shared" ca="1" si="1"/>
        <v>2.1673170731707319</v>
      </c>
      <c r="G13" s="417">
        <v>515000</v>
      </c>
      <c r="H13" s="418">
        <f t="shared" ca="1" si="2"/>
        <v>3.450873786407767</v>
      </c>
    </row>
    <row r="14" spans="1:8" ht="14.1" customHeight="1">
      <c r="A14" s="23" t="s">
        <v>578</v>
      </c>
      <c r="B14" s="171">
        <f>'- 30 -'!$D14</f>
        <v>7355225</v>
      </c>
      <c r="C14" s="171">
        <v>4330</v>
      </c>
      <c r="D14" s="171">
        <f t="shared" ca="1" si="0"/>
        <v>1698.6662817551962</v>
      </c>
      <c r="E14" s="171">
        <v>2720808</v>
      </c>
      <c r="F14" s="178">
        <f t="shared" ca="1" si="1"/>
        <v>2.7033237920500088</v>
      </c>
      <c r="G14" s="171">
        <v>1444216</v>
      </c>
      <c r="H14" s="178">
        <f t="shared" ca="1" si="2"/>
        <v>5.0928843053947608</v>
      </c>
    </row>
    <row r="15" spans="1:8" ht="14.1" customHeight="1">
      <c r="A15" s="360" t="s">
        <v>233</v>
      </c>
      <c r="B15" s="417">
        <f>'- 30 -'!$D15</f>
        <v>1183750</v>
      </c>
      <c r="C15" s="417">
        <v>1020</v>
      </c>
      <c r="D15" s="417">
        <f t="shared" ca="1" si="0"/>
        <v>1160.5392156862745</v>
      </c>
      <c r="E15" s="417">
        <v>650000</v>
      </c>
      <c r="F15" s="418">
        <f t="shared" ca="1" si="1"/>
        <v>1.8211538461538461</v>
      </c>
      <c r="G15" s="417">
        <v>450000</v>
      </c>
      <c r="H15" s="418">
        <f t="shared" ca="1" si="2"/>
        <v>2.6305555555555555</v>
      </c>
    </row>
    <row r="16" spans="1:8" ht="14.1" customHeight="1">
      <c r="A16" s="23" t="s">
        <v>234</v>
      </c>
      <c r="B16" s="171">
        <f>'- 30 -'!$D16</f>
        <v>286403</v>
      </c>
      <c r="C16" s="171">
        <v>198</v>
      </c>
      <c r="D16" s="171">
        <f t="shared" ca="1" si="0"/>
        <v>1446.4797979797979</v>
      </c>
      <c r="E16" s="171">
        <v>62662</v>
      </c>
      <c r="F16" s="178">
        <f t="shared" ca="1" si="1"/>
        <v>4.5706010022022916</v>
      </c>
      <c r="G16" s="171">
        <v>40546</v>
      </c>
      <c r="H16" s="178">
        <f t="shared" ca="1" si="2"/>
        <v>7.0636560943126323</v>
      </c>
    </row>
    <row r="17" spans="1:8" ht="14.1" customHeight="1">
      <c r="A17" s="360" t="s">
        <v>235</v>
      </c>
      <c r="B17" s="417">
        <f>'- 30 -'!$D17</f>
        <v>1248890</v>
      </c>
      <c r="C17" s="417">
        <v>630</v>
      </c>
      <c r="D17" s="417">
        <f t="shared" ca="1" si="0"/>
        <v>1982.3650793650793</v>
      </c>
      <c r="E17" s="417">
        <v>940572</v>
      </c>
      <c r="F17" s="418">
        <f t="shared" ca="1" si="1"/>
        <v>1.3277984035246637</v>
      </c>
      <c r="G17" s="417">
        <v>583825</v>
      </c>
      <c r="H17" s="418">
        <f t="shared" ca="1" si="2"/>
        <v>2.1391512867725773</v>
      </c>
    </row>
    <row r="18" spans="1:8" ht="14.1" customHeight="1">
      <c r="A18" s="23" t="s">
        <v>236</v>
      </c>
      <c r="B18" s="171">
        <f>'- 30 -'!$D18</f>
        <v>6535630</v>
      </c>
      <c r="C18" s="171">
        <v>5100</v>
      </c>
      <c r="D18" s="171">
        <f t="shared" ca="1" si="0"/>
        <v>1281.4960784313726</v>
      </c>
      <c r="E18" s="171">
        <v>1503900</v>
      </c>
      <c r="F18" s="178">
        <f t="shared" ca="1" si="1"/>
        <v>4.3457876188576368</v>
      </c>
      <c r="G18" s="171">
        <v>988450</v>
      </c>
      <c r="H18" s="178">
        <f t="shared" ca="1" si="2"/>
        <v>6.6119985836410544</v>
      </c>
    </row>
    <row r="19" spans="1:8" ht="14.1" customHeight="1">
      <c r="A19" s="360" t="s">
        <v>237</v>
      </c>
      <c r="B19" s="417">
        <f>'- 30 -'!$D19</f>
        <v>2329000</v>
      </c>
      <c r="C19" s="417">
        <v>2762</v>
      </c>
      <c r="D19" s="417">
        <f t="shared" ca="1" si="0"/>
        <v>843.22954380883414</v>
      </c>
      <c r="E19" s="417">
        <v>807245</v>
      </c>
      <c r="F19" s="418">
        <f t="shared" ca="1" si="1"/>
        <v>2.8851216173528482</v>
      </c>
      <c r="G19" s="417">
        <v>430560</v>
      </c>
      <c r="H19" s="418">
        <f t="shared" ca="1" si="2"/>
        <v>5.4092344853214422</v>
      </c>
    </row>
    <row r="20" spans="1:8" ht="14.1" customHeight="1">
      <c r="A20" s="23" t="s">
        <v>238</v>
      </c>
      <c r="B20" s="171">
        <f>'- 30 -'!$D20</f>
        <v>3277900</v>
      </c>
      <c r="C20" s="171">
        <v>5051</v>
      </c>
      <c r="D20" s="171">
        <f t="shared" ca="1" si="0"/>
        <v>648.96060186101761</v>
      </c>
      <c r="E20" s="171">
        <v>1401231</v>
      </c>
      <c r="F20" s="178">
        <f t="shared" ca="1" si="1"/>
        <v>2.3393002295838445</v>
      </c>
      <c r="G20" s="171">
        <v>847780</v>
      </c>
      <c r="H20" s="178">
        <f t="shared" ca="1" si="2"/>
        <v>3.8664512019627733</v>
      </c>
    </row>
    <row r="21" spans="1:8" ht="14.1" customHeight="1">
      <c r="A21" s="360" t="s">
        <v>239</v>
      </c>
      <c r="B21" s="417">
        <f>'- 30 -'!$D21</f>
        <v>1790000</v>
      </c>
      <c r="C21" s="417">
        <v>1578</v>
      </c>
      <c r="D21" s="417">
        <f t="shared" ca="1" si="0"/>
        <v>1134.3472750316857</v>
      </c>
      <c r="E21" s="417">
        <v>993000</v>
      </c>
      <c r="F21" s="418">
        <f t="shared" ca="1" si="1"/>
        <v>1.8026183282980865</v>
      </c>
      <c r="G21" s="417">
        <v>631371</v>
      </c>
      <c r="H21" s="418">
        <f t="shared" ca="1" si="2"/>
        <v>2.8351001233822903</v>
      </c>
    </row>
    <row r="22" spans="1:8" ht="14.1" customHeight="1">
      <c r="A22" s="23" t="s">
        <v>240</v>
      </c>
      <c r="B22" s="171">
        <f>'- 30 -'!$D22</f>
        <v>447850</v>
      </c>
      <c r="C22" s="171">
        <v>494</v>
      </c>
      <c r="D22" s="171">
        <f t="shared" ca="1" si="0"/>
        <v>906.57894736842104</v>
      </c>
      <c r="E22" s="171">
        <v>185444</v>
      </c>
      <c r="F22" s="178">
        <f t="shared" ca="1" si="1"/>
        <v>2.4150147753499707</v>
      </c>
      <c r="G22" s="171">
        <v>112908</v>
      </c>
      <c r="H22" s="178">
        <f t="shared" ca="1" si="2"/>
        <v>3.9665037021291671</v>
      </c>
    </row>
    <row r="23" spans="1:8" ht="14.1" customHeight="1">
      <c r="A23" s="360" t="s">
        <v>241</v>
      </c>
      <c r="B23" s="417">
        <f>'- 30 -'!$D23</f>
        <v>1489390</v>
      </c>
      <c r="C23" s="417">
        <v>762</v>
      </c>
      <c r="D23" s="417">
        <f t="shared" ca="1" si="0"/>
        <v>1954.5800524934384</v>
      </c>
      <c r="E23" s="417">
        <v>1047000</v>
      </c>
      <c r="F23" s="418">
        <f t="shared" ca="1" si="1"/>
        <v>1.4225310410697229</v>
      </c>
      <c r="G23" s="417">
        <v>604500</v>
      </c>
      <c r="H23" s="418">
        <f t="shared" ca="1" si="2"/>
        <v>2.4638378825475598</v>
      </c>
    </row>
    <row r="24" spans="1:8" ht="14.1" customHeight="1">
      <c r="A24" s="23" t="s">
        <v>242</v>
      </c>
      <c r="B24" s="171">
        <f>'- 30 -'!$D24</f>
        <v>2244635</v>
      </c>
      <c r="C24" s="171">
        <v>3017</v>
      </c>
      <c r="D24" s="171">
        <f t="shared" ca="1" si="0"/>
        <v>743.99569108385811</v>
      </c>
      <c r="E24" s="171">
        <v>1039232</v>
      </c>
      <c r="F24" s="178">
        <f t="shared" ca="1" si="1"/>
        <v>2.1598978861312967</v>
      </c>
      <c r="G24" s="171">
        <v>666080</v>
      </c>
      <c r="H24" s="178">
        <f t="shared" ca="1" si="2"/>
        <v>3.3699180278645207</v>
      </c>
    </row>
    <row r="25" spans="1:8" ht="14.1" customHeight="1">
      <c r="A25" s="360" t="s">
        <v>243</v>
      </c>
      <c r="B25" s="417">
        <f>'- 30 -'!$D25</f>
        <v>3351741</v>
      </c>
      <c r="C25" s="417">
        <v>2325</v>
      </c>
      <c r="D25" s="417">
        <f t="shared" ca="1" si="0"/>
        <v>1441.6090322580644</v>
      </c>
      <c r="E25" s="417">
        <v>805896</v>
      </c>
      <c r="F25" s="418">
        <f t="shared" ca="1" si="1"/>
        <v>4.1590242413413145</v>
      </c>
      <c r="G25" s="417">
        <v>435547</v>
      </c>
      <c r="H25" s="418">
        <f t="shared" ca="1" si="2"/>
        <v>7.6954748856036206</v>
      </c>
    </row>
    <row r="26" spans="1:8" ht="14.1" customHeight="1">
      <c r="A26" s="23" t="s">
        <v>244</v>
      </c>
      <c r="B26" s="171">
        <f>'- 30 -'!$D26</f>
        <v>2543673</v>
      </c>
      <c r="C26" s="171">
        <v>1274</v>
      </c>
      <c r="D26" s="171">
        <f t="shared" ca="1" si="0"/>
        <v>1996.6036106750391</v>
      </c>
      <c r="E26" s="171">
        <v>1351734</v>
      </c>
      <c r="F26" s="178">
        <f t="shared" ca="1" si="1"/>
        <v>1.8817851737102123</v>
      </c>
      <c r="G26" s="171">
        <v>1114579</v>
      </c>
      <c r="H26" s="178">
        <f t="shared" ca="1" si="2"/>
        <v>2.282182779327441</v>
      </c>
    </row>
    <row r="27" spans="1:8" ht="14.1" customHeight="1">
      <c r="A27" s="360" t="s">
        <v>245</v>
      </c>
      <c r="B27" s="417">
        <f>'- 30 -'!$D27</f>
        <v>0</v>
      </c>
      <c r="C27" s="421" t="s">
        <v>184</v>
      </c>
      <c r="D27" s="421" t="str">
        <f ca="1">IF(AND(CELL("type",C27)="v",C27&gt;0),B27/C27,"")</f>
        <v/>
      </c>
      <c r="E27" s="421" t="s">
        <v>184</v>
      </c>
      <c r="F27" s="422" t="str">
        <f ca="1">IF(AND(CELL("type",E27)="v",E27&gt;0),B27/E27,"")</f>
        <v/>
      </c>
      <c r="G27" s="421" t="s">
        <v>184</v>
      </c>
      <c r="H27" s="418" t="str">
        <f t="shared" ca="1" si="2"/>
        <v/>
      </c>
    </row>
    <row r="28" spans="1:8" ht="14.1" customHeight="1">
      <c r="A28" s="23" t="s">
        <v>246</v>
      </c>
      <c r="B28" s="171">
        <f>'- 30 -'!$D28</f>
        <v>1957174</v>
      </c>
      <c r="C28" s="171">
        <v>825</v>
      </c>
      <c r="D28" s="171">
        <f t="shared" ca="1" si="0"/>
        <v>2372.3321212121214</v>
      </c>
      <c r="E28" s="171">
        <v>1270000</v>
      </c>
      <c r="F28" s="178">
        <f t="shared" ca="1" si="1"/>
        <v>1.5410818897637795</v>
      </c>
      <c r="G28" s="171">
        <v>840000</v>
      </c>
      <c r="H28" s="178">
        <f t="shared" ca="1" si="2"/>
        <v>2.3299690476190476</v>
      </c>
    </row>
    <row r="29" spans="1:8" ht="14.1" customHeight="1">
      <c r="A29" s="360" t="s">
        <v>247</v>
      </c>
      <c r="B29" s="417">
        <f>'- 30 -'!$D29</f>
        <v>2106728</v>
      </c>
      <c r="C29" s="417">
        <v>2195</v>
      </c>
      <c r="D29" s="417">
        <f t="shared" ca="1" si="0"/>
        <v>959.7849658314351</v>
      </c>
      <c r="E29" s="417">
        <v>525000</v>
      </c>
      <c r="F29" s="418">
        <f t="shared" ca="1" si="1"/>
        <v>4.0128152380952384</v>
      </c>
      <c r="G29" s="417">
        <v>320000</v>
      </c>
      <c r="H29" s="418">
        <f t="shared" ca="1" si="2"/>
        <v>6.5835249999999998</v>
      </c>
    </row>
    <row r="30" spans="1:8" ht="14.1" customHeight="1">
      <c r="A30" s="23" t="s">
        <v>248</v>
      </c>
      <c r="B30" s="171">
        <f>'- 30 -'!$D30</f>
        <v>1095550</v>
      </c>
      <c r="C30" s="171">
        <v>715</v>
      </c>
      <c r="D30" s="171">
        <f t="shared" ca="1" si="0"/>
        <v>1532.2377622377621</v>
      </c>
      <c r="E30" s="171">
        <v>730000</v>
      </c>
      <c r="F30" s="178">
        <f t="shared" ca="1" si="1"/>
        <v>1.5007534246575343</v>
      </c>
      <c r="G30" s="171">
        <v>455000</v>
      </c>
      <c r="H30" s="178">
        <f t="shared" ca="1" si="2"/>
        <v>2.407802197802198</v>
      </c>
    </row>
    <row r="31" spans="1:8" ht="14.1" customHeight="1">
      <c r="A31" s="360" t="s">
        <v>249</v>
      </c>
      <c r="B31" s="417">
        <f>'- 30 -'!$D31</f>
        <v>882356</v>
      </c>
      <c r="C31" s="417">
        <v>1155</v>
      </c>
      <c r="D31" s="417">
        <f t="shared" ca="1" si="0"/>
        <v>763.94458874458871</v>
      </c>
      <c r="E31" s="417">
        <v>568000</v>
      </c>
      <c r="F31" s="418">
        <f t="shared" ca="1" si="1"/>
        <v>1.553443661971831</v>
      </c>
      <c r="G31" s="417">
        <v>390000</v>
      </c>
      <c r="H31" s="418">
        <f t="shared" ca="1" si="2"/>
        <v>2.2624512820512819</v>
      </c>
    </row>
    <row r="32" spans="1:8" ht="14.1" customHeight="1">
      <c r="A32" s="23" t="s">
        <v>250</v>
      </c>
      <c r="B32" s="171">
        <f>'- 30 -'!$D32</f>
        <v>1809475</v>
      </c>
      <c r="C32" s="171">
        <v>1465</v>
      </c>
      <c r="D32" s="171">
        <f t="shared" ca="1" si="0"/>
        <v>1235.1365187713311</v>
      </c>
      <c r="E32" s="171">
        <v>1025000</v>
      </c>
      <c r="F32" s="178">
        <f t="shared" ca="1" si="1"/>
        <v>1.765341463414634</v>
      </c>
      <c r="G32" s="171">
        <v>735000</v>
      </c>
      <c r="H32" s="178">
        <f t="shared" ca="1" si="2"/>
        <v>2.4618707482993196</v>
      </c>
    </row>
    <row r="33" spans="1:8" ht="14.1" customHeight="1">
      <c r="A33" s="360" t="s">
        <v>251</v>
      </c>
      <c r="B33" s="417">
        <f>'- 30 -'!$D33</f>
        <v>2215600</v>
      </c>
      <c r="C33" s="417">
        <v>1110</v>
      </c>
      <c r="D33" s="417">
        <f t="shared" ca="1" si="0"/>
        <v>1996.036036036036</v>
      </c>
      <c r="E33" s="417">
        <v>1425000</v>
      </c>
      <c r="F33" s="418">
        <f t="shared" ca="1" si="1"/>
        <v>1.5548070175438597</v>
      </c>
      <c r="G33" s="417">
        <v>915000</v>
      </c>
      <c r="H33" s="418">
        <f t="shared" ca="1" si="2"/>
        <v>2.4214207650273223</v>
      </c>
    </row>
    <row r="34" spans="1:8" ht="14.1" customHeight="1">
      <c r="A34" s="23" t="s">
        <v>252</v>
      </c>
      <c r="B34" s="171">
        <f>'- 30 -'!$D34</f>
        <v>2298605</v>
      </c>
      <c r="C34" s="171">
        <v>1410</v>
      </c>
      <c r="D34" s="171">
        <f t="shared" ca="1" si="0"/>
        <v>1630.2163120567375</v>
      </c>
      <c r="E34" s="171">
        <v>1308003</v>
      </c>
      <c r="F34" s="178">
        <f t="shared" ca="1" si="1"/>
        <v>1.7573392415766631</v>
      </c>
      <c r="G34" s="171">
        <v>849797</v>
      </c>
      <c r="H34" s="178">
        <f t="shared" ca="1" si="2"/>
        <v>2.7048871671705124</v>
      </c>
    </row>
    <row r="35" spans="1:8" ht="14.1" customHeight="1">
      <c r="A35" s="360" t="s">
        <v>253</v>
      </c>
      <c r="B35" s="417">
        <f>'- 30 -'!$D35</f>
        <v>2984500</v>
      </c>
      <c r="C35" s="417">
        <v>3350</v>
      </c>
      <c r="D35" s="417">
        <f t="shared" ca="1" si="0"/>
        <v>890.8955223880597</v>
      </c>
      <c r="E35" s="417">
        <v>901000</v>
      </c>
      <c r="F35" s="418">
        <f t="shared" ca="1" si="1"/>
        <v>3.3124306326304107</v>
      </c>
      <c r="G35" s="417">
        <v>447000</v>
      </c>
      <c r="H35" s="418">
        <f t="shared" ca="1" si="2"/>
        <v>6.6767337807606264</v>
      </c>
    </row>
    <row r="36" spans="1:8" ht="14.1" customHeight="1">
      <c r="A36" s="23" t="s">
        <v>254</v>
      </c>
      <c r="B36" s="171">
        <f>'- 30 -'!$D36</f>
        <v>1417500</v>
      </c>
      <c r="C36" s="171">
        <v>897</v>
      </c>
      <c r="D36" s="171">
        <f t="shared" ca="1" si="0"/>
        <v>1580.267558528428</v>
      </c>
      <c r="E36" s="171">
        <v>820088</v>
      </c>
      <c r="F36" s="178">
        <f t="shared" ca="1" si="1"/>
        <v>1.7284730419174528</v>
      </c>
      <c r="G36" s="171">
        <v>540776</v>
      </c>
      <c r="H36" s="178">
        <f t="shared" ca="1" si="2"/>
        <v>2.6212331908220778</v>
      </c>
    </row>
    <row r="37" spans="1:8" ht="14.1" customHeight="1">
      <c r="A37" s="360" t="s">
        <v>255</v>
      </c>
      <c r="B37" s="417">
        <f>'- 30 -'!$D37</f>
        <v>2480488</v>
      </c>
      <c r="C37" s="417">
        <v>2583</v>
      </c>
      <c r="D37" s="417">
        <f t="shared" ca="1" si="0"/>
        <v>960.31281455671694</v>
      </c>
      <c r="E37" s="417">
        <v>1300247</v>
      </c>
      <c r="F37" s="418">
        <f t="shared" ca="1" si="1"/>
        <v>1.9077052283143126</v>
      </c>
      <c r="G37" s="417">
        <v>816368</v>
      </c>
      <c r="H37" s="418">
        <f t="shared" ca="1" si="2"/>
        <v>3.0384434470728885</v>
      </c>
    </row>
    <row r="38" spans="1:8" ht="14.1" customHeight="1">
      <c r="A38" s="23" t="s">
        <v>256</v>
      </c>
      <c r="B38" s="171">
        <f>'- 30 -'!$D38</f>
        <v>2593910</v>
      </c>
      <c r="C38" s="171">
        <v>2793</v>
      </c>
      <c r="D38" s="171">
        <f t="shared" ca="1" si="0"/>
        <v>928.71822413175801</v>
      </c>
      <c r="E38" s="171">
        <v>598800</v>
      </c>
      <c r="F38" s="178">
        <f t="shared" ca="1" si="1"/>
        <v>4.3318470273881093</v>
      </c>
      <c r="G38" s="171">
        <v>430060</v>
      </c>
      <c r="H38" s="178">
        <f t="shared" ca="1" si="2"/>
        <v>6.0315072315490861</v>
      </c>
    </row>
    <row r="39" spans="1:8" ht="14.1" customHeight="1">
      <c r="A39" s="360" t="s">
        <v>257</v>
      </c>
      <c r="B39" s="417">
        <f>'- 30 -'!$D39</f>
        <v>1776700</v>
      </c>
      <c r="C39" s="417">
        <v>876</v>
      </c>
      <c r="D39" s="417">
        <f t="shared" ca="1" si="0"/>
        <v>2028.1963470319636</v>
      </c>
      <c r="E39" s="417">
        <v>1252800</v>
      </c>
      <c r="F39" s="418">
        <f t="shared" ca="1" si="1"/>
        <v>1.418183269476373</v>
      </c>
      <c r="G39" s="417">
        <v>762000</v>
      </c>
      <c r="H39" s="418">
        <f t="shared" ca="1" si="2"/>
        <v>2.3316272965879263</v>
      </c>
    </row>
    <row r="40" spans="1:8" ht="14.1" customHeight="1">
      <c r="A40" s="23" t="s">
        <v>258</v>
      </c>
      <c r="B40" s="171">
        <f>'- 30 -'!$D40</f>
        <v>1623733</v>
      </c>
      <c r="C40" s="171">
        <v>1884</v>
      </c>
      <c r="D40" s="171">
        <f t="shared" ca="1" si="0"/>
        <v>861.85403397027596</v>
      </c>
      <c r="E40" s="171">
        <v>402076</v>
      </c>
      <c r="F40" s="178">
        <f t="shared" ca="1" si="1"/>
        <v>4.0383733423531867</v>
      </c>
      <c r="G40" s="171">
        <v>245366</v>
      </c>
      <c r="H40" s="178">
        <f t="shared" ca="1" si="2"/>
        <v>6.6175957549130686</v>
      </c>
    </row>
    <row r="41" spans="1:8" ht="14.1" customHeight="1">
      <c r="A41" s="360" t="s">
        <v>259</v>
      </c>
      <c r="B41" s="417">
        <f>'- 30 -'!$D41</f>
        <v>4185704</v>
      </c>
      <c r="C41" s="417">
        <v>3662</v>
      </c>
      <c r="D41" s="417">
        <f t="shared" ca="1" si="0"/>
        <v>1143.010376843255</v>
      </c>
      <c r="E41" s="417">
        <v>2468304</v>
      </c>
      <c r="F41" s="418">
        <f t="shared" ca="1" si="1"/>
        <v>1.6957813948362925</v>
      </c>
      <c r="G41" s="417">
        <v>1500032</v>
      </c>
      <c r="H41" s="418">
        <f t="shared" ca="1" si="2"/>
        <v>2.7904098045908352</v>
      </c>
    </row>
    <row r="42" spans="1:8" ht="14.1" customHeight="1">
      <c r="A42" s="23" t="s">
        <v>260</v>
      </c>
      <c r="B42" s="171">
        <f>'- 30 -'!$D42</f>
        <v>1494814</v>
      </c>
      <c r="C42" s="171">
        <v>1300</v>
      </c>
      <c r="D42" s="171">
        <f t="shared" ca="1" si="0"/>
        <v>1149.8569230769231</v>
      </c>
      <c r="E42" s="171">
        <v>758453</v>
      </c>
      <c r="F42" s="178">
        <f t="shared" ca="1" si="1"/>
        <v>1.9708722887245484</v>
      </c>
      <c r="G42" s="171">
        <v>654313</v>
      </c>
      <c r="H42" s="178">
        <f t="shared" ca="1" si="2"/>
        <v>2.2845549454160317</v>
      </c>
    </row>
    <row r="43" spans="1:8" ht="14.1" customHeight="1">
      <c r="A43" s="360" t="s">
        <v>261</v>
      </c>
      <c r="B43" s="417">
        <f>'- 30 -'!$D43</f>
        <v>908815</v>
      </c>
      <c r="C43" s="417">
        <v>545</v>
      </c>
      <c r="D43" s="417">
        <f t="shared" ca="1" si="0"/>
        <v>1667.5504587155963</v>
      </c>
      <c r="E43" s="417">
        <v>654304</v>
      </c>
      <c r="F43" s="418">
        <f t="shared" ca="1" si="1"/>
        <v>1.388979740304201</v>
      </c>
      <c r="G43" s="417">
        <v>404358</v>
      </c>
      <c r="H43" s="418">
        <f t="shared" ca="1" si="2"/>
        <v>2.2475504379782274</v>
      </c>
    </row>
    <row r="44" spans="1:8" ht="14.1" customHeight="1">
      <c r="A44" s="23" t="s">
        <v>262</v>
      </c>
      <c r="B44" s="171">
        <f>'- 30 -'!$D44</f>
        <v>976208</v>
      </c>
      <c r="C44" s="171">
        <v>439</v>
      </c>
      <c r="D44" s="171">
        <f t="shared" ca="1" si="0"/>
        <v>2223.7084282460137</v>
      </c>
      <c r="E44" s="171">
        <v>743273</v>
      </c>
      <c r="F44" s="178">
        <f t="shared" ca="1" si="1"/>
        <v>1.3133909075131209</v>
      </c>
      <c r="G44" s="171">
        <v>497577</v>
      </c>
      <c r="H44" s="178">
        <f t="shared" ca="1" si="2"/>
        <v>1.9619234811898461</v>
      </c>
    </row>
    <row r="45" spans="1:8" ht="14.1" customHeight="1">
      <c r="A45" s="360" t="s">
        <v>263</v>
      </c>
      <c r="B45" s="417">
        <f>'- 30 -'!$D45</f>
        <v>603309</v>
      </c>
      <c r="C45" s="417">
        <v>980</v>
      </c>
      <c r="D45" s="417">
        <f t="shared" ca="1" si="0"/>
        <v>615.62142857142862</v>
      </c>
      <c r="E45" s="417">
        <v>250000</v>
      </c>
      <c r="F45" s="418">
        <f t="shared" ca="1" si="1"/>
        <v>2.4132359999999999</v>
      </c>
      <c r="G45" s="417">
        <v>175000</v>
      </c>
      <c r="H45" s="418">
        <f t="shared" ca="1" si="2"/>
        <v>3.4474800000000001</v>
      </c>
    </row>
    <row r="46" spans="1:8" ht="14.1" customHeight="1">
      <c r="A46" s="23" t="s">
        <v>264</v>
      </c>
      <c r="B46" s="171">
        <f>'- 30 -'!$D46</f>
        <v>4352000</v>
      </c>
      <c r="C46" s="171">
        <v>2253</v>
      </c>
      <c r="D46" s="171">
        <f t="shared" ca="1" si="0"/>
        <v>1931.6466932978251</v>
      </c>
      <c r="E46" s="171">
        <v>1020645</v>
      </c>
      <c r="F46" s="178">
        <f t="shared" ca="1" si="1"/>
        <v>4.2639703324858305</v>
      </c>
      <c r="G46" s="171">
        <v>656565</v>
      </c>
      <c r="H46" s="178">
        <f t="shared" ca="1" si="2"/>
        <v>6.6284373976681668</v>
      </c>
    </row>
    <row r="47" spans="1:8" ht="5.0999999999999996" customHeight="1">
      <c r="A47"/>
      <c r="B47"/>
      <c r="C47"/>
      <c r="D47"/>
      <c r="E47"/>
      <c r="F47"/>
      <c r="G47"/>
      <c r="H47"/>
    </row>
    <row r="48" spans="1:8" ht="14.1" customHeight="1">
      <c r="A48" s="363" t="s">
        <v>265</v>
      </c>
      <c r="B48" s="419">
        <f>SUM(B11:B46)</f>
        <v>76690866</v>
      </c>
      <c r="C48" s="419">
        <f>SUM(C11:C46)</f>
        <v>64253</v>
      </c>
      <c r="D48" s="419">
        <f>B48/C48</f>
        <v>1193.5764244471075</v>
      </c>
      <c r="E48" s="419">
        <f>SUM(E11:E46)</f>
        <v>34108547</v>
      </c>
      <c r="F48" s="420">
        <f>B48/E48</f>
        <v>2.2484354434681721</v>
      </c>
      <c r="G48" s="419">
        <f>SUM(G11:G46)</f>
        <v>21630077</v>
      </c>
      <c r="H48" s="420">
        <f>B48/G48</f>
        <v>3.5455660190206442</v>
      </c>
    </row>
    <row r="49" spans="1:8" ht="5.0999999999999996" customHeight="1">
      <c r="A49" s="25" t="s">
        <v>3</v>
      </c>
      <c r="B49" s="172"/>
      <c r="C49" s="172"/>
      <c r="D49" s="172"/>
      <c r="E49" s="172"/>
      <c r="F49" s="99"/>
      <c r="G49" s="172"/>
      <c r="H49" s="99"/>
    </row>
    <row r="50" spans="1:8" ht="14.1" customHeight="1">
      <c r="A50" s="23" t="s">
        <v>266</v>
      </c>
      <c r="B50" s="171">
        <f>'- 30 -'!$D50</f>
        <v>0</v>
      </c>
      <c r="C50" s="515" t="s">
        <v>184</v>
      </c>
      <c r="D50" s="171" t="str">
        <f ca="1">IF(AND(CELL("type",C50)="v",C50&gt;0),B50/C50,"")</f>
        <v/>
      </c>
      <c r="E50" s="515" t="s">
        <v>184</v>
      </c>
      <c r="F50" s="178" t="str">
        <f ca="1">IF(AND(CELL("type",E50)="v",E50&gt;0),B50/E50,"")</f>
        <v/>
      </c>
      <c r="G50" s="515" t="s">
        <v>184</v>
      </c>
      <c r="H50" s="178" t="str">
        <f ca="1">IF(AND(CELL("type",G50)="v",G50&gt;0),B50/G50,"")</f>
        <v/>
      </c>
    </row>
    <row r="51" spans="1:8" ht="14.1" customHeight="1">
      <c r="A51" s="360" t="s">
        <v>267</v>
      </c>
      <c r="B51" s="417">
        <f>'- 30 -'!$D51</f>
        <v>0</v>
      </c>
      <c r="C51" s="417">
        <v>0</v>
      </c>
      <c r="D51" s="417" t="str">
        <f ca="1">IF(AND(CELL("type",C51)="v",C51&gt;0),B51/C51,"")</f>
        <v/>
      </c>
      <c r="E51" s="417">
        <v>0</v>
      </c>
      <c r="F51" s="418" t="str">
        <f ca="1">IF(AND(CELL("type",E51)="v",E51&gt;0),B51/E51,"")</f>
        <v/>
      </c>
      <c r="G51" s="417">
        <v>0</v>
      </c>
      <c r="H51" s="418" t="str">
        <f ca="1">IF(AND(CELL("type",G51)="v",G51&gt;0),B51/G51,"")</f>
        <v/>
      </c>
    </row>
    <row r="52" spans="1:8" ht="50.1" customHeight="1"/>
    <row r="53" spans="1:8" ht="15" customHeight="1"/>
    <row r="54" spans="1:8" ht="14.45" customHeight="1"/>
    <row r="55" spans="1:8" ht="14.45" customHeight="1"/>
    <row r="56" spans="1:8" ht="14.45" customHeight="1"/>
    <row r="57" spans="1:8" ht="14.45" customHeight="1"/>
    <row r="58" spans="1:8" ht="14.45" customHeight="1"/>
    <row r="59" spans="1:8"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2.xml><?xml version="1.0" encoding="utf-8"?>
<worksheet xmlns="http://schemas.openxmlformats.org/spreadsheetml/2006/main" xmlns:r="http://schemas.openxmlformats.org/officeDocument/2006/relationships">
  <sheetPr codeName="Sheet33">
    <pageSetUpPr fitToPage="1"/>
  </sheetPr>
  <dimension ref="A1:E59"/>
  <sheetViews>
    <sheetView showGridLines="0" showZeros="0" workbookViewId="0"/>
  </sheetViews>
  <sheetFormatPr defaultColWidth="15.83203125" defaultRowHeight="12"/>
  <cols>
    <col min="1" max="1" width="35.83203125" style="1" customWidth="1"/>
    <col min="2" max="2" width="22.83203125" style="1" customWidth="1"/>
    <col min="3" max="3" width="19.83203125" style="1" customWidth="1"/>
    <col min="4" max="4" width="15.83203125" style="1"/>
    <col min="5" max="5" width="38.83203125" style="1" customWidth="1"/>
    <col min="6" max="16384" width="15.83203125" style="1"/>
  </cols>
  <sheetData>
    <row r="1" spans="1:5" ht="6.95" customHeight="1">
      <c r="A1" s="3"/>
      <c r="B1" s="4"/>
      <c r="C1" s="4"/>
      <c r="D1" s="4"/>
      <c r="E1" s="4"/>
    </row>
    <row r="2" spans="1:5" ht="15.95" customHeight="1">
      <c r="A2" s="161"/>
      <c r="B2" s="5" t="s">
        <v>485</v>
      </c>
      <c r="C2" s="6"/>
      <c r="D2" s="6"/>
      <c r="E2" s="179"/>
    </row>
    <row r="3" spans="1:5" ht="15.95" customHeight="1">
      <c r="A3" s="164"/>
      <c r="B3" s="7" t="str">
        <f>OPYEAR</f>
        <v>OPERATING FUND 2013/2014 BUDGET</v>
      </c>
      <c r="C3" s="8"/>
      <c r="D3" s="8"/>
      <c r="E3" s="180"/>
    </row>
    <row r="4" spans="1:5" ht="15.95" customHeight="1">
      <c r="B4" s="4"/>
      <c r="C4" s="4"/>
      <c r="D4" s="4"/>
      <c r="E4" s="4"/>
    </row>
    <row r="5" spans="1:5" ht="15.95" customHeight="1">
      <c r="B5" s="4"/>
      <c r="C5" s="4"/>
      <c r="D5" s="4"/>
      <c r="E5" s="4"/>
    </row>
    <row r="6" spans="1:5" ht="15.95" customHeight="1">
      <c r="B6" s="354" t="s">
        <v>26</v>
      </c>
      <c r="C6" s="369"/>
      <c r="D6" s="368"/>
    </row>
    <row r="7" spans="1:5" ht="15.95" customHeight="1">
      <c r="B7" s="357" t="s">
        <v>56</v>
      </c>
      <c r="C7" s="358"/>
      <c r="D7" s="370"/>
    </row>
    <row r="8" spans="1:5" ht="15.95" customHeight="1">
      <c r="A8" s="102"/>
      <c r="B8" s="181"/>
      <c r="C8" s="182" t="s">
        <v>73</v>
      </c>
      <c r="D8" s="112" t="s">
        <v>74</v>
      </c>
    </row>
    <row r="9" spans="1:5" ht="15.95" customHeight="1">
      <c r="A9" s="35" t="s">
        <v>81</v>
      </c>
      <c r="B9" s="113" t="s">
        <v>82</v>
      </c>
      <c r="C9" s="113" t="s">
        <v>92</v>
      </c>
      <c r="D9" s="113" t="s">
        <v>90</v>
      </c>
    </row>
    <row r="10" spans="1:5" ht="5.0999999999999996" customHeight="1">
      <c r="A10" s="37"/>
    </row>
    <row r="11" spans="1:5" ht="14.1" customHeight="1">
      <c r="A11" s="360" t="s">
        <v>230</v>
      </c>
      <c r="B11" s="417">
        <f>SUM('- 30 -'!$B11,'- 30 -'!$D11,'- 31 -'!$D11)</f>
        <v>1171020</v>
      </c>
      <c r="C11" s="417">
        <v>610000</v>
      </c>
      <c r="D11" s="418">
        <f ca="1">IF(AND(CELL("type",C11)="v",C11&gt;0),B11/C11,"")</f>
        <v>1.919704918032787</v>
      </c>
      <c r="E11" s="183"/>
    </row>
    <row r="12" spans="1:5" ht="14.1" customHeight="1">
      <c r="A12" s="23" t="s">
        <v>231</v>
      </c>
      <c r="B12" s="171">
        <f>SUM('- 30 -'!$B12,'- 30 -'!$D12,'- 31 -'!$D12)</f>
        <v>2344940</v>
      </c>
      <c r="C12" s="171">
        <v>1219830</v>
      </c>
      <c r="D12" s="178">
        <f t="shared" ref="D12:D46" ca="1" si="0">IF(AND(CELL("type",C12)="v",C12&gt;0),B12/C12,"")</f>
        <v>1.9223498356328341</v>
      </c>
      <c r="E12" s="183"/>
    </row>
    <row r="13" spans="1:5" ht="14.1" customHeight="1">
      <c r="A13" s="360" t="s">
        <v>232</v>
      </c>
      <c r="B13" s="417">
        <f>SUM('- 30 -'!$B13,'- 30 -'!$D13,'- 31 -'!$D13)</f>
        <v>2035300</v>
      </c>
      <c r="C13" s="417">
        <v>835000</v>
      </c>
      <c r="D13" s="418">
        <f t="shared" ca="1" si="0"/>
        <v>2.4374850299401198</v>
      </c>
      <c r="E13" s="183"/>
    </row>
    <row r="14" spans="1:5" ht="14.1" customHeight="1">
      <c r="A14" s="23" t="s">
        <v>578</v>
      </c>
      <c r="B14" s="171">
        <f>SUM('- 30 -'!$B14,'- 30 -'!$D14,'- 31 -'!$D14)</f>
        <v>7854282</v>
      </c>
      <c r="C14" s="515" t="s">
        <v>184</v>
      </c>
      <c r="D14" s="178" t="str">
        <f t="shared" ca="1" si="0"/>
        <v/>
      </c>
      <c r="E14" s="183"/>
    </row>
    <row r="15" spans="1:5" ht="14.1" customHeight="1">
      <c r="A15" s="360" t="s">
        <v>233</v>
      </c>
      <c r="B15" s="417">
        <f>SUM('- 30 -'!$B15,'- 30 -'!$D15,'- 31 -'!$D15)</f>
        <v>1280255</v>
      </c>
      <c r="C15" s="417">
        <v>735000</v>
      </c>
      <c r="D15" s="418">
        <f t="shared" ca="1" si="0"/>
        <v>1.7418435374149659</v>
      </c>
      <c r="E15" s="183"/>
    </row>
    <row r="16" spans="1:5" ht="14.1" customHeight="1">
      <c r="A16" s="23" t="s">
        <v>234</v>
      </c>
      <c r="B16" s="171">
        <f>SUM('- 30 -'!$B16,'- 30 -'!$D16,'- 31 -'!$D16)</f>
        <v>443445</v>
      </c>
      <c r="C16" s="171">
        <v>62662</v>
      </c>
      <c r="D16" s="178">
        <f t="shared" ca="1" si="0"/>
        <v>7.0767769940314702</v>
      </c>
      <c r="E16" s="183"/>
    </row>
    <row r="17" spans="1:5" ht="14.1" customHeight="1">
      <c r="A17" s="360" t="s">
        <v>235</v>
      </c>
      <c r="B17" s="417">
        <f>SUM('- 30 -'!$B17,'- 30 -'!$D17,'- 31 -'!$D17)</f>
        <v>1338340</v>
      </c>
      <c r="C17" s="417">
        <v>895895</v>
      </c>
      <c r="D17" s="418">
        <f t="shared" ca="1" si="0"/>
        <v>1.4938580972100526</v>
      </c>
      <c r="E17" s="183"/>
    </row>
    <row r="18" spans="1:5" ht="14.1" customHeight="1">
      <c r="A18" s="23" t="s">
        <v>236</v>
      </c>
      <c r="B18" s="171">
        <f>SUM('- 30 -'!$B18,'- 30 -'!$D18,'- 31 -'!$D18)</f>
        <v>7458375</v>
      </c>
      <c r="C18" s="171">
        <v>1674200</v>
      </c>
      <c r="D18" s="178">
        <f t="shared" ca="1" si="0"/>
        <v>4.4548889021622271</v>
      </c>
      <c r="E18" s="183"/>
    </row>
    <row r="19" spans="1:5" ht="14.1" customHeight="1">
      <c r="A19" s="360" t="s">
        <v>237</v>
      </c>
      <c r="B19" s="417">
        <f>SUM('- 30 -'!$B19,'- 30 -'!$D19,'- 31 -'!$D19)</f>
        <v>2569200</v>
      </c>
      <c r="C19" s="417">
        <v>968694</v>
      </c>
      <c r="D19" s="418">
        <f t="shared" ca="1" si="0"/>
        <v>2.6522307354025112</v>
      </c>
      <c r="E19" s="183"/>
    </row>
    <row r="20" spans="1:5" ht="14.1" customHeight="1">
      <c r="A20" s="23" t="s">
        <v>238</v>
      </c>
      <c r="B20" s="171">
        <f>SUM('- 30 -'!$B20,'- 30 -'!$D20,'- 31 -'!$D20)</f>
        <v>3698600</v>
      </c>
      <c r="C20" s="171">
        <v>1637903</v>
      </c>
      <c r="D20" s="178">
        <f t="shared" ca="1" si="0"/>
        <v>2.2581312812785619</v>
      </c>
      <c r="E20" s="183"/>
    </row>
    <row r="21" spans="1:5" ht="14.1" customHeight="1">
      <c r="A21" s="360" t="s">
        <v>239</v>
      </c>
      <c r="B21" s="417">
        <f>SUM('- 30 -'!$B21,'- 30 -'!$D21,'- 31 -'!$D21)</f>
        <v>2084000</v>
      </c>
      <c r="C21" s="417">
        <v>940000</v>
      </c>
      <c r="D21" s="418">
        <f t="shared" ca="1" si="0"/>
        <v>2.2170212765957449</v>
      </c>
      <c r="E21" s="183"/>
    </row>
    <row r="22" spans="1:5" ht="14.1" customHeight="1">
      <c r="A22" s="23" t="s">
        <v>240</v>
      </c>
      <c r="B22" s="171">
        <f>SUM('- 30 -'!$B22,'- 30 -'!$D22,'- 31 -'!$D22)</f>
        <v>600290</v>
      </c>
      <c r="C22" s="171">
        <v>205444</v>
      </c>
      <c r="D22" s="178">
        <f t="shared" ca="1" si="0"/>
        <v>2.9219154611475635</v>
      </c>
      <c r="E22" s="183"/>
    </row>
    <row r="23" spans="1:5" ht="14.1" customHeight="1">
      <c r="A23" s="360" t="s">
        <v>241</v>
      </c>
      <c r="B23" s="417">
        <f>SUM('- 30 -'!$B23,'- 30 -'!$D23,'- 31 -'!$D23)</f>
        <v>1573340</v>
      </c>
      <c r="C23" s="417">
        <v>932000</v>
      </c>
      <c r="D23" s="418">
        <f t="shared" ca="1" si="0"/>
        <v>1.6881330472103004</v>
      </c>
      <c r="E23" s="183"/>
    </row>
    <row r="24" spans="1:5" ht="14.1" customHeight="1">
      <c r="A24" s="23" t="s">
        <v>242</v>
      </c>
      <c r="B24" s="171">
        <f>SUM('- 30 -'!$B24,'- 30 -'!$D24,'- 31 -'!$D24)</f>
        <v>2496160</v>
      </c>
      <c r="C24" s="171">
        <v>1089232</v>
      </c>
      <c r="D24" s="178">
        <f t="shared" ca="1" si="0"/>
        <v>2.2916697269268624</v>
      </c>
      <c r="E24" s="183"/>
    </row>
    <row r="25" spans="1:5" ht="14.1" customHeight="1">
      <c r="A25" s="360" t="s">
        <v>243</v>
      </c>
      <c r="B25" s="417">
        <f>SUM('- 30 -'!$B25,'- 30 -'!$D25,'- 31 -'!$D25)</f>
        <v>3638972</v>
      </c>
      <c r="C25" s="417">
        <v>826444</v>
      </c>
      <c r="D25" s="418">
        <f t="shared" ca="1" si="0"/>
        <v>4.4031682727444323</v>
      </c>
      <c r="E25" s="183"/>
    </row>
    <row r="26" spans="1:5" ht="14.1" customHeight="1">
      <c r="A26" s="23" t="s">
        <v>244</v>
      </c>
      <c r="B26" s="171">
        <f>SUM('- 30 -'!$B26,'- 30 -'!$D26,'- 31 -'!$D26)</f>
        <v>2911198</v>
      </c>
      <c r="C26" s="171">
        <v>1391734</v>
      </c>
      <c r="D26" s="178">
        <f t="shared" ca="1" si="0"/>
        <v>2.0917775954313109</v>
      </c>
      <c r="E26" s="183"/>
    </row>
    <row r="27" spans="1:5" ht="14.1" customHeight="1">
      <c r="A27" s="360" t="s">
        <v>245</v>
      </c>
      <c r="B27" s="417">
        <f>SUM('- 30 -'!$B27,'- 30 -'!$D27,'- 31 -'!$D27)</f>
        <v>81000</v>
      </c>
      <c r="C27" s="421" t="s">
        <v>184</v>
      </c>
      <c r="D27" s="418" t="str">
        <f t="shared" ca="1" si="0"/>
        <v/>
      </c>
      <c r="E27" s="183"/>
    </row>
    <row r="28" spans="1:5" ht="14.1" customHeight="1">
      <c r="A28" s="23" t="s">
        <v>246</v>
      </c>
      <c r="B28" s="171">
        <f>SUM('- 30 -'!$B28,'- 30 -'!$D28,'- 31 -'!$D28)</f>
        <v>2133151</v>
      </c>
      <c r="C28" s="171">
        <v>1225000</v>
      </c>
      <c r="D28" s="178">
        <f t="shared" ca="1" si="0"/>
        <v>1.7413477551020409</v>
      </c>
      <c r="E28" s="183"/>
    </row>
    <row r="29" spans="1:5" ht="14.1" customHeight="1">
      <c r="A29" s="360" t="s">
        <v>247</v>
      </c>
      <c r="B29" s="417">
        <f>SUM('- 30 -'!$B29,'- 30 -'!$D29,'- 31 -'!$D29)</f>
        <v>2362709</v>
      </c>
      <c r="C29" s="417">
        <v>675000</v>
      </c>
      <c r="D29" s="418">
        <f t="shared" ca="1" si="0"/>
        <v>3.5003096296296294</v>
      </c>
      <c r="E29" s="183"/>
    </row>
    <row r="30" spans="1:5" ht="14.1" customHeight="1">
      <c r="A30" s="23" t="s">
        <v>248</v>
      </c>
      <c r="B30" s="171">
        <f>SUM('- 30 -'!$B30,'- 30 -'!$D30,'- 31 -'!$D30)</f>
        <v>1198394</v>
      </c>
      <c r="C30" s="171">
        <v>720000</v>
      </c>
      <c r="D30" s="178">
        <f t="shared" ca="1" si="0"/>
        <v>1.664436111111111</v>
      </c>
      <c r="E30" s="183"/>
    </row>
    <row r="31" spans="1:5" ht="14.1" customHeight="1">
      <c r="A31" s="360" t="s">
        <v>249</v>
      </c>
      <c r="B31" s="417">
        <f>SUM('- 30 -'!$B31,'- 30 -'!$D31,'- 31 -'!$D31)</f>
        <v>1002698</v>
      </c>
      <c r="C31" s="417">
        <v>463000</v>
      </c>
      <c r="D31" s="418">
        <f t="shared" ca="1" si="0"/>
        <v>2.1656544276457885</v>
      </c>
      <c r="E31" s="183"/>
    </row>
    <row r="32" spans="1:5" ht="14.1" customHeight="1">
      <c r="A32" s="23" t="s">
        <v>250</v>
      </c>
      <c r="B32" s="171">
        <f>SUM('- 30 -'!$B32,'- 30 -'!$D32,'- 31 -'!$D32)</f>
        <v>1961725</v>
      </c>
      <c r="C32" s="171">
        <v>1045000</v>
      </c>
      <c r="D32" s="178">
        <f t="shared" ca="1" si="0"/>
        <v>1.8772488038277513</v>
      </c>
      <c r="E32" s="183"/>
    </row>
    <row r="33" spans="1:5" ht="14.1" customHeight="1">
      <c r="A33" s="360" t="s">
        <v>251</v>
      </c>
      <c r="B33" s="417">
        <f>SUM('- 30 -'!$B33,'- 30 -'!$D33,'- 31 -'!$D33)</f>
        <v>2351700</v>
      </c>
      <c r="C33" s="417">
        <v>1450000</v>
      </c>
      <c r="D33" s="418">
        <f t="shared" ca="1" si="0"/>
        <v>1.6218620689655172</v>
      </c>
      <c r="E33" s="183"/>
    </row>
    <row r="34" spans="1:5" ht="14.1" customHeight="1">
      <c r="A34" s="23" t="s">
        <v>252</v>
      </c>
      <c r="B34" s="171">
        <f>SUM('- 30 -'!$B34,'- 30 -'!$D34,'- 31 -'!$D34)</f>
        <v>2536809</v>
      </c>
      <c r="C34" s="171">
        <v>1366816</v>
      </c>
      <c r="D34" s="178">
        <f t="shared" ca="1" si="0"/>
        <v>1.8559989054854493</v>
      </c>
      <c r="E34" s="183"/>
    </row>
    <row r="35" spans="1:5" ht="14.1" customHeight="1">
      <c r="A35" s="360" t="s">
        <v>253</v>
      </c>
      <c r="B35" s="417">
        <f>SUM('- 30 -'!$B35,'- 30 -'!$D35,'- 31 -'!$D35)</f>
        <v>3488600</v>
      </c>
      <c r="C35" s="417">
        <v>1118000</v>
      </c>
      <c r="D35" s="418">
        <f t="shared" ca="1" si="0"/>
        <v>3.1203935599284436</v>
      </c>
      <c r="E35" s="183"/>
    </row>
    <row r="36" spans="1:5" ht="14.1" customHeight="1">
      <c r="A36" s="23" t="s">
        <v>254</v>
      </c>
      <c r="B36" s="171">
        <f>SUM('- 30 -'!$B36,'- 30 -'!$D36,'- 31 -'!$D36)</f>
        <v>1574225</v>
      </c>
      <c r="C36" s="171">
        <v>861092</v>
      </c>
      <c r="D36" s="178">
        <f t="shared" ca="1" si="0"/>
        <v>1.8281728317067165</v>
      </c>
      <c r="E36" s="183"/>
    </row>
    <row r="37" spans="1:5" ht="14.1" customHeight="1">
      <c r="A37" s="360" t="s">
        <v>255</v>
      </c>
      <c r="B37" s="417">
        <f>SUM('- 30 -'!$B37,'- 30 -'!$D37,'- 31 -'!$D37)</f>
        <v>2715176</v>
      </c>
      <c r="C37" s="417">
        <v>1310247</v>
      </c>
      <c r="D37" s="418">
        <f t="shared" ca="1" si="0"/>
        <v>2.0722627107713278</v>
      </c>
      <c r="E37" s="183"/>
    </row>
    <row r="38" spans="1:5" ht="14.1" customHeight="1">
      <c r="A38" s="23" t="s">
        <v>256</v>
      </c>
      <c r="B38" s="171">
        <f>SUM('- 30 -'!$B38,'- 30 -'!$D38,'- 31 -'!$D38)</f>
        <v>3154460</v>
      </c>
      <c r="C38" s="171">
        <v>808500</v>
      </c>
      <c r="D38" s="178">
        <f t="shared" ca="1" si="0"/>
        <v>3.9016202844774273</v>
      </c>
      <c r="E38" s="183"/>
    </row>
    <row r="39" spans="1:5" ht="14.1" customHeight="1">
      <c r="A39" s="360" t="s">
        <v>257</v>
      </c>
      <c r="B39" s="417">
        <f>SUM('- 30 -'!$B39,'- 30 -'!$D39,'- 31 -'!$D39)</f>
        <v>1884414</v>
      </c>
      <c r="C39" s="417">
        <v>1252800</v>
      </c>
      <c r="D39" s="418">
        <f t="shared" ca="1" si="0"/>
        <v>1.5041618773946359</v>
      </c>
      <c r="E39" s="183"/>
    </row>
    <row r="40" spans="1:5" ht="14.1" customHeight="1">
      <c r="A40" s="23" t="s">
        <v>258</v>
      </c>
      <c r="B40" s="171">
        <f>SUM('- 30 -'!$B40,'- 30 -'!$D40,'- 31 -'!$D40)</f>
        <v>1807033</v>
      </c>
      <c r="C40" s="171">
        <v>432500</v>
      </c>
      <c r="D40" s="178">
        <f t="shared" ca="1" si="0"/>
        <v>4.1781109826589597</v>
      </c>
      <c r="E40" s="183"/>
    </row>
    <row r="41" spans="1:5" ht="14.1" customHeight="1">
      <c r="A41" s="360" t="s">
        <v>259</v>
      </c>
      <c r="B41" s="417">
        <f>SUM('- 30 -'!$B41,'- 30 -'!$D41,'- 31 -'!$D41)</f>
        <v>4571922</v>
      </c>
      <c r="C41" s="417">
        <v>2516012</v>
      </c>
      <c r="D41" s="418">
        <f t="shared" ca="1" si="0"/>
        <v>1.8171304429390638</v>
      </c>
      <c r="E41" s="183"/>
    </row>
    <row r="42" spans="1:5" ht="14.1" customHeight="1">
      <c r="A42" s="23" t="s">
        <v>260</v>
      </c>
      <c r="B42" s="171">
        <f>SUM('- 30 -'!$B42,'- 30 -'!$D42,'- 31 -'!$D42)</f>
        <v>1643547</v>
      </c>
      <c r="C42" s="171">
        <v>705000</v>
      </c>
      <c r="D42" s="178">
        <f t="shared" ca="1" si="0"/>
        <v>2.331272340425532</v>
      </c>
      <c r="E42" s="183"/>
    </row>
    <row r="43" spans="1:5" ht="14.1" customHeight="1">
      <c r="A43" s="360" t="s">
        <v>261</v>
      </c>
      <c r="B43" s="417">
        <f>SUM('- 30 -'!$B43,'- 30 -'!$D43,'- 31 -'!$D43)</f>
        <v>930981</v>
      </c>
      <c r="C43" s="417">
        <v>572532</v>
      </c>
      <c r="D43" s="418">
        <f t="shared" ca="1" si="0"/>
        <v>1.6260767957074889</v>
      </c>
      <c r="E43" s="183"/>
    </row>
    <row r="44" spans="1:5" ht="14.1" customHeight="1">
      <c r="A44" s="23" t="s">
        <v>262</v>
      </c>
      <c r="B44" s="171">
        <f>SUM('- 30 -'!$B44,'- 30 -'!$D44,'- 31 -'!$D44)</f>
        <v>1052865</v>
      </c>
      <c r="C44" s="171">
        <v>750811</v>
      </c>
      <c r="D44" s="178">
        <f t="shared" ca="1" si="0"/>
        <v>1.4023036423280959</v>
      </c>
      <c r="E44" s="183"/>
    </row>
    <row r="45" spans="1:5" ht="14.1" customHeight="1">
      <c r="A45" s="360" t="s">
        <v>263</v>
      </c>
      <c r="B45" s="417">
        <f>SUM('- 30 -'!$B45,'- 30 -'!$D45,'- 31 -'!$D45)</f>
        <v>680789</v>
      </c>
      <c r="C45" s="417">
        <v>303000</v>
      </c>
      <c r="D45" s="418">
        <f t="shared" ca="1" si="0"/>
        <v>2.246828382838284</v>
      </c>
      <c r="E45" s="183"/>
    </row>
    <row r="46" spans="1:5" ht="14.1" customHeight="1">
      <c r="A46" s="23" t="s">
        <v>264</v>
      </c>
      <c r="B46" s="171">
        <f>SUM('- 30 -'!$B46,'- 30 -'!$D46,'- 31 -'!$D46)</f>
        <v>4993100</v>
      </c>
      <c r="C46" s="171">
        <v>1128145</v>
      </c>
      <c r="D46" s="178">
        <f t="shared" ca="1" si="0"/>
        <v>4.4259381551130392</v>
      </c>
      <c r="E46" s="183"/>
    </row>
    <row r="47" spans="1:5" ht="5.0999999999999996" customHeight="1">
      <c r="A47"/>
      <c r="B47"/>
      <c r="C47"/>
      <c r="D47"/>
      <c r="E47"/>
    </row>
    <row r="48" spans="1:5" ht="14.1" customHeight="1">
      <c r="A48" s="363" t="s">
        <v>265</v>
      </c>
      <c r="B48" s="419">
        <f>SUM(B11:B46)</f>
        <v>85623015</v>
      </c>
      <c r="C48" s="419">
        <f>SUM(C11:C46)</f>
        <v>32727493</v>
      </c>
      <c r="D48" s="420">
        <f>B48/C48</f>
        <v>2.6162411829100383</v>
      </c>
      <c r="E48" s="183"/>
    </row>
    <row r="49" spans="1:5" ht="5.0999999999999996" customHeight="1">
      <c r="A49" s="25" t="s">
        <v>3</v>
      </c>
      <c r="B49" s="172"/>
      <c r="C49" s="172"/>
      <c r="D49" s="99"/>
    </row>
    <row r="50" spans="1:5" ht="14.1" customHeight="1">
      <c r="A50" s="23" t="s">
        <v>266</v>
      </c>
      <c r="B50" s="171">
        <f>SUM('- 30 -'!$B50,'- 30 -'!$D50,'- 31 -'!$D50)</f>
        <v>25000</v>
      </c>
      <c r="C50" s="515" t="s">
        <v>184</v>
      </c>
      <c r="D50" s="178" t="str">
        <f ca="1">IF(AND(CELL("type",C50)="v",C50&gt;0),B50/C50,"")</f>
        <v/>
      </c>
      <c r="E50" s="183"/>
    </row>
    <row r="51" spans="1:5" ht="14.1" customHeight="1">
      <c r="A51" s="360" t="s">
        <v>267</v>
      </c>
      <c r="B51" s="417">
        <f>SUM('- 30 -'!$B51,'- 30 -'!$D51,'- 31 -'!$D51)</f>
        <v>0</v>
      </c>
      <c r="C51" s="417">
        <v>0</v>
      </c>
      <c r="D51" s="418" t="str">
        <f ca="1">IF(AND(CELL("type",C51)="v",C51&gt;0),B51/C51,"")</f>
        <v/>
      </c>
      <c r="E51" s="183"/>
    </row>
    <row r="52" spans="1:5" ht="50.1" customHeight="1"/>
    <row r="53" spans="1:5" ht="15" customHeight="1"/>
    <row r="54" spans="1:5" ht="14.45" customHeight="1"/>
    <row r="55" spans="1:5" ht="14.45" customHeight="1"/>
    <row r="56" spans="1:5" ht="14.45" customHeight="1"/>
    <row r="57" spans="1:5" ht="14.45" customHeight="1"/>
    <row r="58" spans="1:5" ht="14.45" customHeight="1"/>
    <row r="59" spans="1:5"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3.xml><?xml version="1.0" encoding="utf-8"?>
<worksheet xmlns="http://schemas.openxmlformats.org/spreadsheetml/2006/main" xmlns:r="http://schemas.openxmlformats.org/officeDocument/2006/relationships">
  <sheetPr codeName="Sheet34">
    <pageSetUpPr fitToPage="1"/>
  </sheetPr>
  <dimension ref="A1:J59"/>
  <sheetViews>
    <sheetView showGridLines="0" showZeros="0" workbookViewId="0"/>
  </sheetViews>
  <sheetFormatPr defaultColWidth="15.83203125" defaultRowHeight="12"/>
  <cols>
    <col min="1" max="1" width="33.83203125" style="1" customWidth="1"/>
    <col min="2" max="2" width="17.83203125" style="1" customWidth="1"/>
    <col min="3" max="3" width="15.83203125" style="1"/>
    <col min="4" max="4" width="15.83203125" style="1" customWidth="1"/>
    <col min="5" max="5" width="15.83203125" style="1"/>
    <col min="6" max="6" width="17.83203125" style="1" customWidth="1"/>
    <col min="7" max="16384" width="15.83203125" style="1"/>
  </cols>
  <sheetData>
    <row r="1" spans="1:10" ht="6.95" customHeight="1">
      <c r="A1" s="3"/>
      <c r="B1" s="4"/>
      <c r="C1" s="4"/>
      <c r="D1" s="4"/>
      <c r="E1" s="4"/>
      <c r="F1" s="4"/>
    </row>
    <row r="2" spans="1:10" ht="15.95" customHeight="1">
      <c r="A2" s="5" t="s">
        <v>486</v>
      </c>
      <c r="B2" s="175"/>
      <c r="C2" s="162"/>
      <c r="D2" s="6"/>
      <c r="E2" s="6"/>
      <c r="F2" s="6"/>
      <c r="G2" s="6"/>
    </row>
    <row r="3" spans="1:10" ht="15.95" customHeight="1">
      <c r="A3" s="7" t="str">
        <f>OPYEAR</f>
        <v>OPERATING FUND 2013/2014 BUDGET</v>
      </c>
      <c r="B3" s="176"/>
      <c r="C3" s="177"/>
      <c r="D3" s="8"/>
      <c r="E3" s="8"/>
      <c r="F3" s="8"/>
      <c r="G3" s="8"/>
    </row>
    <row r="4" spans="1:10" ht="15.95" customHeight="1">
      <c r="B4" s="4"/>
      <c r="C4" s="4"/>
      <c r="D4" s="105"/>
      <c r="E4" s="4"/>
      <c r="F4" s="4"/>
    </row>
    <row r="5" spans="1:10" ht="15.95" customHeight="1">
      <c r="B5" s="4"/>
      <c r="C5" s="4"/>
      <c r="D5" s="4"/>
      <c r="E5" s="4"/>
      <c r="F5" s="4"/>
      <c r="I5"/>
    </row>
    <row r="6" spans="1:10" ht="15.95" customHeight="1">
      <c r="B6" s="366"/>
      <c r="C6" s="423"/>
      <c r="D6" s="369"/>
      <c r="E6" s="368"/>
      <c r="F6" s="355" t="s">
        <v>27</v>
      </c>
      <c r="G6" s="356"/>
      <c r="I6"/>
    </row>
    <row r="7" spans="1:10" ht="15.95" customHeight="1">
      <c r="B7" s="357" t="s">
        <v>52</v>
      </c>
      <c r="C7" s="358"/>
      <c r="D7" s="358"/>
      <c r="E7" s="359"/>
      <c r="F7" s="358" t="s">
        <v>57</v>
      </c>
      <c r="G7" s="359"/>
      <c r="I7" s="541" t="s">
        <v>54</v>
      </c>
    </row>
    <row r="8" spans="1:10" ht="15.95" customHeight="1">
      <c r="A8" s="102"/>
      <c r="B8" s="112" t="s">
        <v>3</v>
      </c>
      <c r="C8" s="16" t="s">
        <v>76</v>
      </c>
      <c r="D8" s="111" t="s">
        <v>76</v>
      </c>
      <c r="E8" s="111" t="s">
        <v>217</v>
      </c>
      <c r="F8" s="112" t="s">
        <v>3</v>
      </c>
      <c r="G8" s="112" t="s">
        <v>76</v>
      </c>
      <c r="I8" s="541" t="s">
        <v>80</v>
      </c>
    </row>
    <row r="9" spans="1:10" ht="15.95" customHeight="1">
      <c r="A9" s="35" t="s">
        <v>81</v>
      </c>
      <c r="B9" s="113" t="s">
        <v>82</v>
      </c>
      <c r="C9" s="113" t="s">
        <v>84</v>
      </c>
      <c r="D9" s="113" t="s">
        <v>395</v>
      </c>
      <c r="E9" s="113" t="s">
        <v>396</v>
      </c>
      <c r="F9" s="113" t="s">
        <v>82</v>
      </c>
      <c r="G9" s="113" t="s">
        <v>395</v>
      </c>
      <c r="I9" s="513" t="s">
        <v>677</v>
      </c>
      <c r="J9" s="513"/>
    </row>
    <row r="10" spans="1:10" ht="5.0999999999999996" customHeight="1">
      <c r="A10" s="37"/>
    </row>
    <row r="11" spans="1:10" ht="14.1" customHeight="1">
      <c r="A11" s="360" t="s">
        <v>230</v>
      </c>
      <c r="B11" s="417">
        <f>'- 32 -'!D11</f>
        <v>1406035</v>
      </c>
      <c r="C11" s="417">
        <f>B11/'- 7 -'!F11</f>
        <v>918.07704864511913</v>
      </c>
      <c r="D11" s="418">
        <f t="shared" ref="D11:D42" si="0">B11/I11</f>
        <v>5.4571723546375104</v>
      </c>
      <c r="E11" s="417">
        <f>I11/'- 7 -'!F11</f>
        <v>168.23310479921645</v>
      </c>
      <c r="F11" s="417">
        <f>'- 32 -'!F11</f>
        <v>258200</v>
      </c>
      <c r="G11" s="418">
        <f t="shared" ref="G11:G42" si="1">F11/I11</f>
        <v>1.0021385683623845</v>
      </c>
      <c r="I11" s="1">
        <v>257649</v>
      </c>
    </row>
    <row r="12" spans="1:10" ht="14.1" customHeight="1">
      <c r="A12" s="23" t="s">
        <v>231</v>
      </c>
      <c r="B12" s="171">
        <f>'- 32 -'!D12</f>
        <v>2378980</v>
      </c>
      <c r="C12" s="171">
        <f>B12/'- 7 -'!F12</f>
        <v>1044.2825161318642</v>
      </c>
      <c r="D12" s="178">
        <f t="shared" si="0"/>
        <v>6.1717306933980867</v>
      </c>
      <c r="E12" s="171">
        <f>I12/'- 7 -'!F12</f>
        <v>169.20416136253894</v>
      </c>
      <c r="F12" s="171">
        <f>'- 32 -'!F12</f>
        <v>542500</v>
      </c>
      <c r="G12" s="178">
        <f t="shared" si="1"/>
        <v>1.4073947242803477</v>
      </c>
      <c r="I12" s="1">
        <v>385464</v>
      </c>
    </row>
    <row r="13" spans="1:10" ht="14.1" customHeight="1">
      <c r="A13" s="360" t="s">
        <v>232</v>
      </c>
      <c r="B13" s="417">
        <f>'- 32 -'!D13</f>
        <v>5959800</v>
      </c>
      <c r="C13" s="417">
        <f>B13/'- 7 -'!F13</f>
        <v>737.23130666264217</v>
      </c>
      <c r="D13" s="418">
        <f t="shared" si="0"/>
        <v>5.7051615256267034</v>
      </c>
      <c r="E13" s="417">
        <f>I13/'- 7 -'!F13</f>
        <v>129.22181139852276</v>
      </c>
      <c r="F13" s="417">
        <f>'- 32 -'!F13</f>
        <v>752600</v>
      </c>
      <c r="G13" s="418">
        <f t="shared" si="1"/>
        <v>0.72044440487711947</v>
      </c>
      <c r="I13" s="1">
        <v>1044633</v>
      </c>
    </row>
    <row r="14" spans="1:10" ht="14.1" customHeight="1">
      <c r="A14" s="23" t="s">
        <v>578</v>
      </c>
      <c r="B14" s="171">
        <f>'- 32 -'!D14</f>
        <v>6267520</v>
      </c>
      <c r="C14" s="171">
        <f>B14/'- 7 -'!F14</f>
        <v>1201.8255033557048</v>
      </c>
      <c r="D14" s="178">
        <f t="shared" si="0"/>
        <v>6.972991495592038</v>
      </c>
      <c r="E14" s="171">
        <f>I14/'- 7 -'!F14</f>
        <v>172.35436241610739</v>
      </c>
      <c r="F14" s="171">
        <f>'- 32 -'!F14</f>
        <v>515380</v>
      </c>
      <c r="G14" s="178">
        <f t="shared" si="1"/>
        <v>0.57339112711219498</v>
      </c>
      <c r="I14" s="1">
        <v>898828</v>
      </c>
    </row>
    <row r="15" spans="1:10" ht="14.1" customHeight="1">
      <c r="A15" s="360" t="s">
        <v>233</v>
      </c>
      <c r="B15" s="417">
        <f>'- 32 -'!D15</f>
        <v>1970700</v>
      </c>
      <c r="C15" s="417">
        <f>B15/'- 7 -'!F15</f>
        <v>1296.5131578947369</v>
      </c>
      <c r="D15" s="418">
        <f t="shared" si="0"/>
        <v>6.8189367621209396</v>
      </c>
      <c r="E15" s="417">
        <f>I15/'- 7 -'!F15</f>
        <v>190.1342105263158</v>
      </c>
      <c r="F15" s="417">
        <f>'- 32 -'!F15</f>
        <v>244000</v>
      </c>
      <c r="G15" s="418">
        <f t="shared" si="1"/>
        <v>0.84427897191734369</v>
      </c>
      <c r="I15" s="1">
        <v>289004</v>
      </c>
    </row>
    <row r="16" spans="1:10" ht="14.1" customHeight="1">
      <c r="A16" s="23" t="s">
        <v>234</v>
      </c>
      <c r="B16" s="171">
        <f>'- 32 -'!D16</f>
        <v>1712994</v>
      </c>
      <c r="C16" s="171">
        <f>B16/'- 7 -'!F16</f>
        <v>1721.6020100502512</v>
      </c>
      <c r="D16" s="178">
        <f t="shared" si="0"/>
        <v>8.705078234179112</v>
      </c>
      <c r="E16" s="171">
        <f>I16/'- 7 -'!F16</f>
        <v>197.76984924623116</v>
      </c>
      <c r="F16" s="171">
        <f>'- 32 -'!F16</f>
        <v>100000</v>
      </c>
      <c r="G16" s="178">
        <f t="shared" si="1"/>
        <v>0.50817914331160019</v>
      </c>
      <c r="I16" s="1">
        <v>196781</v>
      </c>
    </row>
    <row r="17" spans="1:9" ht="14.1" customHeight="1">
      <c r="A17" s="360" t="s">
        <v>235</v>
      </c>
      <c r="B17" s="417">
        <f>'- 32 -'!D17</f>
        <v>1513045</v>
      </c>
      <c r="C17" s="417">
        <f>B17/'- 7 -'!F17</f>
        <v>1163.4332948865822</v>
      </c>
      <c r="D17" s="418">
        <f t="shared" si="0"/>
        <v>5.8194262285624179</v>
      </c>
      <c r="E17" s="417">
        <f>I17/'- 7 -'!F17</f>
        <v>199.92233756247597</v>
      </c>
      <c r="F17" s="417">
        <f>'- 32 -'!F17</f>
        <v>129510</v>
      </c>
      <c r="G17" s="418">
        <f t="shared" si="1"/>
        <v>0.4981173004511556</v>
      </c>
      <c r="I17" s="1">
        <v>259999</v>
      </c>
    </row>
    <row r="18" spans="1:9" ht="14.1" customHeight="1">
      <c r="A18" s="23" t="s">
        <v>236</v>
      </c>
      <c r="B18" s="171">
        <f>'- 32 -'!D18</f>
        <v>15373436</v>
      </c>
      <c r="C18" s="171">
        <f>B18/'- 7 -'!F18</f>
        <v>2466.6563979141597</v>
      </c>
      <c r="D18" s="178">
        <f t="shared" si="0"/>
        <v>11.200213900314877</v>
      </c>
      <c r="E18" s="171">
        <f>I18/'- 7 -'!F18</f>
        <v>220.232972322503</v>
      </c>
      <c r="F18" s="171">
        <f>'- 32 -'!F18</f>
        <v>1555196</v>
      </c>
      <c r="G18" s="178">
        <f t="shared" si="1"/>
        <v>1.1330276365618002</v>
      </c>
      <c r="I18" s="1">
        <v>1372602</v>
      </c>
    </row>
    <row r="19" spans="1:9" ht="14.1" customHeight="1">
      <c r="A19" s="360" t="s">
        <v>237</v>
      </c>
      <c r="B19" s="417">
        <f>'- 32 -'!D19</f>
        <v>3654900</v>
      </c>
      <c r="C19" s="417">
        <f>B19/'- 7 -'!F19</f>
        <v>868.35352815395584</v>
      </c>
      <c r="D19" s="418">
        <f t="shared" si="0"/>
        <v>7.0145168967158495</v>
      </c>
      <c r="E19" s="417">
        <f>I19/'- 7 -'!F19</f>
        <v>123.79377524352577</v>
      </c>
      <c r="F19" s="417">
        <f>'- 32 -'!F19</f>
        <v>85000</v>
      </c>
      <c r="G19" s="418">
        <f t="shared" si="1"/>
        <v>0.16313276320031936</v>
      </c>
      <c r="I19" s="1">
        <v>521048</v>
      </c>
    </row>
    <row r="20" spans="1:9" ht="14.1" customHeight="1">
      <c r="A20" s="23" t="s">
        <v>238</v>
      </c>
      <c r="B20" s="171">
        <f>'- 32 -'!D20</f>
        <v>6408400</v>
      </c>
      <c r="C20" s="171">
        <f>B20/'- 7 -'!F20</f>
        <v>849.97678891173155</v>
      </c>
      <c r="D20" s="178">
        <f t="shared" si="0"/>
        <v>6.8308541765486517</v>
      </c>
      <c r="E20" s="171">
        <f>I20/'- 7 -'!F20</f>
        <v>124.43199151137344</v>
      </c>
      <c r="F20" s="171">
        <f>'- 32 -'!F20</f>
        <v>632000</v>
      </c>
      <c r="G20" s="178">
        <f t="shared" si="1"/>
        <v>0.67366266768284555</v>
      </c>
      <c r="I20" s="1">
        <v>938155</v>
      </c>
    </row>
    <row r="21" spans="1:9" ht="14.1" customHeight="1">
      <c r="A21" s="360" t="s">
        <v>239</v>
      </c>
      <c r="B21" s="417">
        <f>'- 32 -'!D21</f>
        <v>2739500</v>
      </c>
      <c r="C21" s="417">
        <f>B21/'- 7 -'!F21</f>
        <v>1018.4014869888476</v>
      </c>
      <c r="D21" s="418">
        <f t="shared" si="0"/>
        <v>6.0349252435889245</v>
      </c>
      <c r="E21" s="417">
        <f>I21/'- 7 -'!F21</f>
        <v>168.75130111524163</v>
      </c>
      <c r="F21" s="417">
        <f>'- 32 -'!F21</f>
        <v>350000</v>
      </c>
      <c r="G21" s="418">
        <f t="shared" si="1"/>
        <v>0.77102530945651526</v>
      </c>
      <c r="I21" s="1">
        <v>453941</v>
      </c>
    </row>
    <row r="22" spans="1:9" ht="14.1" customHeight="1">
      <c r="A22" s="23" t="s">
        <v>240</v>
      </c>
      <c r="B22" s="171">
        <f>'- 32 -'!D22</f>
        <v>2121775</v>
      </c>
      <c r="C22" s="171">
        <f>B22/'- 7 -'!F22</f>
        <v>1310.5466337245214</v>
      </c>
      <c r="D22" s="178">
        <f t="shared" si="0"/>
        <v>6.2701503872716042</v>
      </c>
      <c r="E22" s="171">
        <f>I22/'- 7 -'!F22</f>
        <v>209.01358863495986</v>
      </c>
      <c r="F22" s="171">
        <f>'- 32 -'!F22</f>
        <v>115000</v>
      </c>
      <c r="G22" s="178">
        <f t="shared" si="1"/>
        <v>0.33984154518562737</v>
      </c>
      <c r="I22" s="1">
        <v>338393</v>
      </c>
    </row>
    <row r="23" spans="1:9" ht="14.1" customHeight="1">
      <c r="A23" s="360" t="s">
        <v>241</v>
      </c>
      <c r="B23" s="417">
        <f>'- 32 -'!D23</f>
        <v>1138000</v>
      </c>
      <c r="C23" s="417">
        <f>B23/'- 7 -'!F23</f>
        <v>962.77495769881557</v>
      </c>
      <c r="D23" s="418">
        <f t="shared" si="0"/>
        <v>4.8787598175395273</v>
      </c>
      <c r="E23" s="417">
        <f>I23/'- 7 -'!F23</f>
        <v>197.34010152284264</v>
      </c>
      <c r="F23" s="417">
        <f>'- 32 -'!F23</f>
        <v>140382</v>
      </c>
      <c r="G23" s="418">
        <f t="shared" si="1"/>
        <v>0.60183660870459921</v>
      </c>
      <c r="I23" s="1">
        <v>233256</v>
      </c>
    </row>
    <row r="24" spans="1:9" ht="14.1" customHeight="1">
      <c r="A24" s="23" t="s">
        <v>242</v>
      </c>
      <c r="B24" s="171">
        <f>'- 32 -'!D24</f>
        <v>4736530</v>
      </c>
      <c r="C24" s="171">
        <f>B24/'- 7 -'!F24</f>
        <v>1128.6858096032408</v>
      </c>
      <c r="D24" s="178">
        <f t="shared" si="0"/>
        <v>6.715595992077164</v>
      </c>
      <c r="E24" s="171">
        <f>I24/'- 7 -'!F24</f>
        <v>168.06934350053615</v>
      </c>
      <c r="F24" s="171">
        <f>'- 32 -'!F24</f>
        <v>220200</v>
      </c>
      <c r="G24" s="178">
        <f t="shared" si="1"/>
        <v>0.31220624327416729</v>
      </c>
      <c r="I24" s="1">
        <v>705303</v>
      </c>
    </row>
    <row r="25" spans="1:9" ht="14.1" customHeight="1">
      <c r="A25" s="360" t="s">
        <v>243</v>
      </c>
      <c r="B25" s="417">
        <f>'- 32 -'!D25</f>
        <v>14555142</v>
      </c>
      <c r="C25" s="417">
        <f>B25/'- 7 -'!F25</f>
        <v>1054.185702904324</v>
      </c>
      <c r="D25" s="418">
        <f t="shared" si="0"/>
        <v>6.5122745446150212</v>
      </c>
      <c r="E25" s="417">
        <f>I25/'- 7 -'!F25</f>
        <v>161.87672919533571</v>
      </c>
      <c r="F25" s="417">
        <f>'- 32 -'!F25</f>
        <v>501460</v>
      </c>
      <c r="G25" s="418">
        <f t="shared" si="1"/>
        <v>0.22436367801445348</v>
      </c>
      <c r="I25" s="1">
        <v>2235032</v>
      </c>
    </row>
    <row r="26" spans="1:9" ht="14.1" customHeight="1">
      <c r="A26" s="23" t="s">
        <v>244</v>
      </c>
      <c r="B26" s="171">
        <f>'- 32 -'!D26</f>
        <v>3977133</v>
      </c>
      <c r="C26" s="171">
        <f>B26/'- 7 -'!F26</f>
        <v>1287.7231665857212</v>
      </c>
      <c r="D26" s="178">
        <f t="shared" si="0"/>
        <v>5.1664295930257484</v>
      </c>
      <c r="E26" s="171">
        <f>I26/'- 7 -'!F26</f>
        <v>249.24817872753763</v>
      </c>
      <c r="F26" s="171">
        <f>'- 32 -'!F26</f>
        <v>176580</v>
      </c>
      <c r="G26" s="178">
        <f t="shared" si="1"/>
        <v>0.22938336171721857</v>
      </c>
      <c r="I26" s="1">
        <v>769803</v>
      </c>
    </row>
    <row r="27" spans="1:9" ht="14.1" customHeight="1">
      <c r="A27" s="360" t="s">
        <v>245</v>
      </c>
      <c r="B27" s="417">
        <f>'- 32 -'!D27</f>
        <v>4062250</v>
      </c>
      <c r="C27" s="500">
        <f>B27/'- 7 -'!F27</f>
        <v>1476.6448564158488</v>
      </c>
      <c r="D27" s="418">
        <f t="shared" si="0"/>
        <v>8.787043045641358</v>
      </c>
      <c r="E27" s="500">
        <f>I27/'- 7 -'!F27</f>
        <v>168.04798255179935</v>
      </c>
      <c r="F27" s="421">
        <f>'- 32 -'!F27</f>
        <v>452000</v>
      </c>
      <c r="G27" s="418">
        <f t="shared" si="1"/>
        <v>0.97772009517629244</v>
      </c>
      <c r="I27" s="1">
        <v>462300</v>
      </c>
    </row>
    <row r="28" spans="1:9" ht="14.1" customHeight="1">
      <c r="A28" s="23" t="s">
        <v>246</v>
      </c>
      <c r="B28" s="171">
        <f>'- 32 -'!D28</f>
        <v>2583275</v>
      </c>
      <c r="C28" s="171">
        <f>B28/'- 7 -'!F28</f>
        <v>1307.9873417721519</v>
      </c>
      <c r="D28" s="178">
        <f t="shared" si="0"/>
        <v>6.6140983329535477</v>
      </c>
      <c r="E28" s="171">
        <f>I28/'- 7 -'!F28</f>
        <v>197.75746835443039</v>
      </c>
      <c r="F28" s="171">
        <f>'- 32 -'!F28</f>
        <v>187486</v>
      </c>
      <c r="G28" s="178">
        <f t="shared" si="1"/>
        <v>0.48003051941900449</v>
      </c>
      <c r="I28" s="1">
        <v>390571</v>
      </c>
    </row>
    <row r="29" spans="1:9" ht="14.1" customHeight="1">
      <c r="A29" s="360" t="s">
        <v>247</v>
      </c>
      <c r="B29" s="417">
        <f>'- 32 -'!D29</f>
        <v>12881987</v>
      </c>
      <c r="C29" s="417">
        <f>B29/'- 7 -'!F29</f>
        <v>1065.7279834539813</v>
      </c>
      <c r="D29" s="418">
        <f t="shared" si="0"/>
        <v>7.5468040582420297</v>
      </c>
      <c r="E29" s="417">
        <f>I29/'- 7 -'!F29</f>
        <v>141.21580144777664</v>
      </c>
      <c r="F29" s="417">
        <f>'- 32 -'!F29</f>
        <v>2308800</v>
      </c>
      <c r="G29" s="418">
        <f t="shared" si="1"/>
        <v>1.3525911188754653</v>
      </c>
      <c r="I29" s="1">
        <v>1706946</v>
      </c>
    </row>
    <row r="30" spans="1:9" ht="14.1" customHeight="1">
      <c r="A30" s="23" t="s">
        <v>248</v>
      </c>
      <c r="B30" s="171">
        <f>'- 32 -'!D30</f>
        <v>1104025</v>
      </c>
      <c r="C30" s="171">
        <f>B30/'- 7 -'!F30</f>
        <v>1031.7990654205607</v>
      </c>
      <c r="D30" s="178">
        <f t="shared" si="0"/>
        <v>5.2641554416497796</v>
      </c>
      <c r="E30" s="171">
        <f>I30/'- 7 -'!F30</f>
        <v>196.00467289719626</v>
      </c>
      <c r="F30" s="171">
        <f>'- 32 -'!F30</f>
        <v>254050</v>
      </c>
      <c r="G30" s="178">
        <f t="shared" si="1"/>
        <v>1.2113481940636548</v>
      </c>
      <c r="I30" s="1">
        <v>209725</v>
      </c>
    </row>
    <row r="31" spans="1:9" ht="14.1" customHeight="1">
      <c r="A31" s="360" t="s">
        <v>249</v>
      </c>
      <c r="B31" s="417">
        <f>'- 32 -'!D31</f>
        <v>3460892</v>
      </c>
      <c r="C31" s="417">
        <f>B31/'- 7 -'!F31</f>
        <v>1084.9191222570532</v>
      </c>
      <c r="D31" s="418">
        <f t="shared" si="0"/>
        <v>5.821478072477225</v>
      </c>
      <c r="E31" s="417">
        <f>I31/'- 7 -'!F31</f>
        <v>186.36489028213165</v>
      </c>
      <c r="F31" s="417">
        <f>'- 32 -'!F31</f>
        <v>128220</v>
      </c>
      <c r="G31" s="418">
        <f t="shared" si="1"/>
        <v>0.21567558838964918</v>
      </c>
      <c r="I31" s="1">
        <v>594504</v>
      </c>
    </row>
    <row r="32" spans="1:9" ht="14.1" customHeight="1">
      <c r="A32" s="23" t="s">
        <v>250</v>
      </c>
      <c r="B32" s="171">
        <f>'- 32 -'!D32</f>
        <v>1992000</v>
      </c>
      <c r="C32" s="171">
        <f>B32/'- 7 -'!F32</f>
        <v>973.84502566609626</v>
      </c>
      <c r="D32" s="178">
        <f t="shared" si="0"/>
        <v>5.1805655970913929</v>
      </c>
      <c r="E32" s="171">
        <f>I32/'- 7 -'!F32</f>
        <v>187.98044487900268</v>
      </c>
      <c r="F32" s="171">
        <f>'- 32 -'!F32</f>
        <v>397000</v>
      </c>
      <c r="G32" s="178">
        <f t="shared" si="1"/>
        <v>1.0324721596612867</v>
      </c>
      <c r="I32" s="1">
        <v>384514</v>
      </c>
    </row>
    <row r="33" spans="1:9" ht="14.1" customHeight="1">
      <c r="A33" s="360" t="s">
        <v>251</v>
      </c>
      <c r="B33" s="417">
        <f>'- 32 -'!D33</f>
        <v>2684500</v>
      </c>
      <c r="C33" s="417">
        <f>B33/'- 7 -'!F33</f>
        <v>1325.0246791707798</v>
      </c>
      <c r="D33" s="418">
        <f t="shared" si="0"/>
        <v>5.4399698466189914</v>
      </c>
      <c r="E33" s="417">
        <f>I33/'- 7 -'!F33</f>
        <v>243.57206317867718</v>
      </c>
      <c r="F33" s="417">
        <f>'- 32 -'!F33</f>
        <v>388400</v>
      </c>
      <c r="G33" s="418">
        <f t="shared" si="1"/>
        <v>0.78706809030613378</v>
      </c>
      <c r="I33" s="1">
        <v>493477</v>
      </c>
    </row>
    <row r="34" spans="1:9" ht="14.1" customHeight="1">
      <c r="A34" s="23" t="s">
        <v>252</v>
      </c>
      <c r="B34" s="171">
        <f>'- 32 -'!D34</f>
        <v>2052813</v>
      </c>
      <c r="C34" s="171">
        <f>B34/'- 7 -'!F34</f>
        <v>1019.0843787387621</v>
      </c>
      <c r="D34" s="178">
        <f t="shared" si="0"/>
        <v>5.5625607994775645</v>
      </c>
      <c r="E34" s="171">
        <f>I34/'- 7 -'!F34</f>
        <v>183.20417798120505</v>
      </c>
      <c r="F34" s="171">
        <f>'- 32 -'!F34</f>
        <v>432052</v>
      </c>
      <c r="G34" s="178">
        <f t="shared" si="1"/>
        <v>1.1707425462211516</v>
      </c>
      <c r="I34" s="1">
        <v>369041</v>
      </c>
    </row>
    <row r="35" spans="1:9" ht="14.1" customHeight="1">
      <c r="A35" s="360" t="s">
        <v>253</v>
      </c>
      <c r="B35" s="417">
        <f>'- 32 -'!D35</f>
        <v>17747850</v>
      </c>
      <c r="C35" s="417">
        <f>B35/'- 7 -'!F35</f>
        <v>1124.3134522188084</v>
      </c>
      <c r="D35" s="418">
        <f t="shared" si="0"/>
        <v>7.2610082036830654</v>
      </c>
      <c r="E35" s="417">
        <f>I35/'- 7 -'!F35</f>
        <v>154.84260872319533</v>
      </c>
      <c r="F35" s="417">
        <f>'- 32 -'!F35</f>
        <v>622000</v>
      </c>
      <c r="G35" s="418">
        <f t="shared" si="1"/>
        <v>0.25447291377213954</v>
      </c>
      <c r="I35" s="1">
        <v>2444268</v>
      </c>
    </row>
    <row r="36" spans="1:9" ht="14.1" customHeight="1">
      <c r="A36" s="23" t="s">
        <v>254</v>
      </c>
      <c r="B36" s="171">
        <f>'- 32 -'!D36</f>
        <v>2054550</v>
      </c>
      <c r="C36" s="171">
        <f>B36/'- 7 -'!F36</f>
        <v>1224.0393208221626</v>
      </c>
      <c r="D36" s="178">
        <f t="shared" si="0"/>
        <v>6.3874337411201445</v>
      </c>
      <c r="E36" s="171">
        <f>I36/'- 7 -'!F36</f>
        <v>191.63240988978254</v>
      </c>
      <c r="F36" s="171">
        <f>'- 32 -'!F36</f>
        <v>155000</v>
      </c>
      <c r="G36" s="178">
        <f t="shared" si="1"/>
        <v>0.48188276258724411</v>
      </c>
      <c r="I36" s="1">
        <v>321655</v>
      </c>
    </row>
    <row r="37" spans="1:9" ht="14.1" customHeight="1">
      <c r="A37" s="360" t="s">
        <v>255</v>
      </c>
      <c r="B37" s="417">
        <f>'- 32 -'!D37</f>
        <v>3752439</v>
      </c>
      <c r="C37" s="417">
        <f>B37/'- 7 -'!F37</f>
        <v>1006.4205444548746</v>
      </c>
      <c r="D37" s="418">
        <f t="shared" si="0"/>
        <v>6.4816240165130798</v>
      </c>
      <c r="E37" s="417">
        <f>I37/'- 7 -'!F37</f>
        <v>155.27289794823656</v>
      </c>
      <c r="F37" s="417">
        <f>'- 32 -'!F37</f>
        <v>400000</v>
      </c>
      <c r="G37" s="418">
        <f t="shared" si="1"/>
        <v>0.69092385155501046</v>
      </c>
      <c r="I37" s="1">
        <v>578935</v>
      </c>
    </row>
    <row r="38" spans="1:9" ht="14.1" customHeight="1">
      <c r="A38" s="23" t="s">
        <v>256</v>
      </c>
      <c r="B38" s="171">
        <f>'- 32 -'!D38</f>
        <v>9902510</v>
      </c>
      <c r="C38" s="171">
        <f>B38/'- 7 -'!F38</f>
        <v>938.44863532979525</v>
      </c>
      <c r="D38" s="178">
        <f t="shared" si="0"/>
        <v>8.2160096907746816</v>
      </c>
      <c r="E38" s="171">
        <f>I38/'- 7 -'!F38</f>
        <v>114.22194844579226</v>
      </c>
      <c r="F38" s="171">
        <f>'- 32 -'!F38</f>
        <v>1167620</v>
      </c>
      <c r="G38" s="178">
        <f t="shared" si="1"/>
        <v>0.96876218606619269</v>
      </c>
      <c r="I38" s="1">
        <v>1205270</v>
      </c>
    </row>
    <row r="39" spans="1:9" ht="14.1" customHeight="1">
      <c r="A39" s="360" t="s">
        <v>257</v>
      </c>
      <c r="B39" s="417">
        <f>'- 32 -'!D39</f>
        <v>1937895</v>
      </c>
      <c r="C39" s="417">
        <f>B39/'- 7 -'!F39</f>
        <v>1224.1914087176247</v>
      </c>
      <c r="D39" s="418">
        <f t="shared" si="0"/>
        <v>6.1978328797177884</v>
      </c>
      <c r="E39" s="417">
        <f>I39/'- 7 -'!F39</f>
        <v>197.51926721415035</v>
      </c>
      <c r="F39" s="417">
        <f>'- 32 -'!F39</f>
        <v>160200</v>
      </c>
      <c r="G39" s="418">
        <f t="shared" si="1"/>
        <v>0.51235635951937009</v>
      </c>
      <c r="I39" s="1">
        <v>312673</v>
      </c>
    </row>
    <row r="40" spans="1:9" ht="14.1" customHeight="1">
      <c r="A40" s="23" t="s">
        <v>258</v>
      </c>
      <c r="B40" s="171">
        <f>'- 32 -'!D40</f>
        <v>8039851</v>
      </c>
      <c r="C40" s="171">
        <f>B40/'- 7 -'!F40</f>
        <v>1007.15935710975</v>
      </c>
      <c r="D40" s="178">
        <f t="shared" si="0"/>
        <v>5.6614482731910671</v>
      </c>
      <c r="E40" s="171">
        <f>I40/'- 7 -'!F40</f>
        <v>177.89782905533218</v>
      </c>
      <c r="F40" s="171">
        <f>'- 32 -'!F40</f>
        <v>1075411</v>
      </c>
      <c r="G40" s="178">
        <f t="shared" si="1"/>
        <v>0.75727569440287867</v>
      </c>
      <c r="I40" s="1">
        <v>1420105</v>
      </c>
    </row>
    <row r="41" spans="1:9" ht="14.1" customHeight="1">
      <c r="A41" s="360" t="s">
        <v>259</v>
      </c>
      <c r="B41" s="417">
        <f>'- 32 -'!D41</f>
        <v>4129203</v>
      </c>
      <c r="C41" s="417">
        <f>B41/'- 7 -'!F41</f>
        <v>928.53676635934335</v>
      </c>
      <c r="D41" s="418">
        <f t="shared" si="0"/>
        <v>5.6883909629425542</v>
      </c>
      <c r="E41" s="417">
        <f>I41/'- 7 -'!F41</f>
        <v>163.23364065662244</v>
      </c>
      <c r="F41" s="417">
        <f>'- 32 -'!F41</f>
        <v>395540</v>
      </c>
      <c r="G41" s="418">
        <f t="shared" si="1"/>
        <v>0.54489599118335863</v>
      </c>
      <c r="I41" s="1">
        <v>725900</v>
      </c>
    </row>
    <row r="42" spans="1:9" ht="14.1" customHeight="1">
      <c r="A42" s="23" t="s">
        <v>260</v>
      </c>
      <c r="B42" s="171">
        <f>'- 32 -'!D42</f>
        <v>1791369</v>
      </c>
      <c r="C42" s="171">
        <f>B42/'- 7 -'!F42</f>
        <v>1280.4639027877056</v>
      </c>
      <c r="D42" s="178">
        <f t="shared" si="0"/>
        <v>5.5525492760855615</v>
      </c>
      <c r="E42" s="171">
        <f>I42/'- 7 -'!F42</f>
        <v>230.60829163688348</v>
      </c>
      <c r="F42" s="171">
        <f>'- 32 -'!F42</f>
        <v>96979</v>
      </c>
      <c r="G42" s="178">
        <f t="shared" si="1"/>
        <v>0.30059729527836065</v>
      </c>
      <c r="I42" s="1">
        <v>322621</v>
      </c>
    </row>
    <row r="43" spans="1:9" ht="14.1" customHeight="1">
      <c r="A43" s="360" t="s">
        <v>261</v>
      </c>
      <c r="B43" s="417">
        <f>'- 32 -'!D43</f>
        <v>828642</v>
      </c>
      <c r="C43" s="417">
        <f>B43/'- 7 -'!F43</f>
        <v>858.25168306576904</v>
      </c>
      <c r="D43" s="418">
        <f>B43/I43</f>
        <v>4.5380672296520226</v>
      </c>
      <c r="E43" s="417">
        <f>I43/'- 7 -'!F43</f>
        <v>189.12273433454169</v>
      </c>
      <c r="F43" s="417">
        <f>'- 32 -'!F43</f>
        <v>125783</v>
      </c>
      <c r="G43" s="418">
        <f>F43/I43</f>
        <v>0.68885201371318416</v>
      </c>
      <c r="I43" s="1">
        <v>182598</v>
      </c>
    </row>
    <row r="44" spans="1:9" ht="14.1" customHeight="1">
      <c r="A44" s="23" t="s">
        <v>262</v>
      </c>
      <c r="B44" s="171">
        <f>'- 32 -'!D44</f>
        <v>983690</v>
      </c>
      <c r="C44" s="171">
        <f>B44/'- 7 -'!F44</f>
        <v>1306.3612217795485</v>
      </c>
      <c r="D44" s="178">
        <f>B44/I44</f>
        <v>5.4921918182985587</v>
      </c>
      <c r="E44" s="171">
        <f>I44/'- 7 -'!F44</f>
        <v>237.85790172642763</v>
      </c>
      <c r="F44" s="171">
        <f>'- 32 -'!F44</f>
        <v>53940</v>
      </c>
      <c r="G44" s="178">
        <f>F44/I44</f>
        <v>0.30116075865264896</v>
      </c>
      <c r="I44" s="1">
        <v>179107</v>
      </c>
    </row>
    <row r="45" spans="1:9" ht="14.1" customHeight="1">
      <c r="A45" s="360" t="s">
        <v>263</v>
      </c>
      <c r="B45" s="417">
        <f>'- 32 -'!D45</f>
        <v>1371278</v>
      </c>
      <c r="C45" s="417">
        <f>B45/'- 7 -'!F45</f>
        <v>813.81483679525218</v>
      </c>
      <c r="D45" s="418">
        <f>B45/I45</f>
        <v>6.6838139244701802</v>
      </c>
      <c r="E45" s="417">
        <f>I45/'- 7 -'!F45</f>
        <v>121.75905044510385</v>
      </c>
      <c r="F45" s="417">
        <f>'- 32 -'!F45</f>
        <v>138880</v>
      </c>
      <c r="G45" s="418">
        <f>F45/I45</f>
        <v>0.67692187713244034</v>
      </c>
      <c r="I45" s="1">
        <v>205164</v>
      </c>
    </row>
    <row r="46" spans="1:9" ht="14.1" customHeight="1">
      <c r="A46" s="23" t="s">
        <v>264</v>
      </c>
      <c r="B46" s="171">
        <f>'- 32 -'!D46</f>
        <v>36876400</v>
      </c>
      <c r="C46" s="171">
        <f>B46/'- 7 -'!F46</f>
        <v>1215.4383651944627</v>
      </c>
      <c r="D46" s="178">
        <f>B46/I46</f>
        <v>7.4071261983773038</v>
      </c>
      <c r="E46" s="171">
        <f>I46/'- 7 -'!F46</f>
        <v>164.09040870138432</v>
      </c>
      <c r="F46" s="171">
        <f>'- 32 -'!F46</f>
        <v>4664400</v>
      </c>
      <c r="G46" s="178">
        <f>F46/I46</f>
        <v>0.9369081428694529</v>
      </c>
      <c r="I46" s="1">
        <v>4978503</v>
      </c>
    </row>
    <row r="47" spans="1:9" ht="5.0999999999999996" customHeight="1">
      <c r="A47"/>
      <c r="B47"/>
      <c r="C47"/>
      <c r="D47"/>
      <c r="E47"/>
      <c r="F47"/>
      <c r="G47"/>
      <c r="H47"/>
      <c r="I47"/>
    </row>
    <row r="48" spans="1:9" ht="14.1" customHeight="1">
      <c r="A48" s="363" t="s">
        <v>265</v>
      </c>
      <c r="B48" s="419">
        <f>SUM(B11:B46)</f>
        <v>196151309</v>
      </c>
      <c r="C48" s="419">
        <f>B48/'- 7 -'!F48</f>
        <v>1130.2476156342482</v>
      </c>
      <c r="D48" s="420">
        <f>B48/I48</f>
        <v>6.909712274667033</v>
      </c>
      <c r="E48" s="419">
        <f>I48/'- 7 -'!F48</f>
        <v>163.5737597610333</v>
      </c>
      <c r="F48" s="419">
        <f>SUM(F11:F46)</f>
        <v>19921769</v>
      </c>
      <c r="G48" s="420">
        <f>F48/I48</f>
        <v>0.70177299603124843</v>
      </c>
      <c r="I48" s="1">
        <f>SUM(I11:I46)</f>
        <v>28387768</v>
      </c>
    </row>
    <row r="49" spans="1:9" ht="5.0999999999999996" customHeight="1">
      <c r="A49" s="25" t="s">
        <v>3</v>
      </c>
      <c r="B49" s="172"/>
      <c r="C49" s="172"/>
      <c r="D49" s="99"/>
      <c r="E49" s="172"/>
      <c r="F49" s="172"/>
      <c r="G49" s="99"/>
    </row>
    <row r="50" spans="1:9" ht="14.1" customHeight="1">
      <c r="A50" s="23" t="s">
        <v>266</v>
      </c>
      <c r="B50" s="171">
        <f>'- 32 -'!D50</f>
        <v>444400</v>
      </c>
      <c r="C50" s="171">
        <f>B50/'- 7 -'!F50</f>
        <v>2661.0778443113772</v>
      </c>
      <c r="D50" s="178">
        <f>B50/I50</f>
        <v>6.1270353366146892</v>
      </c>
      <c r="E50" s="171">
        <f>I50/'- 7 -'!F50</f>
        <v>434.31736526946105</v>
      </c>
      <c r="F50" s="171">
        <f>'- 32 -'!F50</f>
        <v>0</v>
      </c>
      <c r="G50" s="331" t="s">
        <v>184</v>
      </c>
      <c r="I50" s="158">
        <v>72531</v>
      </c>
    </row>
    <row r="51" spans="1:9" ht="14.1" customHeight="1">
      <c r="A51" s="360" t="s">
        <v>267</v>
      </c>
      <c r="B51" s="417">
        <f>'- 32 -'!D51</f>
        <v>1927638</v>
      </c>
      <c r="C51" s="417">
        <f>B51/'- 7 -'!F51</f>
        <v>3104.086956521739</v>
      </c>
      <c r="D51" s="422" t="s">
        <v>184</v>
      </c>
      <c r="E51" s="421" t="s">
        <v>184</v>
      </c>
      <c r="F51" s="417">
        <f>'- 32 -'!F51</f>
        <v>48500</v>
      </c>
      <c r="G51" s="422" t="s">
        <v>184</v>
      </c>
    </row>
    <row r="52" spans="1:9" ht="50.1" customHeight="1">
      <c r="A52" s="27"/>
      <c r="B52" s="27"/>
      <c r="C52" s="27"/>
      <c r="D52" s="27"/>
      <c r="E52" s="27"/>
      <c r="F52" s="27"/>
      <c r="G52" s="27"/>
    </row>
    <row r="53" spans="1:9" ht="15" customHeight="1">
      <c r="A53" s="160" t="s">
        <v>678</v>
      </c>
    </row>
    <row r="54" spans="1:9" ht="12" customHeight="1">
      <c r="A54" s="1" t="s">
        <v>606</v>
      </c>
    </row>
    <row r="55" spans="1:9" ht="14.45" customHeight="1"/>
    <row r="56" spans="1:9" ht="14.45" customHeight="1"/>
    <row r="57" spans="1:9" ht="14.45" customHeight="1"/>
    <row r="58" spans="1:9" ht="14.45" customHeight="1"/>
    <row r="59" spans="1:9"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4.xml><?xml version="1.0" encoding="utf-8"?>
<worksheet xmlns="http://schemas.openxmlformats.org/spreadsheetml/2006/main" xmlns:r="http://schemas.openxmlformats.org/officeDocument/2006/relationships">
  <sheetPr codeName="Sheet52">
    <pageSetUpPr fitToPage="1"/>
  </sheetPr>
  <dimension ref="A1:J59"/>
  <sheetViews>
    <sheetView showGridLines="0" showZeros="0" workbookViewId="0"/>
  </sheetViews>
  <sheetFormatPr defaultColWidth="15.83203125" defaultRowHeight="12"/>
  <cols>
    <col min="1" max="1" width="29.83203125" style="1" customWidth="1"/>
    <col min="2" max="2" width="15.83203125" style="1"/>
    <col min="3" max="3" width="8.83203125" style="1" customWidth="1"/>
    <col min="4" max="4" width="9.83203125" style="1" customWidth="1"/>
    <col min="5" max="5" width="15.83203125" style="1"/>
    <col min="6" max="6" width="8.83203125" style="1" customWidth="1"/>
    <col min="7" max="7" width="9.83203125" style="1" customWidth="1"/>
    <col min="8" max="8" width="15.83203125" style="1"/>
    <col min="9" max="9" width="8.83203125" style="1" customWidth="1"/>
    <col min="10" max="10" width="9.83203125" style="1" customWidth="1"/>
    <col min="11" max="16384" width="15.83203125" style="1"/>
  </cols>
  <sheetData>
    <row r="1" spans="1:10" ht="6.95" customHeight="1">
      <c r="A1" s="3"/>
      <c r="B1" s="4"/>
      <c r="C1" s="4"/>
      <c r="D1" s="4"/>
      <c r="E1" s="4"/>
      <c r="F1" s="4"/>
      <c r="G1" s="4"/>
      <c r="H1" s="4"/>
      <c r="I1" s="4"/>
      <c r="J1" s="4"/>
    </row>
    <row r="2" spans="1:10" ht="15.95" customHeight="1">
      <c r="A2" s="161"/>
      <c r="B2" s="5" t="s">
        <v>559</v>
      </c>
      <c r="C2" s="6"/>
      <c r="D2" s="6"/>
      <c r="E2" s="6"/>
      <c r="F2" s="6"/>
      <c r="G2" s="6"/>
      <c r="H2" s="106"/>
      <c r="I2" s="173"/>
      <c r="J2" s="117"/>
    </row>
    <row r="3" spans="1:10" ht="15.95" customHeight="1">
      <c r="A3" s="164"/>
      <c r="B3" s="7" t="str">
        <f>OPYEAR</f>
        <v>OPERATING FUND 2013/2014 BUDGET</v>
      </c>
      <c r="C3" s="8"/>
      <c r="D3" s="8"/>
      <c r="E3" s="8"/>
      <c r="F3" s="8"/>
      <c r="G3" s="8"/>
      <c r="H3" s="108"/>
      <c r="I3" s="108"/>
      <c r="J3" s="101"/>
    </row>
    <row r="4" spans="1:10" ht="15.95" customHeight="1">
      <c r="B4" s="4"/>
      <c r="C4" s="4"/>
      <c r="D4" s="4"/>
      <c r="E4" s="4"/>
      <c r="F4" s="4"/>
      <c r="G4" s="4"/>
      <c r="H4" s="4"/>
      <c r="I4" s="4"/>
      <c r="J4" s="4"/>
    </row>
    <row r="5" spans="1:10" ht="14.1" customHeight="1"/>
    <row r="6" spans="1:10" ht="18" customHeight="1">
      <c r="B6" s="166" t="s">
        <v>482</v>
      </c>
      <c r="C6" s="174"/>
      <c r="D6" s="167"/>
      <c r="E6" s="167"/>
      <c r="F6" s="167"/>
      <c r="G6" s="167"/>
      <c r="H6" s="167"/>
      <c r="I6" s="167"/>
      <c r="J6" s="168"/>
    </row>
    <row r="7" spans="1:10" ht="15.95" customHeight="1">
      <c r="B7" s="357" t="s">
        <v>152</v>
      </c>
      <c r="C7" s="358"/>
      <c r="D7" s="359"/>
      <c r="E7" s="357" t="s">
        <v>139</v>
      </c>
      <c r="F7" s="358"/>
      <c r="G7" s="359"/>
      <c r="H7" s="357" t="s">
        <v>144</v>
      </c>
      <c r="I7" s="358"/>
      <c r="J7" s="359"/>
    </row>
    <row r="8" spans="1:10" ht="15.95" customHeight="1">
      <c r="A8" s="102"/>
      <c r="B8" s="169"/>
      <c r="C8" s="104"/>
      <c r="D8" s="16" t="s">
        <v>60</v>
      </c>
      <c r="E8" s="169"/>
      <c r="F8" s="170"/>
      <c r="G8" s="16" t="s">
        <v>60</v>
      </c>
      <c r="H8" s="169"/>
      <c r="I8" s="170"/>
      <c r="J8" s="16" t="s">
        <v>60</v>
      </c>
    </row>
    <row r="9" spans="1:10" ht="15.95" customHeight="1">
      <c r="A9" s="35" t="s">
        <v>81</v>
      </c>
      <c r="B9" s="113" t="s">
        <v>82</v>
      </c>
      <c r="C9" s="113" t="s">
        <v>83</v>
      </c>
      <c r="D9" s="113" t="s">
        <v>84</v>
      </c>
      <c r="E9" s="113" t="s">
        <v>82</v>
      </c>
      <c r="F9" s="113" t="s">
        <v>83</v>
      </c>
      <c r="G9" s="113" t="s">
        <v>84</v>
      </c>
      <c r="H9" s="113" t="s">
        <v>82</v>
      </c>
      <c r="I9" s="113" t="s">
        <v>83</v>
      </c>
      <c r="J9" s="113" t="s">
        <v>84</v>
      </c>
    </row>
    <row r="10" spans="1:10" ht="5.0999999999999996" customHeight="1">
      <c r="A10" s="37"/>
    </row>
    <row r="11" spans="1:10" ht="14.1" customHeight="1">
      <c r="A11" s="360" t="s">
        <v>230</v>
      </c>
      <c r="B11" s="361">
        <v>128400</v>
      </c>
      <c r="C11" s="362">
        <f>B11/'- 3 -'!$D11*100</f>
        <v>0.7662729611096778</v>
      </c>
      <c r="D11" s="361">
        <f>B11/'- 7 -'!$F11</f>
        <v>83.839373163565128</v>
      </c>
      <c r="E11" s="361">
        <v>153448</v>
      </c>
      <c r="F11" s="362">
        <f>E11/'- 3 -'!$D11*100</f>
        <v>0.91575586710559065</v>
      </c>
      <c r="G11" s="361">
        <f>E11/'- 7 -'!$F11</f>
        <v>100.19458047665687</v>
      </c>
      <c r="H11" s="361">
        <v>197631</v>
      </c>
      <c r="I11" s="362">
        <f>H11/'- 3 -'!$D11*100</f>
        <v>1.1794337350238844</v>
      </c>
      <c r="J11" s="361">
        <f>H11/'- 7 -'!$F11</f>
        <v>129.04407443682663</v>
      </c>
    </row>
    <row r="12" spans="1:10" ht="14.1" customHeight="1">
      <c r="A12" s="23" t="s">
        <v>231</v>
      </c>
      <c r="B12" s="24">
        <v>277897</v>
      </c>
      <c r="C12" s="353">
        <f>B12/'- 3 -'!$D12*100</f>
        <v>0.89724071126288485</v>
      </c>
      <c r="D12" s="24">
        <f>B12/'- 7 -'!$F12</f>
        <v>121.98630437645404</v>
      </c>
      <c r="E12" s="24">
        <v>116000</v>
      </c>
      <c r="F12" s="353">
        <f>E12/'- 3 -'!$D12*100</f>
        <v>0.37452697404612018</v>
      </c>
      <c r="G12" s="24">
        <f>E12/'- 7 -'!$F12</f>
        <v>50.919626004126236</v>
      </c>
      <c r="H12" s="24">
        <v>425803</v>
      </c>
      <c r="I12" s="353">
        <f>H12/'- 3 -'!$D12*100</f>
        <v>1.3747819752565524</v>
      </c>
      <c r="J12" s="24">
        <f>H12/'- 7 -'!$F12</f>
        <v>186.91146130547384</v>
      </c>
    </row>
    <row r="13" spans="1:10" ht="14.1" customHeight="1">
      <c r="A13" s="360" t="s">
        <v>232</v>
      </c>
      <c r="B13" s="361">
        <v>365100</v>
      </c>
      <c r="C13" s="362">
        <f>B13/'- 3 -'!$D13*100</f>
        <v>0.42273628828044402</v>
      </c>
      <c r="D13" s="361">
        <f>B13/'- 7 -'!$F13</f>
        <v>45.163117900354152</v>
      </c>
      <c r="E13" s="361">
        <v>205700</v>
      </c>
      <c r="F13" s="362">
        <f>E13/'- 3 -'!$D13*100</f>
        <v>0.23817270473647587</v>
      </c>
      <c r="G13" s="361">
        <f>E13/'- 7 -'!$F13</f>
        <v>25.44522966886565</v>
      </c>
      <c r="H13" s="361">
        <v>886900</v>
      </c>
      <c r="I13" s="362">
        <f>H13/'- 3 -'!$D13*100</f>
        <v>1.0269099262556172</v>
      </c>
      <c r="J13" s="361">
        <f>H13/'- 7 -'!$F13</f>
        <v>109.71013219891563</v>
      </c>
    </row>
    <row r="14" spans="1:10" ht="14.1" customHeight="1">
      <c r="A14" s="23" t="s">
        <v>578</v>
      </c>
      <c r="B14" s="24">
        <v>365950</v>
      </c>
      <c r="C14" s="353">
        <f>B14/'- 3 -'!$D14*100</f>
        <v>0.48814183498244884</v>
      </c>
      <c r="D14" s="24">
        <f>B14/'- 7 -'!$F14</f>
        <v>70.172579098753602</v>
      </c>
      <c r="E14" s="24">
        <v>483115</v>
      </c>
      <c r="F14" s="353">
        <f>E14/'- 3 -'!$D14*100</f>
        <v>0.64442859026518862</v>
      </c>
      <c r="G14" s="24">
        <f>E14/'- 7 -'!$F14</f>
        <v>92.639501438159158</v>
      </c>
      <c r="H14" s="24">
        <v>666433</v>
      </c>
      <c r="I14" s="353">
        <f>H14/'- 3 -'!$D14*100</f>
        <v>0.88895703651553026</v>
      </c>
      <c r="J14" s="24">
        <f>H14/'- 7 -'!$F14</f>
        <v>127.79156279961649</v>
      </c>
    </row>
    <row r="15" spans="1:10" ht="14.1" customHeight="1">
      <c r="A15" s="360" t="s">
        <v>233</v>
      </c>
      <c r="B15" s="361">
        <v>112400</v>
      </c>
      <c r="C15" s="362">
        <f>B15/'- 3 -'!$D15*100</f>
        <v>0.57520892519551214</v>
      </c>
      <c r="D15" s="361">
        <f>B15/'- 7 -'!$F15</f>
        <v>73.94736842105263</v>
      </c>
      <c r="E15" s="361">
        <v>78750</v>
      </c>
      <c r="F15" s="362">
        <f>E15/'- 3 -'!$D15*100</f>
        <v>0.40300447383582372</v>
      </c>
      <c r="G15" s="361">
        <f>E15/'- 7 -'!$F15</f>
        <v>51.809210526315788</v>
      </c>
      <c r="H15" s="361">
        <v>232972</v>
      </c>
      <c r="I15" s="362">
        <f>H15/'- 3 -'!$D15*100</f>
        <v>1.1922382003616445</v>
      </c>
      <c r="J15" s="361">
        <f>H15/'- 7 -'!$F15</f>
        <v>153.27105263157895</v>
      </c>
    </row>
    <row r="16" spans="1:10" ht="14.1" customHeight="1">
      <c r="A16" s="23" t="s">
        <v>234</v>
      </c>
      <c r="B16" s="24">
        <v>109829</v>
      </c>
      <c r="C16" s="353">
        <f>B16/'- 3 -'!$D16*100</f>
        <v>0.83866735361196465</v>
      </c>
      <c r="D16" s="24">
        <f>B16/'- 7 -'!$F16</f>
        <v>110.38090452261306</v>
      </c>
      <c r="E16" s="24">
        <v>60439</v>
      </c>
      <c r="F16" s="353">
        <f>E16/'- 3 -'!$D16*100</f>
        <v>0.46151941823155573</v>
      </c>
      <c r="G16" s="24">
        <f>E16/'- 7 -'!$F16</f>
        <v>60.742713567839196</v>
      </c>
      <c r="H16" s="24">
        <v>76379</v>
      </c>
      <c r="I16" s="353">
        <f>H16/'- 3 -'!$D16*100</f>
        <v>0.5832391608912787</v>
      </c>
      <c r="J16" s="24">
        <f>H16/'- 7 -'!$F16</f>
        <v>76.762814070351766</v>
      </c>
    </row>
    <row r="17" spans="1:10" ht="14.1" customHeight="1">
      <c r="A17" s="360" t="s">
        <v>235</v>
      </c>
      <c r="B17" s="361">
        <v>136600</v>
      </c>
      <c r="C17" s="362">
        <f>B17/'- 3 -'!$D17*100</f>
        <v>0.82859821199909689</v>
      </c>
      <c r="D17" s="361">
        <f>B17/'- 7 -'!$F17</f>
        <v>105.03652441368705</v>
      </c>
      <c r="E17" s="361">
        <v>116517</v>
      </c>
      <c r="F17" s="362">
        <f>E17/'- 3 -'!$D17*100</f>
        <v>0.7067772903916455</v>
      </c>
      <c r="G17" s="361">
        <f>E17/'- 7 -'!$F17</f>
        <v>89.594002306805081</v>
      </c>
      <c r="H17" s="361">
        <v>260778</v>
      </c>
      <c r="I17" s="362">
        <f>H17/'- 3 -'!$D17*100</f>
        <v>1.5818461532115702</v>
      </c>
      <c r="J17" s="361">
        <f>H17/'- 7 -'!$F17</f>
        <v>200.52133794694348</v>
      </c>
    </row>
    <row r="18" spans="1:10" ht="14.1" customHeight="1">
      <c r="A18" s="23" t="s">
        <v>236</v>
      </c>
      <c r="B18" s="24">
        <v>402011</v>
      </c>
      <c r="C18" s="353">
        <f>B18/'- 3 -'!$D18*100</f>
        <v>0.3372939763872318</v>
      </c>
      <c r="D18" s="24">
        <f>B18/'- 7 -'!$F18</f>
        <v>64.502366626554348</v>
      </c>
      <c r="E18" s="24">
        <v>0</v>
      </c>
      <c r="F18" s="353">
        <f>E18/'- 3 -'!$D18*100</f>
        <v>0</v>
      </c>
      <c r="G18" s="24">
        <f>E18/'- 7 -'!$F18</f>
        <v>0</v>
      </c>
      <c r="H18" s="24">
        <v>1379528</v>
      </c>
      <c r="I18" s="353">
        <f>H18/'- 3 -'!$D18*100</f>
        <v>1.1574471461167111</v>
      </c>
      <c r="J18" s="24">
        <f>H18/'- 7 -'!$F18</f>
        <v>221.34424388287204</v>
      </c>
    </row>
    <row r="19" spans="1:10" ht="14.1" customHeight="1">
      <c r="A19" s="360" t="s">
        <v>237</v>
      </c>
      <c r="B19" s="361">
        <v>371000</v>
      </c>
      <c r="C19" s="362">
        <f>B19/'- 3 -'!$D19*100</f>
        <v>0.85466157417373978</v>
      </c>
      <c r="D19" s="361">
        <f>B19/'- 7 -'!$F19</f>
        <v>88.144452363981941</v>
      </c>
      <c r="E19" s="361">
        <v>232500</v>
      </c>
      <c r="F19" s="362">
        <f>E19/'- 3 -'!$D19*100</f>
        <v>0.53560327761561866</v>
      </c>
      <c r="G19" s="361">
        <f>E19/'- 7 -'!$F19</f>
        <v>55.238774055595151</v>
      </c>
      <c r="H19" s="361">
        <v>1043500</v>
      </c>
      <c r="I19" s="362">
        <f>H19/'- 3 -'!$D19*100</f>
        <v>2.4038796567393463</v>
      </c>
      <c r="J19" s="361">
        <f>H19/'- 7 -'!$F19</f>
        <v>247.92112140650985</v>
      </c>
    </row>
    <row r="20" spans="1:10" ht="14.1" customHeight="1">
      <c r="A20" s="23" t="s">
        <v>238</v>
      </c>
      <c r="B20" s="24">
        <v>532100</v>
      </c>
      <c r="C20" s="353">
        <f>B20/'- 3 -'!$D20*100</f>
        <v>0.74863315709055911</v>
      </c>
      <c r="D20" s="24">
        <f>B20/'- 7 -'!$F20</f>
        <v>70.574971815107105</v>
      </c>
      <c r="E20" s="24">
        <v>174400</v>
      </c>
      <c r="F20" s="353">
        <f>E20/'- 3 -'!$D20*100</f>
        <v>0.24537046156097261</v>
      </c>
      <c r="G20" s="24">
        <f>E20/'- 7 -'!$F20</f>
        <v>23.131507394389548</v>
      </c>
      <c r="H20" s="24">
        <v>1315200</v>
      </c>
      <c r="I20" s="353">
        <f>H20/'- 3 -'!$D20*100</f>
        <v>1.8504084348910044</v>
      </c>
      <c r="J20" s="24">
        <f>H20/'- 7 -'!$F20</f>
        <v>174.4412759466808</v>
      </c>
    </row>
    <row r="21" spans="1:10" ht="14.1" customHeight="1">
      <c r="A21" s="360" t="s">
        <v>239</v>
      </c>
      <c r="B21" s="361">
        <v>425314</v>
      </c>
      <c r="C21" s="362">
        <f>B21/'- 3 -'!$D21*100</f>
        <v>1.2491546162556217</v>
      </c>
      <c r="D21" s="361">
        <f>B21/'- 7 -'!$F21</f>
        <v>158.10929368029738</v>
      </c>
      <c r="E21" s="361">
        <v>161464</v>
      </c>
      <c r="F21" s="362">
        <f>E21/'- 3 -'!$D21*100</f>
        <v>0.47422257663537459</v>
      </c>
      <c r="G21" s="361">
        <f>E21/'- 7 -'!$F21</f>
        <v>60.023791821561339</v>
      </c>
      <c r="H21" s="361">
        <v>568772</v>
      </c>
      <c r="I21" s="362">
        <f>H21/'- 3 -'!$D21*100</f>
        <v>1.6704932576800728</v>
      </c>
      <c r="J21" s="361">
        <f>H21/'- 7 -'!$F21</f>
        <v>211.43940520446097</v>
      </c>
    </row>
    <row r="22" spans="1:10" ht="14.1" customHeight="1">
      <c r="A22" s="23" t="s">
        <v>240</v>
      </c>
      <c r="B22" s="24">
        <v>130000</v>
      </c>
      <c r="C22" s="353">
        <f>B22/'- 3 -'!$D22*100</f>
        <v>0.6528397877929204</v>
      </c>
      <c r="D22" s="24">
        <f>B22/'- 7 -'!$F22</f>
        <v>80.296479308214941</v>
      </c>
      <c r="E22" s="24">
        <v>84700</v>
      </c>
      <c r="F22" s="353">
        <f>E22/'- 3 -'!$D22*100</f>
        <v>0.42535023096969504</v>
      </c>
      <c r="G22" s="24">
        <f>E22/'- 7 -'!$F22</f>
        <v>52.316244595429275</v>
      </c>
      <c r="H22" s="24">
        <v>106460</v>
      </c>
      <c r="I22" s="353">
        <f>H22/'- 3 -'!$D22*100</f>
        <v>0.53462556775718695</v>
      </c>
      <c r="J22" s="24">
        <f>H22/'- 7 -'!$F22</f>
        <v>65.756639901173557</v>
      </c>
    </row>
    <row r="23" spans="1:10" ht="14.1" customHeight="1">
      <c r="A23" s="360" t="s">
        <v>241</v>
      </c>
      <c r="B23" s="361">
        <v>93500</v>
      </c>
      <c r="C23" s="362">
        <f>B23/'- 3 -'!$D23*100</f>
        <v>0.5835004786576119</v>
      </c>
      <c r="D23" s="361">
        <f>B23/'- 7 -'!$F23</f>
        <v>79.103214890016915</v>
      </c>
      <c r="E23" s="361">
        <v>24000</v>
      </c>
      <c r="F23" s="362">
        <f>E23/'- 3 -'!$D23*100</f>
        <v>0.14977552393350466</v>
      </c>
      <c r="G23" s="361">
        <f>E23/'- 7 -'!$F23</f>
        <v>20.304568527918782</v>
      </c>
      <c r="H23" s="361">
        <v>188000</v>
      </c>
      <c r="I23" s="362">
        <f>H23/'- 3 -'!$D23*100</f>
        <v>1.1732416041457865</v>
      </c>
      <c r="J23" s="361">
        <f>H23/'- 7 -'!$F23</f>
        <v>159.05245346869711</v>
      </c>
    </row>
    <row r="24" spans="1:10" ht="14.1" customHeight="1">
      <c r="A24" s="23" t="s">
        <v>242</v>
      </c>
      <c r="B24" s="24">
        <v>431445</v>
      </c>
      <c r="C24" s="353">
        <f>B24/'- 3 -'!$D24*100</f>
        <v>0.81763775659734439</v>
      </c>
      <c r="D24" s="24">
        <f>B24/'- 7 -'!$F24</f>
        <v>102.81067556296914</v>
      </c>
      <c r="E24" s="24">
        <v>324835</v>
      </c>
      <c r="F24" s="353">
        <f>E24/'- 3 -'!$D24*100</f>
        <v>0.61559957970146439</v>
      </c>
      <c r="G24" s="24">
        <f>E24/'- 7 -'!$F24</f>
        <v>77.406171809841538</v>
      </c>
      <c r="H24" s="24">
        <v>841050</v>
      </c>
      <c r="I24" s="353">
        <f>H24/'- 3 -'!$D24*100</f>
        <v>1.5938862084070888</v>
      </c>
      <c r="J24" s="24">
        <f>H24/'- 7 -'!$F24</f>
        <v>200.41701417848208</v>
      </c>
    </row>
    <row r="25" spans="1:10" ht="14.1" customHeight="1">
      <c r="A25" s="360" t="s">
        <v>243</v>
      </c>
      <c r="B25" s="361">
        <v>985973</v>
      </c>
      <c r="C25" s="362">
        <f>B25/'- 3 -'!$D25*100</f>
        <v>0.63671848777930362</v>
      </c>
      <c r="D25" s="361">
        <f>B25/'- 7 -'!$F25</f>
        <v>71.411095820960384</v>
      </c>
      <c r="E25" s="361">
        <v>929500</v>
      </c>
      <c r="F25" s="362">
        <f>E25/'- 3 -'!$D25*100</f>
        <v>0.60024953461287767</v>
      </c>
      <c r="G25" s="361">
        <f>E25/'- 7 -'!$F25</f>
        <v>67.320924168899836</v>
      </c>
      <c r="H25" s="361">
        <v>1354850</v>
      </c>
      <c r="I25" s="362">
        <f>H25/'- 3 -'!$D25*100</f>
        <v>0.87493069604115892</v>
      </c>
      <c r="J25" s="361">
        <f>H25/'- 7 -'!$F25</f>
        <v>98.127761280509887</v>
      </c>
    </row>
    <row r="26" spans="1:10" ht="14.1" customHeight="1">
      <c r="A26" s="23" t="s">
        <v>244</v>
      </c>
      <c r="B26" s="24">
        <v>268046</v>
      </c>
      <c r="C26" s="353">
        <f>B26/'- 3 -'!$D26*100</f>
        <v>0.70644463970245441</v>
      </c>
      <c r="D26" s="24">
        <f>B26/'- 7 -'!$F26</f>
        <v>86.788408612595106</v>
      </c>
      <c r="E26" s="24">
        <v>445709</v>
      </c>
      <c r="F26" s="353">
        <f>E26/'- 3 -'!$D26*100</f>
        <v>1.1746817110389309</v>
      </c>
      <c r="G26" s="24">
        <f>E26/'- 7 -'!$F26</f>
        <v>144.31244940909826</v>
      </c>
      <c r="H26" s="24">
        <v>478411</v>
      </c>
      <c r="I26" s="353">
        <f>H26/'- 3 -'!$D26*100</f>
        <v>1.2608689796702466</v>
      </c>
      <c r="J26" s="24">
        <f>H26/'- 7 -'!$F26</f>
        <v>154.90076088716205</v>
      </c>
    </row>
    <row r="27" spans="1:10" ht="14.1" customHeight="1">
      <c r="A27" s="360" t="s">
        <v>245</v>
      </c>
      <c r="B27" s="361">
        <v>233100</v>
      </c>
      <c r="C27" s="362">
        <f>B27/'- 3 -'!$D27*100</f>
        <v>0.60581024261127869</v>
      </c>
      <c r="D27" s="361">
        <f>B27/'- 7 -'!$F27</f>
        <v>84.732824427480921</v>
      </c>
      <c r="E27" s="361">
        <v>164550</v>
      </c>
      <c r="F27" s="362">
        <f>E27/'- 3 -'!$D27*100</f>
        <v>0.42765369121272373</v>
      </c>
      <c r="G27" s="361">
        <f>E27/'- 7 -'!$F27</f>
        <v>59.81461286804798</v>
      </c>
      <c r="H27" s="361">
        <v>339200</v>
      </c>
      <c r="I27" s="362">
        <f>H27/'- 3 -'!$D27*100</f>
        <v>0.88155656067672983</v>
      </c>
      <c r="J27" s="361">
        <f>H27/'- 7 -'!$F27</f>
        <v>123.30061795710651</v>
      </c>
    </row>
    <row r="28" spans="1:10" ht="14.1" customHeight="1">
      <c r="A28" s="23" t="s">
        <v>246</v>
      </c>
      <c r="B28" s="24">
        <v>159975</v>
      </c>
      <c r="C28" s="353">
        <f>B28/'- 3 -'!$D28*100</f>
        <v>0.61356448692201537</v>
      </c>
      <c r="D28" s="24">
        <f>B28/'- 7 -'!$F28</f>
        <v>81</v>
      </c>
      <c r="E28" s="24">
        <v>197500</v>
      </c>
      <c r="F28" s="353">
        <f>E28/'- 3 -'!$D28*100</f>
        <v>0.75748702089137698</v>
      </c>
      <c r="G28" s="24">
        <f>E28/'- 7 -'!$F28</f>
        <v>100</v>
      </c>
      <c r="H28" s="24">
        <v>367150</v>
      </c>
      <c r="I28" s="353">
        <f>H28/'- 3 -'!$D28*100</f>
        <v>1.4081587833937674</v>
      </c>
      <c r="J28" s="24">
        <f>H28/'- 7 -'!$F28</f>
        <v>185.8987341772152</v>
      </c>
    </row>
    <row r="29" spans="1:10" ht="14.1" customHeight="1">
      <c r="A29" s="360" t="s">
        <v>247</v>
      </c>
      <c r="B29" s="361">
        <v>1041917</v>
      </c>
      <c r="C29" s="362">
        <f>B29/'- 3 -'!$D29*100</f>
        <v>0.7336568801975184</v>
      </c>
      <c r="D29" s="361">
        <f>B29/'- 7 -'!$F29</f>
        <v>86.197890382626682</v>
      </c>
      <c r="E29" s="361">
        <v>479500</v>
      </c>
      <c r="F29" s="362">
        <f>E29/'- 3 -'!$D29*100</f>
        <v>0.33763579445839742</v>
      </c>
      <c r="G29" s="361">
        <f>E29/'- 7 -'!$F29</f>
        <v>39.669079627714581</v>
      </c>
      <c r="H29" s="361">
        <v>897100</v>
      </c>
      <c r="I29" s="362">
        <f>H29/'- 3 -'!$D29*100</f>
        <v>0.63168523713999647</v>
      </c>
      <c r="J29" s="361">
        <f>H29/'- 7 -'!$F29</f>
        <v>74.217166494312309</v>
      </c>
    </row>
    <row r="30" spans="1:10" ht="14.1" customHeight="1">
      <c r="A30" s="23" t="s">
        <v>248</v>
      </c>
      <c r="B30" s="24">
        <v>154000</v>
      </c>
      <c r="C30" s="353">
        <f>B30/'- 3 -'!$D30*100</f>
        <v>1.1445330450100999</v>
      </c>
      <c r="D30" s="24">
        <f>B30/'- 7 -'!$F30</f>
        <v>143.92523364485982</v>
      </c>
      <c r="E30" s="24">
        <v>86600</v>
      </c>
      <c r="F30" s="353">
        <f>E30/'- 3 -'!$D30*100</f>
        <v>0.64361403699918596</v>
      </c>
      <c r="G30" s="24">
        <f>E30/'- 7 -'!$F30</f>
        <v>80.934579439252332</v>
      </c>
      <c r="H30" s="24">
        <v>109052</v>
      </c>
      <c r="I30" s="353">
        <f>H30/'- 3 -'!$D30*100</f>
        <v>0.81047803652234662</v>
      </c>
      <c r="J30" s="24">
        <f>H30/'- 7 -'!$F30</f>
        <v>101.91775700934579</v>
      </c>
    </row>
    <row r="31" spans="1:10" ht="14.1" customHeight="1">
      <c r="A31" s="360" t="s">
        <v>249</v>
      </c>
      <c r="B31" s="361">
        <v>209916</v>
      </c>
      <c r="C31" s="362">
        <f>B31/'- 3 -'!$D31*100</f>
        <v>0.62427931940480708</v>
      </c>
      <c r="D31" s="361">
        <f>B31/'- 7 -'!$F31</f>
        <v>65.804388714733548</v>
      </c>
      <c r="E31" s="361">
        <v>143700</v>
      </c>
      <c r="F31" s="362">
        <f>E31/'- 3 -'!$D31*100</f>
        <v>0.42735636253773307</v>
      </c>
      <c r="G31" s="361">
        <f>E31/'- 7 -'!$F31</f>
        <v>45.047021943573668</v>
      </c>
      <c r="H31" s="361">
        <v>211245</v>
      </c>
      <c r="I31" s="362">
        <f>H31/'- 3 -'!$D31*100</f>
        <v>0.62823169661992639</v>
      </c>
      <c r="J31" s="361">
        <f>H31/'- 7 -'!$F31</f>
        <v>66.221003134796234</v>
      </c>
    </row>
    <row r="32" spans="1:10" ht="14.1" customHeight="1">
      <c r="A32" s="23" t="s">
        <v>250</v>
      </c>
      <c r="B32" s="24">
        <v>255000</v>
      </c>
      <c r="C32" s="353">
        <f>B32/'- 3 -'!$D32*100</f>
        <v>0.99830804403736439</v>
      </c>
      <c r="D32" s="24">
        <f>B32/'- 7 -'!$F32</f>
        <v>124.66389635785872</v>
      </c>
      <c r="E32" s="24">
        <v>145800</v>
      </c>
      <c r="F32" s="353">
        <f>E32/'- 3 -'!$D32*100</f>
        <v>0.57079730517901073</v>
      </c>
      <c r="G32" s="24">
        <f>E32/'- 7 -'!$F32</f>
        <v>71.278416035199214</v>
      </c>
      <c r="H32" s="24">
        <v>183150</v>
      </c>
      <c r="I32" s="353">
        <f>H32/'- 3 -'!$D32*100</f>
        <v>0.71702007162918935</v>
      </c>
      <c r="J32" s="24">
        <f>H32/'- 7 -'!$F32</f>
        <v>89.538010266438519</v>
      </c>
    </row>
    <row r="33" spans="1:10" ht="14.1" customHeight="1">
      <c r="A33" s="360" t="s">
        <v>251</v>
      </c>
      <c r="B33" s="361">
        <v>256900</v>
      </c>
      <c r="C33" s="362">
        <f>B33/'- 3 -'!$D33*100</f>
        <v>0.97817105999626863</v>
      </c>
      <c r="D33" s="361">
        <f>B33/'- 7 -'!$F33</f>
        <v>126.80157946692991</v>
      </c>
      <c r="E33" s="361">
        <v>41300</v>
      </c>
      <c r="F33" s="362">
        <f>E33/'- 3 -'!$D33*100</f>
        <v>0.15725365814653908</v>
      </c>
      <c r="G33" s="361">
        <f>E33/'- 7 -'!$F33</f>
        <v>20.384995064165842</v>
      </c>
      <c r="H33" s="361">
        <v>728000</v>
      </c>
      <c r="I33" s="362">
        <f>H33/'- 3 -'!$D33*100</f>
        <v>2.771928889362723</v>
      </c>
      <c r="J33" s="361">
        <f>H33/'- 7 -'!$F33</f>
        <v>359.32872655478775</v>
      </c>
    </row>
    <row r="34" spans="1:10" ht="14.1" customHeight="1">
      <c r="A34" s="23" t="s">
        <v>252</v>
      </c>
      <c r="B34" s="24">
        <v>128500</v>
      </c>
      <c r="C34" s="353">
        <f>B34/'- 3 -'!$D34*100</f>
        <v>0.50307116135367402</v>
      </c>
      <c r="D34" s="24">
        <f>B34/'- 7 -'!$F34</f>
        <v>63.791656944851248</v>
      </c>
      <c r="E34" s="24">
        <v>108039</v>
      </c>
      <c r="F34" s="353">
        <f>E34/'- 3 -'!$D34*100</f>
        <v>0.42296735565361548</v>
      </c>
      <c r="G34" s="24">
        <f>E34/'- 7 -'!$F34</f>
        <v>53.634138713344619</v>
      </c>
      <c r="H34" s="24">
        <v>308245</v>
      </c>
      <c r="I34" s="353">
        <f>H34/'- 3 -'!$D34*100</f>
        <v>1.2067639698946557</v>
      </c>
      <c r="J34" s="24">
        <f>H34/'- 7 -'!$F34</f>
        <v>153.02302953280679</v>
      </c>
    </row>
    <row r="35" spans="1:10" ht="14.1" customHeight="1">
      <c r="A35" s="360" t="s">
        <v>253</v>
      </c>
      <c r="B35" s="361">
        <v>676000</v>
      </c>
      <c r="C35" s="362">
        <f>B35/'- 3 -'!$D35*100</f>
        <v>0.40346727360558998</v>
      </c>
      <c r="D35" s="361">
        <f>B35/'- 7 -'!$F35</f>
        <v>42.824110734534855</v>
      </c>
      <c r="E35" s="361">
        <v>196400</v>
      </c>
      <c r="F35" s="362">
        <f>E35/'- 3 -'!$D35*100</f>
        <v>0.11722037357416845</v>
      </c>
      <c r="G35" s="361">
        <f>E35/'- 7 -'!$F35</f>
        <v>12.441797852459535</v>
      </c>
      <c r="H35" s="361">
        <v>523356</v>
      </c>
      <c r="I35" s="362">
        <f>H35/'- 3 -'!$D35*100</f>
        <v>0.31236245332119394</v>
      </c>
      <c r="J35" s="361">
        <f>H35/'- 7 -'!$F35</f>
        <v>33.154223812992939</v>
      </c>
    </row>
    <row r="36" spans="1:10" ht="14.1" customHeight="1">
      <c r="A36" s="23" t="s">
        <v>254</v>
      </c>
      <c r="B36" s="24">
        <v>155300</v>
      </c>
      <c r="C36" s="353">
        <f>B36/'- 3 -'!$D36*100</f>
        <v>0.72003519966024354</v>
      </c>
      <c r="D36" s="24">
        <f>B36/'- 7 -'!$F36</f>
        <v>92.52308608876973</v>
      </c>
      <c r="E36" s="24">
        <v>256250</v>
      </c>
      <c r="F36" s="353">
        <f>E36/'- 3 -'!$D36*100</f>
        <v>1.1880812615127971</v>
      </c>
      <c r="G36" s="24">
        <f>E36/'- 7 -'!$F36</f>
        <v>152.6660708966339</v>
      </c>
      <c r="H36" s="24">
        <v>202000</v>
      </c>
      <c r="I36" s="353">
        <f>H36/'- 3 -'!$D36*100</f>
        <v>0.93655576517301475</v>
      </c>
      <c r="J36" s="24">
        <f>H36/'- 7 -'!$F36</f>
        <v>120.34554661900506</v>
      </c>
    </row>
    <row r="37" spans="1:10" ht="14.1" customHeight="1">
      <c r="A37" s="360" t="s">
        <v>255</v>
      </c>
      <c r="B37" s="361">
        <v>218000</v>
      </c>
      <c r="C37" s="362">
        <f>B37/'- 3 -'!$D37*100</f>
        <v>0.5232203009476768</v>
      </c>
      <c r="D37" s="361">
        <f>B37/'- 7 -'!$F37</f>
        <v>58.468553037414509</v>
      </c>
      <c r="E37" s="361">
        <v>259663</v>
      </c>
      <c r="F37" s="362">
        <f>E37/'- 3 -'!$D37*100</f>
        <v>0.62321538075677341</v>
      </c>
      <c r="G37" s="361">
        <f>E37/'- 7 -'!$F37</f>
        <v>69.642751776853956</v>
      </c>
      <c r="H37" s="361">
        <v>392616</v>
      </c>
      <c r="I37" s="362">
        <f>H37/'- 3 -'!$D37*100</f>
        <v>0.94231496182051866</v>
      </c>
      <c r="J37" s="361">
        <f>H37/'- 7 -'!$F37</f>
        <v>105.30132761164008</v>
      </c>
    </row>
    <row r="38" spans="1:10" ht="14.1" customHeight="1">
      <c r="A38" s="23" t="s">
        <v>256</v>
      </c>
      <c r="B38" s="24">
        <v>259920</v>
      </c>
      <c r="C38" s="353">
        <f>B38/'- 3 -'!$D38*100</f>
        <v>0.22158972039217081</v>
      </c>
      <c r="D38" s="24">
        <f>B38/'- 7 -'!$F38</f>
        <v>24.632297194844579</v>
      </c>
      <c r="E38" s="24">
        <v>445600</v>
      </c>
      <c r="F38" s="353">
        <f>E38/'- 3 -'!$D38*100</f>
        <v>0.37988757851166255</v>
      </c>
      <c r="G38" s="24">
        <f>E38/'- 7 -'!$F38</f>
        <v>42.228961334344199</v>
      </c>
      <c r="H38" s="24">
        <v>1181250</v>
      </c>
      <c r="I38" s="353">
        <f>H38/'- 3 -'!$D38*100</f>
        <v>1.0070516205495992</v>
      </c>
      <c r="J38" s="24">
        <f>H38/'- 7 -'!$F38</f>
        <v>111.94560272934041</v>
      </c>
    </row>
    <row r="39" spans="1:10" ht="14.1" customHeight="1">
      <c r="A39" s="360" t="s">
        <v>257</v>
      </c>
      <c r="B39" s="361">
        <v>297000</v>
      </c>
      <c r="C39" s="362">
        <f>B39/'- 3 -'!$D39*100</f>
        <v>1.4453276353359541</v>
      </c>
      <c r="D39" s="361">
        <f>B39/'- 7 -'!$F39</f>
        <v>187.61844598862919</v>
      </c>
      <c r="E39" s="361">
        <v>100150</v>
      </c>
      <c r="F39" s="362">
        <f>E39/'- 3 -'!$D39*100</f>
        <v>0.48737226491210706</v>
      </c>
      <c r="G39" s="361">
        <f>E39/'- 7 -'!$F39</f>
        <v>63.265950726468731</v>
      </c>
      <c r="H39" s="361">
        <v>91500</v>
      </c>
      <c r="I39" s="362">
        <f>H39/'- 3 -'!$D39*100</f>
        <v>0.44527770583582427</v>
      </c>
      <c r="J39" s="361">
        <f>H39/'- 7 -'!$F39</f>
        <v>57.801642451042326</v>
      </c>
    </row>
    <row r="40" spans="1:10" ht="14.1" customHeight="1">
      <c r="A40" s="23" t="s">
        <v>258</v>
      </c>
      <c r="B40" s="24">
        <v>740286</v>
      </c>
      <c r="C40" s="353">
        <f>B40/'- 3 -'!$D40*100</f>
        <v>0.76143560490440043</v>
      </c>
      <c r="D40" s="24">
        <f>B40/'- 7 -'!$F40</f>
        <v>92.736292231951609</v>
      </c>
      <c r="E40" s="24">
        <v>403263</v>
      </c>
      <c r="F40" s="353">
        <f>E40/'- 3 -'!$D40*100</f>
        <v>0.41478402447238399</v>
      </c>
      <c r="G40" s="24">
        <f>E40/'- 7 -'!$F40</f>
        <v>50.517118268255111</v>
      </c>
      <c r="H40" s="24">
        <v>1190209</v>
      </c>
      <c r="I40" s="353">
        <f>H40/'- 3 -'!$D40*100</f>
        <v>1.2242126825006301</v>
      </c>
      <c r="J40" s="24">
        <f>H40/'- 7 -'!$F40</f>
        <v>149.09855061570647</v>
      </c>
    </row>
    <row r="41" spans="1:10" ht="14.1" customHeight="1">
      <c r="A41" s="360" t="s">
        <v>259</v>
      </c>
      <c r="B41" s="361">
        <v>405881</v>
      </c>
      <c r="C41" s="362">
        <f>B41/'- 3 -'!$D41*100</f>
        <v>0.70368682234031987</v>
      </c>
      <c r="D41" s="361">
        <f>B41/'- 7 -'!$F41</f>
        <v>91.270744322014835</v>
      </c>
      <c r="E41" s="361">
        <v>417694</v>
      </c>
      <c r="F41" s="362">
        <f>E41/'- 3 -'!$D41*100</f>
        <v>0.72416733863033145</v>
      </c>
      <c r="G41" s="361">
        <f>E41/'- 7 -'!$F41</f>
        <v>93.927141893411289</v>
      </c>
      <c r="H41" s="361">
        <v>426527</v>
      </c>
      <c r="I41" s="362">
        <f>H41/'- 3 -'!$D41*100</f>
        <v>0.7394813486523133</v>
      </c>
      <c r="J41" s="361">
        <f>H41/'- 7 -'!$F41</f>
        <v>95.913424780751072</v>
      </c>
    </row>
    <row r="42" spans="1:10" ht="14.1" customHeight="1">
      <c r="A42" s="23" t="s">
        <v>260</v>
      </c>
      <c r="B42" s="24">
        <v>142103</v>
      </c>
      <c r="C42" s="353">
        <f>B42/'- 3 -'!$D42*100</f>
        <v>0.70432954273918735</v>
      </c>
      <c r="D42" s="24">
        <f>B42/'- 7 -'!$F42</f>
        <v>101.57469621157971</v>
      </c>
      <c r="E42" s="24">
        <v>148725</v>
      </c>
      <c r="F42" s="353">
        <f>E42/'- 3 -'!$D42*100</f>
        <v>0.73715130042212784</v>
      </c>
      <c r="G42" s="24">
        <f>E42/'- 7 -'!$F42</f>
        <v>106.30807719799857</v>
      </c>
      <c r="H42" s="24">
        <v>161850</v>
      </c>
      <c r="I42" s="353">
        <f>H42/'- 3 -'!$D42*100</f>
        <v>0.80220499561823089</v>
      </c>
      <c r="J42" s="24">
        <f>H42/'- 7 -'!$F42</f>
        <v>115.68977841315225</v>
      </c>
    </row>
    <row r="43" spans="1:10" ht="14.1" customHeight="1">
      <c r="A43" s="360" t="s">
        <v>261</v>
      </c>
      <c r="B43" s="361">
        <v>40994</v>
      </c>
      <c r="C43" s="362">
        <f>B43/'- 3 -'!$D43*100</f>
        <v>0.34287473120123252</v>
      </c>
      <c r="D43" s="361">
        <f>B43/'- 7 -'!$F43</f>
        <v>42.458829621957534</v>
      </c>
      <c r="E43" s="361">
        <v>53295</v>
      </c>
      <c r="F43" s="362">
        <f>E43/'- 3 -'!$D43*100</f>
        <v>0.445760569824113</v>
      </c>
      <c r="G43" s="361">
        <f>E43/'- 7 -'!$F43</f>
        <v>55.199378560331432</v>
      </c>
      <c r="H43" s="361">
        <v>136372</v>
      </c>
      <c r="I43" s="362">
        <f>H43/'- 3 -'!$D43*100</f>
        <v>1.1406184525387735</v>
      </c>
      <c r="J43" s="361">
        <f>H43/'- 7 -'!$F43</f>
        <v>141.2449508026929</v>
      </c>
    </row>
    <row r="44" spans="1:10" ht="14.1" customHeight="1">
      <c r="A44" s="23" t="s">
        <v>262</v>
      </c>
      <c r="B44" s="24">
        <v>130528</v>
      </c>
      <c r="C44" s="353">
        <f>B44/'- 3 -'!$D44*100</f>
        <v>1.2385756418075073</v>
      </c>
      <c r="D44" s="24">
        <f>B44/'- 7 -'!$F44</f>
        <v>173.34395750332004</v>
      </c>
      <c r="E44" s="24">
        <v>122590</v>
      </c>
      <c r="F44" s="353">
        <f>E44/'- 3 -'!$D44*100</f>
        <v>1.163252236525361</v>
      </c>
      <c r="G44" s="24">
        <f>E44/'- 7 -'!$F44</f>
        <v>162.80212483399734</v>
      </c>
      <c r="H44" s="24">
        <v>181727</v>
      </c>
      <c r="I44" s="353">
        <f>H44/'- 3 -'!$D44*100</f>
        <v>1.724401168015697</v>
      </c>
      <c r="J44" s="24">
        <f>H44/'- 7 -'!$F44</f>
        <v>241.33731739707835</v>
      </c>
    </row>
    <row r="45" spans="1:10" ht="14.1" customHeight="1">
      <c r="A45" s="360" t="s">
        <v>263</v>
      </c>
      <c r="B45" s="361">
        <v>165115</v>
      </c>
      <c r="C45" s="362">
        <f>B45/'- 3 -'!$D45*100</f>
        <v>0.97515822586699685</v>
      </c>
      <c r="D45" s="361">
        <f>B45/'- 7 -'!$F45</f>
        <v>97.991097922848667</v>
      </c>
      <c r="E45" s="361">
        <v>40000</v>
      </c>
      <c r="F45" s="362">
        <f>E45/'- 3 -'!$D45*100</f>
        <v>0.23623734387959833</v>
      </c>
      <c r="G45" s="361">
        <f>E45/'- 7 -'!$F45</f>
        <v>23.73887240356083</v>
      </c>
      <c r="H45" s="361">
        <v>125100</v>
      </c>
      <c r="I45" s="362">
        <f>H45/'- 3 -'!$D45*100</f>
        <v>0.73883229298344377</v>
      </c>
      <c r="J45" s="361">
        <f>H45/'- 7 -'!$F45</f>
        <v>74.2433234421365</v>
      </c>
    </row>
    <row r="46" spans="1:10" ht="14.1" customHeight="1">
      <c r="A46" s="23" t="s">
        <v>264</v>
      </c>
      <c r="B46" s="24">
        <v>816300</v>
      </c>
      <c r="C46" s="353">
        <f>B46/'- 3 -'!$D46*100</f>
        <v>0.22633618201388464</v>
      </c>
      <c r="D46" s="24">
        <f>B46/'- 7 -'!$F46</f>
        <v>26.90507580751483</v>
      </c>
      <c r="E46" s="24">
        <v>1127000</v>
      </c>
      <c r="F46" s="353">
        <f>E46/'- 3 -'!$D46*100</f>
        <v>0.31248423022130095</v>
      </c>
      <c r="G46" s="24">
        <f>E46/'- 7 -'!$F46</f>
        <v>37.145682267633489</v>
      </c>
      <c r="H46" s="24">
        <v>2382600</v>
      </c>
      <c r="I46" s="353">
        <f>H46/'- 3 -'!$D46*100</f>
        <v>0.66062548972961099</v>
      </c>
      <c r="J46" s="24">
        <f>H46/'- 7 -'!$F46</f>
        <v>78.529993408042188</v>
      </c>
    </row>
    <row r="47" spans="1:10" ht="5.0999999999999996" customHeight="1">
      <c r="A47"/>
      <c r="B47"/>
      <c r="C47"/>
      <c r="D47"/>
      <c r="E47"/>
      <c r="F47"/>
      <c r="G47"/>
      <c r="H47"/>
      <c r="I47"/>
      <c r="J47"/>
    </row>
    <row r="48" spans="1:10" ht="14.1" customHeight="1">
      <c r="A48" s="363" t="s">
        <v>265</v>
      </c>
      <c r="B48" s="364">
        <f>SUM(B11:B46)</f>
        <v>11622300</v>
      </c>
      <c r="C48" s="365">
        <f>B48/'- 3 -'!$D48*100</f>
        <v>0.55817610036841081</v>
      </c>
      <c r="D48" s="364">
        <f>B48/'- 7 -'!$F48</f>
        <v>66.969101201287017</v>
      </c>
      <c r="E48" s="364">
        <f>SUM(E11:E46)</f>
        <v>8528696</v>
      </c>
      <c r="F48" s="365">
        <f>E48/'- 3 -'!$D48*100</f>
        <v>0.40960173756551316</v>
      </c>
      <c r="G48" s="364">
        <f>E48/'- 7 -'!$F48</f>
        <v>49.143380014197867</v>
      </c>
      <c r="H48" s="364">
        <f>SUM(H11:H46)</f>
        <v>20160916</v>
      </c>
      <c r="I48" s="365">
        <f>H48/'- 3 -'!$D48*100</f>
        <v>0.96825425885884031</v>
      </c>
      <c r="J48" s="364">
        <f>H48/'- 7 -'!$F48</f>
        <v>116.16964145777055</v>
      </c>
    </row>
    <row r="49" spans="1:10" ht="5.0999999999999996" customHeight="1">
      <c r="A49" s="25" t="s">
        <v>3</v>
      </c>
      <c r="B49" s="26"/>
      <c r="C49" s="351"/>
      <c r="D49" s="26"/>
      <c r="E49" s="26"/>
      <c r="F49" s="351"/>
      <c r="H49" s="26"/>
      <c r="I49" s="351"/>
      <c r="J49" s="26"/>
    </row>
    <row r="50" spans="1:10" ht="14.1" customHeight="1">
      <c r="A50" s="23" t="s">
        <v>266</v>
      </c>
      <c r="B50" s="24">
        <v>0</v>
      </c>
      <c r="C50" s="353">
        <f>B50/'- 3 -'!$D50*100</f>
        <v>0</v>
      </c>
      <c r="D50" s="24">
        <f>B50/'- 7 -'!$F50</f>
        <v>0</v>
      </c>
      <c r="E50" s="24">
        <v>30000</v>
      </c>
      <c r="F50" s="353">
        <f>E50/'- 3 -'!$D50*100</f>
        <v>0.91414613722978988</v>
      </c>
      <c r="G50" s="24">
        <f>E50/'- 7 -'!$F50</f>
        <v>179.64071856287424</v>
      </c>
      <c r="H50" s="24">
        <v>48027</v>
      </c>
      <c r="I50" s="353">
        <f>H50/'- 3 -'!$D50*100</f>
        <v>1.4634565510911706</v>
      </c>
      <c r="J50" s="24">
        <f>H50/'- 7 -'!$F50</f>
        <v>287.58682634730536</v>
      </c>
    </row>
    <row r="51" spans="1:10" ht="14.1" customHeight="1">
      <c r="A51" s="360" t="s">
        <v>267</v>
      </c>
      <c r="B51" s="361">
        <v>0</v>
      </c>
      <c r="C51" s="362">
        <f>B51/'- 3 -'!$D51*100</f>
        <v>0</v>
      </c>
      <c r="D51" s="361">
        <f>B51/'- 7 -'!$F51</f>
        <v>0</v>
      </c>
      <c r="E51" s="361">
        <v>800</v>
      </c>
      <c r="F51" s="362">
        <f>E51/'- 3 -'!$D51*100</f>
        <v>3.8490532195116973E-3</v>
      </c>
      <c r="G51" s="361">
        <f>E51/'- 7 -'!$F51</f>
        <v>1.288244766505636</v>
      </c>
      <c r="H51" s="361">
        <v>205087</v>
      </c>
      <c r="I51" s="362">
        <f>H51/'- 3 -'!$D51*100</f>
        <v>0.98673847203749432</v>
      </c>
      <c r="J51" s="361">
        <f>H51/'- 7 -'!$F51</f>
        <v>330.25281803542674</v>
      </c>
    </row>
    <row r="52" spans="1:10" ht="50.1" customHeight="1">
      <c r="A52" s="27"/>
      <c r="B52" s="27"/>
      <c r="C52" s="27"/>
      <c r="D52" s="27"/>
      <c r="E52" s="27"/>
      <c r="F52" s="27"/>
      <c r="G52" s="27"/>
      <c r="H52" s="27"/>
      <c r="I52" s="27"/>
      <c r="J52" s="27"/>
    </row>
    <row r="53" spans="1:10" ht="15" customHeight="1">
      <c r="A53" s="1" t="s">
        <v>605</v>
      </c>
    </row>
    <row r="54" spans="1:10" ht="12" customHeight="1">
      <c r="A54" s="155" t="s">
        <v>560</v>
      </c>
    </row>
    <row r="55" spans="1:10">
      <c r="A55" s="1" t="s">
        <v>561</v>
      </c>
    </row>
    <row r="56" spans="1:10" ht="14.45" customHeight="1"/>
    <row r="57" spans="1:10" ht="14.45" customHeight="1"/>
    <row r="58" spans="1:10" ht="14.45" customHeight="1"/>
    <row r="59" spans="1:10"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5.xml><?xml version="1.0" encoding="utf-8"?>
<worksheet xmlns="http://schemas.openxmlformats.org/spreadsheetml/2006/main" xmlns:r="http://schemas.openxmlformats.org/officeDocument/2006/relationships">
  <sheetPr codeName="Sheet53">
    <pageSetUpPr fitToPage="1"/>
  </sheetPr>
  <dimension ref="A1:H54"/>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0.83203125" style="1" customWidth="1"/>
    <col min="5" max="5" width="18.83203125" style="1" customWidth="1"/>
    <col min="6" max="6" width="9.83203125" style="1" customWidth="1"/>
    <col min="7" max="7" width="10.83203125" style="1" customWidth="1"/>
    <col min="8" max="8" width="21.83203125" style="1" customWidth="1"/>
    <col min="9" max="16384" width="15.83203125" style="1"/>
  </cols>
  <sheetData>
    <row r="1" spans="1:8" ht="6.95" customHeight="1">
      <c r="A1" s="3"/>
      <c r="B1" s="3"/>
      <c r="C1" s="3"/>
      <c r="D1" s="3"/>
      <c r="E1" s="4"/>
      <c r="F1" s="4"/>
      <c r="G1" s="4"/>
    </row>
    <row r="2" spans="1:8" ht="15.95" customHeight="1">
      <c r="A2" s="161"/>
      <c r="B2" s="5" t="s">
        <v>559</v>
      </c>
      <c r="C2" s="237"/>
      <c r="D2" s="237"/>
      <c r="E2" s="5"/>
      <c r="F2" s="238"/>
      <c r="G2" s="175"/>
      <c r="H2" s="163"/>
    </row>
    <row r="3" spans="1:8" ht="15.95" customHeight="1">
      <c r="A3" s="164"/>
      <c r="B3" s="7" t="str">
        <f>OPYEAR</f>
        <v>OPERATING FUND 2013/2014 BUDGET</v>
      </c>
      <c r="C3" s="239"/>
      <c r="D3" s="239"/>
      <c r="E3" s="7"/>
      <c r="F3" s="176"/>
      <c r="G3" s="176"/>
      <c r="H3" s="165"/>
    </row>
    <row r="4" spans="1:8" ht="15.95" customHeight="1">
      <c r="E4" s="4"/>
      <c r="F4" s="4"/>
      <c r="G4" s="4"/>
    </row>
    <row r="5" spans="1:8" ht="18" customHeight="1">
      <c r="B5" s="166" t="s">
        <v>482</v>
      </c>
      <c r="C5" s="240"/>
      <c r="D5" s="241"/>
      <c r="E5" s="242"/>
      <c r="F5" s="243"/>
      <c r="G5" s="244"/>
    </row>
    <row r="6" spans="1:8" ht="15.95" customHeight="1">
      <c r="B6" s="424" t="s">
        <v>15</v>
      </c>
      <c r="C6" s="425"/>
      <c r="D6" s="426"/>
      <c r="E6" s="427"/>
      <c r="F6" s="428"/>
      <c r="G6" s="429"/>
    </row>
    <row r="7" spans="1:8" ht="15.95" customHeight="1">
      <c r="B7" s="430" t="s">
        <v>423</v>
      </c>
      <c r="C7" s="431"/>
      <c r="D7" s="432"/>
      <c r="E7" s="430" t="s">
        <v>54</v>
      </c>
      <c r="F7" s="431"/>
      <c r="G7" s="432"/>
    </row>
    <row r="8" spans="1:8" ht="15.95" customHeight="1">
      <c r="A8" s="102"/>
      <c r="B8" s="169"/>
      <c r="C8" s="104"/>
      <c r="D8" s="16" t="s">
        <v>60</v>
      </c>
      <c r="E8" s="169"/>
      <c r="F8" s="170"/>
      <c r="G8" s="16" t="s">
        <v>60</v>
      </c>
    </row>
    <row r="9" spans="1:8" ht="15.95" customHeight="1">
      <c r="A9" s="35" t="s">
        <v>81</v>
      </c>
      <c r="B9" s="113" t="s">
        <v>82</v>
      </c>
      <c r="C9" s="113" t="s">
        <v>83</v>
      </c>
      <c r="D9" s="113" t="s">
        <v>84</v>
      </c>
      <c r="E9" s="113" t="s">
        <v>82</v>
      </c>
      <c r="F9" s="113" t="s">
        <v>83</v>
      </c>
      <c r="G9" s="113" t="s">
        <v>84</v>
      </c>
    </row>
    <row r="10" spans="1:8" ht="5.0999999999999996" customHeight="1">
      <c r="A10" s="37"/>
      <c r="B10" s="37"/>
      <c r="C10" s="37"/>
      <c r="D10" s="37"/>
    </row>
    <row r="11" spans="1:8" ht="14.1" customHeight="1">
      <c r="A11" s="360" t="s">
        <v>230</v>
      </c>
      <c r="B11" s="361">
        <f>'- 27 -'!B11</f>
        <v>0</v>
      </c>
      <c r="C11" s="362">
        <f>'- 27 -'!C11</f>
        <v>0</v>
      </c>
      <c r="D11" s="361">
        <f>'- 27 -'!D11</f>
        <v>0</v>
      </c>
      <c r="E11" s="361">
        <f>SUM('- 38 -'!B11,'- 38 -'!E11,'- 38 -'!H11,B11)</f>
        <v>479479</v>
      </c>
      <c r="F11" s="362">
        <f>E11/'- 3 -'!D11*100</f>
        <v>2.861462563239153</v>
      </c>
      <c r="G11" s="361">
        <f>E11/'- 7 -'!F11</f>
        <v>313.07802807704866</v>
      </c>
    </row>
    <row r="12" spans="1:8" ht="14.1" customHeight="1">
      <c r="A12" s="23" t="s">
        <v>231</v>
      </c>
      <c r="B12" s="24">
        <f>'- 27 -'!B12</f>
        <v>91934</v>
      </c>
      <c r="C12" s="353">
        <f>'- 27 -'!C12</f>
        <v>0.29682554165479319</v>
      </c>
      <c r="D12" s="24">
        <f>'- 27 -'!D12</f>
        <v>40.355559457442602</v>
      </c>
      <c r="E12" s="24">
        <f>SUM('- 38 -'!B12,'- 38 -'!E12,'- 38 -'!H12,B12)</f>
        <v>911634</v>
      </c>
      <c r="F12" s="353">
        <f>E12/'- 3 -'!D12*100</f>
        <v>2.9433752022203512</v>
      </c>
      <c r="G12" s="24">
        <f>E12/'- 7 -'!F12</f>
        <v>400.17295114349673</v>
      </c>
    </row>
    <row r="13" spans="1:8" ht="14.1" customHeight="1">
      <c r="A13" s="360" t="s">
        <v>232</v>
      </c>
      <c r="B13" s="361">
        <f>'- 27 -'!B13</f>
        <v>271200</v>
      </c>
      <c r="C13" s="362">
        <f>'- 27 -'!C13</f>
        <v>0.3140128221902394</v>
      </c>
      <c r="D13" s="361">
        <f>'- 27 -'!D13</f>
        <v>33.547624142908916</v>
      </c>
      <c r="E13" s="361">
        <f>SUM('- 38 -'!B13,'- 38 -'!E13,'- 38 -'!H13,B13)</f>
        <v>1728900</v>
      </c>
      <c r="F13" s="362">
        <f>E13/'- 3 -'!D13*100</f>
        <v>2.0018317414627762</v>
      </c>
      <c r="G13" s="361">
        <f>E13/'- 7 -'!F13</f>
        <v>213.86610391104435</v>
      </c>
    </row>
    <row r="14" spans="1:8" ht="14.1" customHeight="1">
      <c r="A14" s="23" t="s">
        <v>578</v>
      </c>
      <c r="B14" s="24">
        <f>'- 27 -'!B14</f>
        <v>115898</v>
      </c>
      <c r="C14" s="353">
        <f>'- 27 -'!C14</f>
        <v>0.15459670007049012</v>
      </c>
      <c r="D14" s="24">
        <f>'- 27 -'!D14</f>
        <v>22.223969319271333</v>
      </c>
      <c r="E14" s="24">
        <f>SUM('- 38 -'!B14,'- 38 -'!E14,'- 38 -'!H14,B14)</f>
        <v>1631396</v>
      </c>
      <c r="F14" s="353">
        <f>E14/'- 3 -'!D14*100</f>
        <v>2.1761241618336582</v>
      </c>
      <c r="G14" s="24">
        <f>E14/'- 7 -'!F14</f>
        <v>312.82761265580058</v>
      </c>
    </row>
    <row r="15" spans="1:8" ht="14.1" customHeight="1">
      <c r="A15" s="360" t="s">
        <v>233</v>
      </c>
      <c r="B15" s="361">
        <f>'- 27 -'!B15</f>
        <v>51000</v>
      </c>
      <c r="C15" s="362">
        <f>'- 27 -'!C15</f>
        <v>0.26099337353177154</v>
      </c>
      <c r="D15" s="361">
        <f>'- 27 -'!D15</f>
        <v>33.55263157894737</v>
      </c>
      <c r="E15" s="361">
        <f>SUM('- 38 -'!B15,'- 38 -'!E15,'- 38 -'!H15,B15)</f>
        <v>475122</v>
      </c>
      <c r="F15" s="362">
        <f>E15/'- 3 -'!D15*100</f>
        <v>2.4314449729247523</v>
      </c>
      <c r="G15" s="361">
        <f>E15/'- 7 -'!F15</f>
        <v>312.58026315789476</v>
      </c>
    </row>
    <row r="16" spans="1:8" ht="14.1" customHeight="1">
      <c r="A16" s="23" t="s">
        <v>234</v>
      </c>
      <c r="B16" s="24">
        <f>'- 27 -'!B16</f>
        <v>48466</v>
      </c>
      <c r="C16" s="353">
        <f>'- 27 -'!C16</f>
        <v>0.37009216108821419</v>
      </c>
      <c r="D16" s="24">
        <f>'- 27 -'!D16</f>
        <v>48.709547738693466</v>
      </c>
      <c r="E16" s="24">
        <f>SUM('- 38 -'!B16,'- 38 -'!E16,'- 38 -'!H16,B16)</f>
        <v>295113</v>
      </c>
      <c r="F16" s="353">
        <f>E16/'- 3 -'!D16*100</f>
        <v>2.253518093823013</v>
      </c>
      <c r="G16" s="24">
        <f>E16/'- 7 -'!F16</f>
        <v>296.59597989949748</v>
      </c>
    </row>
    <row r="17" spans="1:7" ht="14.1" customHeight="1">
      <c r="A17" s="360" t="s">
        <v>235</v>
      </c>
      <c r="B17" s="361">
        <f>'- 27 -'!B17</f>
        <v>71260</v>
      </c>
      <c r="C17" s="362">
        <f>'- 27 -'!C17</f>
        <v>0.43225408921709846</v>
      </c>
      <c r="D17" s="361">
        <f>'- 27 -'!D17</f>
        <v>54.794309880815071</v>
      </c>
      <c r="E17" s="361">
        <f>SUM('- 38 -'!B17,'- 38 -'!E17,'- 38 -'!H17,B17)</f>
        <v>585155</v>
      </c>
      <c r="F17" s="362">
        <f>E17/'- 3 -'!D17*100</f>
        <v>3.5494757448194107</v>
      </c>
      <c r="G17" s="361">
        <f>E17/'- 7 -'!F17</f>
        <v>449.94617454825067</v>
      </c>
    </row>
    <row r="18" spans="1:7" ht="14.1" customHeight="1">
      <c r="A18" s="23" t="s">
        <v>236</v>
      </c>
      <c r="B18" s="24">
        <f>'- 27 -'!B18</f>
        <v>340831</v>
      </c>
      <c r="C18" s="353">
        <f>'- 27 -'!C18</f>
        <v>0.28596292953684505</v>
      </c>
      <c r="D18" s="24">
        <f>'- 27 -'!D18</f>
        <v>54.68608102687525</v>
      </c>
      <c r="E18" s="24">
        <f>SUM('- 38 -'!B18,'- 38 -'!E18,'- 38 -'!H18,B18)</f>
        <v>2122370</v>
      </c>
      <c r="F18" s="353">
        <f>E18/'- 3 -'!D18*100</f>
        <v>1.780704052040788</v>
      </c>
      <c r="G18" s="24">
        <f>E18/'- 7 -'!F18</f>
        <v>340.53269153630163</v>
      </c>
    </row>
    <row r="19" spans="1:7" ht="14.1" customHeight="1">
      <c r="A19" s="360" t="s">
        <v>237</v>
      </c>
      <c r="B19" s="361">
        <f>'- 27 -'!B19</f>
        <v>47200</v>
      </c>
      <c r="C19" s="362">
        <f>'- 27 -'!C19</f>
        <v>0.10873322453099871</v>
      </c>
      <c r="D19" s="361">
        <f>'- 27 -'!D19</f>
        <v>11.214065098598242</v>
      </c>
      <c r="E19" s="361">
        <f>SUM('- 38 -'!B19,'- 38 -'!E19,'- 38 -'!H19,B19)</f>
        <v>1694200</v>
      </c>
      <c r="F19" s="362">
        <f>E19/'- 3 -'!D19*100</f>
        <v>3.9028777330597038</v>
      </c>
      <c r="G19" s="361">
        <f>E19/'- 7 -'!F19</f>
        <v>402.51841292468521</v>
      </c>
    </row>
    <row r="20" spans="1:7" ht="14.1" customHeight="1">
      <c r="A20" s="23" t="s">
        <v>238</v>
      </c>
      <c r="B20" s="24">
        <f>'- 27 -'!B20</f>
        <v>58800</v>
      </c>
      <c r="C20" s="353">
        <f>'- 27 -'!C20</f>
        <v>8.272811433363067E-2</v>
      </c>
      <c r="D20" s="24">
        <f>'- 27 -'!D20</f>
        <v>7.7989256582001456</v>
      </c>
      <c r="E20" s="24">
        <f>SUM('- 38 -'!B20,'- 38 -'!E20,'- 38 -'!H20,B20)</f>
        <v>2080500</v>
      </c>
      <c r="F20" s="353">
        <f>E20/'- 3 -'!D20*100</f>
        <v>2.9271401678761668</v>
      </c>
      <c r="G20" s="24">
        <f>E20/'- 7 -'!F20</f>
        <v>275.9466808143776</v>
      </c>
    </row>
    <row r="21" spans="1:7" ht="14.1" customHeight="1">
      <c r="A21" s="360" t="s">
        <v>239</v>
      </c>
      <c r="B21" s="361">
        <f>'- 27 -'!B21</f>
        <v>45000</v>
      </c>
      <c r="C21" s="362">
        <f>'- 27 -'!C21</f>
        <v>0.13216578276638666</v>
      </c>
      <c r="D21" s="361">
        <f>'- 27 -'!D21</f>
        <v>16.728624535315983</v>
      </c>
      <c r="E21" s="361">
        <f>SUM('- 38 -'!B21,'- 38 -'!E21,'- 38 -'!H21,B21)</f>
        <v>1200550</v>
      </c>
      <c r="F21" s="362">
        <f>E21/'- 3 -'!D21*100</f>
        <v>3.526036233337456</v>
      </c>
      <c r="G21" s="361">
        <f>E21/'- 7 -'!F21</f>
        <v>446.30111524163567</v>
      </c>
    </row>
    <row r="22" spans="1:7" ht="14.1" customHeight="1">
      <c r="A22" s="23" t="s">
        <v>240</v>
      </c>
      <c r="B22" s="24">
        <f>'- 27 -'!B22</f>
        <v>0</v>
      </c>
      <c r="C22" s="353">
        <f>'- 27 -'!C22</f>
        <v>0</v>
      </c>
      <c r="D22" s="24">
        <f>'- 27 -'!D22</f>
        <v>0</v>
      </c>
      <c r="E22" s="24">
        <f>SUM('- 38 -'!B22,'- 38 -'!E22,'- 38 -'!H22,B22)</f>
        <v>321160</v>
      </c>
      <c r="F22" s="353">
        <f>E22/'- 3 -'!D22*100</f>
        <v>1.6128155865198026</v>
      </c>
      <c r="G22" s="24">
        <f>E22/'- 7 -'!F22</f>
        <v>198.36936380481779</v>
      </c>
    </row>
    <row r="23" spans="1:7" ht="14.1" customHeight="1">
      <c r="A23" s="360" t="s">
        <v>241</v>
      </c>
      <c r="B23" s="361">
        <f>'- 27 -'!B23</f>
        <v>0</v>
      </c>
      <c r="C23" s="362">
        <f>'- 27 -'!C23</f>
        <v>0</v>
      </c>
      <c r="D23" s="361">
        <f>'- 27 -'!D23</f>
        <v>0</v>
      </c>
      <c r="E23" s="361">
        <f>SUM('- 38 -'!B23,'- 38 -'!E23,'- 38 -'!H23,B23)</f>
        <v>305500</v>
      </c>
      <c r="F23" s="362">
        <f>E23/'- 3 -'!D23*100</f>
        <v>1.906517606736903</v>
      </c>
      <c r="G23" s="361">
        <f>E23/'- 7 -'!F23</f>
        <v>258.4602368866328</v>
      </c>
    </row>
    <row r="24" spans="1:7" ht="14.1" customHeight="1">
      <c r="A24" s="23" t="s">
        <v>242</v>
      </c>
      <c r="B24" s="24">
        <f>'- 27 -'!B24</f>
        <v>178225</v>
      </c>
      <c r="C24" s="353">
        <f>'- 27 -'!C24</f>
        <v>0.33775681528250806</v>
      </c>
      <c r="D24" s="24">
        <f>'- 27 -'!D24</f>
        <v>42.469915405695225</v>
      </c>
      <c r="E24" s="24">
        <f>SUM('- 38 -'!B24,'- 38 -'!E24,'- 38 -'!H24,B24)</f>
        <v>1775555</v>
      </c>
      <c r="F24" s="353">
        <f>E24/'- 3 -'!D24*100</f>
        <v>3.3648803599884056</v>
      </c>
      <c r="G24" s="24">
        <f>E24/'- 7 -'!F24</f>
        <v>423.10377695698799</v>
      </c>
    </row>
    <row r="25" spans="1:7" ht="14.1" customHeight="1">
      <c r="A25" s="360" t="s">
        <v>243</v>
      </c>
      <c r="B25" s="361">
        <f>'- 27 -'!B25</f>
        <v>415201</v>
      </c>
      <c r="C25" s="362">
        <f>'- 27 -'!C25</f>
        <v>0.26812717269585951</v>
      </c>
      <c r="D25" s="361">
        <f>'- 27 -'!D25</f>
        <v>30.0717751864996</v>
      </c>
      <c r="E25" s="361">
        <f>SUM('- 38 -'!B25,'- 38 -'!E25,'- 38 -'!H25,B25)</f>
        <v>3685524</v>
      </c>
      <c r="F25" s="362">
        <f>E25/'- 3 -'!D25*100</f>
        <v>2.3800258911291996</v>
      </c>
      <c r="G25" s="361">
        <f>E25/'- 7 -'!F25</f>
        <v>266.93155645686971</v>
      </c>
    </row>
    <row r="26" spans="1:7" ht="14.1" customHeight="1">
      <c r="A26" s="23" t="s">
        <v>244</v>
      </c>
      <c r="B26" s="24">
        <f>'- 27 -'!B26</f>
        <v>28000</v>
      </c>
      <c r="C26" s="353">
        <f>'- 27 -'!C26</f>
        <v>7.3794982621149821E-2</v>
      </c>
      <c r="D26" s="24">
        <f>'- 27 -'!D26</f>
        <v>9.0658895904160595</v>
      </c>
      <c r="E26" s="24">
        <f>SUM('- 38 -'!B26,'- 38 -'!E26,'- 38 -'!H26,B26)</f>
        <v>1220166</v>
      </c>
      <c r="F26" s="353">
        <f>E26/'- 3 -'!D26*100</f>
        <v>3.2157903130327821</v>
      </c>
      <c r="G26" s="24">
        <f>E26/'- 7 -'!F26</f>
        <v>395.06750849927147</v>
      </c>
    </row>
    <row r="27" spans="1:7" ht="14.1" customHeight="1">
      <c r="A27" s="360" t="s">
        <v>245</v>
      </c>
      <c r="B27" s="361">
        <f>'- 27 -'!B27</f>
        <v>155654</v>
      </c>
      <c r="C27" s="362">
        <f>'- 27 -'!C27</f>
        <v>0.40453362292327744</v>
      </c>
      <c r="D27" s="361">
        <f>'- 27 -'!D27</f>
        <v>56.580879680116318</v>
      </c>
      <c r="E27" s="361">
        <f>SUM('- 38 -'!B27,'- 38 -'!E27,'- 38 -'!H27,B27)</f>
        <v>892504</v>
      </c>
      <c r="F27" s="362">
        <f>E27/'- 3 -'!D27*100</f>
        <v>2.3195541174240093</v>
      </c>
      <c r="G27" s="361">
        <f>E27/'- 7 -'!F27</f>
        <v>324.4289349327517</v>
      </c>
    </row>
    <row r="28" spans="1:7" ht="14.1" customHeight="1">
      <c r="A28" s="23" t="s">
        <v>246</v>
      </c>
      <c r="B28" s="24">
        <f>'- 27 -'!B28</f>
        <v>76000</v>
      </c>
      <c r="C28" s="353">
        <f>'- 27 -'!C28</f>
        <v>0.29148867639364384</v>
      </c>
      <c r="D28" s="24">
        <f>'- 27 -'!D28</f>
        <v>38.481012658227847</v>
      </c>
      <c r="E28" s="24">
        <f>SUM('- 38 -'!B28,'- 38 -'!E28,'- 38 -'!H28,B28)</f>
        <v>800625</v>
      </c>
      <c r="F28" s="353">
        <f>E28/'- 3 -'!D28*100</f>
        <v>3.0706989676008036</v>
      </c>
      <c r="G28" s="24">
        <f>E28/'- 7 -'!F28</f>
        <v>405.37974683544303</v>
      </c>
    </row>
    <row r="29" spans="1:7" ht="14.1" customHeight="1">
      <c r="A29" s="360" t="s">
        <v>247</v>
      </c>
      <c r="B29" s="361">
        <f>'- 27 -'!B29</f>
        <v>802992</v>
      </c>
      <c r="C29" s="362">
        <f>'- 27 -'!C29</f>
        <v>0.56541989961154848</v>
      </c>
      <c r="D29" s="361">
        <f>'- 27 -'!D29</f>
        <v>66.431602895553254</v>
      </c>
      <c r="E29" s="361">
        <f>SUM('- 38 -'!B29,'- 38 -'!E29,'- 38 -'!H29,B29)</f>
        <v>3221509</v>
      </c>
      <c r="F29" s="362">
        <f>E29/'- 3 -'!D29*100</f>
        <v>2.268397811407461</v>
      </c>
      <c r="G29" s="361">
        <f>E29/'- 7 -'!F29</f>
        <v>266.51573940020683</v>
      </c>
    </row>
    <row r="30" spans="1:7" ht="14.1" customHeight="1">
      <c r="A30" s="23" t="s">
        <v>248</v>
      </c>
      <c r="B30" s="24">
        <f>'- 27 -'!B30</f>
        <v>41000</v>
      </c>
      <c r="C30" s="353">
        <f>'- 27 -'!C30</f>
        <v>0.30471334315203952</v>
      </c>
      <c r="D30" s="24">
        <f>'- 27 -'!D30</f>
        <v>38.317757009345797</v>
      </c>
      <c r="E30" s="24">
        <f>SUM('- 38 -'!B30,'- 38 -'!E30,'- 38 -'!H30,B30)</f>
        <v>390652</v>
      </c>
      <c r="F30" s="353">
        <f>E30/'- 3 -'!D30*100</f>
        <v>2.9033384616836719</v>
      </c>
      <c r="G30" s="24">
        <f>E30/'- 7 -'!F30</f>
        <v>365.09532710280376</v>
      </c>
    </row>
    <row r="31" spans="1:7" ht="14.1" customHeight="1">
      <c r="A31" s="360" t="s">
        <v>249</v>
      </c>
      <c r="B31" s="361">
        <f>'- 27 -'!B31</f>
        <v>125981</v>
      </c>
      <c r="C31" s="362">
        <f>'- 27 -'!C31</f>
        <v>0.37466097361771855</v>
      </c>
      <c r="D31" s="361">
        <f>'- 27 -'!D31</f>
        <v>39.492476489028213</v>
      </c>
      <c r="E31" s="361">
        <f>SUM('- 38 -'!B31,'- 38 -'!E31,'- 38 -'!H31,B31)</f>
        <v>690842</v>
      </c>
      <c r="F31" s="362">
        <f>E31/'- 3 -'!D31*100</f>
        <v>2.0545283521801854</v>
      </c>
      <c r="G31" s="361">
        <f>E31/'- 7 -'!F31</f>
        <v>216.56489028213167</v>
      </c>
    </row>
    <row r="32" spans="1:7" ht="14.1" customHeight="1">
      <c r="A32" s="23" t="s">
        <v>250</v>
      </c>
      <c r="B32" s="24">
        <f>'- 27 -'!B32</f>
        <v>67000</v>
      </c>
      <c r="C32" s="353">
        <f>'- 27 -'!C32</f>
        <v>0.26230054490393501</v>
      </c>
      <c r="D32" s="24">
        <f>'- 27 -'!D32</f>
        <v>32.754827670496212</v>
      </c>
      <c r="E32" s="24">
        <f>SUM('- 38 -'!B32,'- 38 -'!E32,'- 38 -'!H32,B32)</f>
        <v>650950</v>
      </c>
      <c r="F32" s="353">
        <f>E32/'- 3 -'!D32*100</f>
        <v>2.5484259657494994</v>
      </c>
      <c r="G32" s="24">
        <f>E32/'- 7 -'!F32</f>
        <v>318.23515032999268</v>
      </c>
    </row>
    <row r="33" spans="1:7" ht="14.1" customHeight="1">
      <c r="A33" s="360" t="s">
        <v>251</v>
      </c>
      <c r="B33" s="361">
        <f>'- 27 -'!B33</f>
        <v>42000</v>
      </c>
      <c r="C33" s="362">
        <f>'- 27 -'!C33</f>
        <v>0.15991897438631095</v>
      </c>
      <c r="D33" s="361">
        <f>'- 27 -'!D33</f>
        <v>20.730503455083909</v>
      </c>
      <c r="E33" s="361">
        <f>SUM('- 38 -'!B33,'- 38 -'!E33,'- 38 -'!H33,B33)</f>
        <v>1068200</v>
      </c>
      <c r="F33" s="362">
        <f>E33/'- 3 -'!D33*100</f>
        <v>4.0672725818918414</v>
      </c>
      <c r="G33" s="361">
        <f>E33/'- 7 -'!F33</f>
        <v>527.24580454096747</v>
      </c>
    </row>
    <row r="34" spans="1:7" ht="14.1" customHeight="1">
      <c r="A34" s="23" t="s">
        <v>252</v>
      </c>
      <c r="B34" s="24">
        <f>'- 27 -'!B34</f>
        <v>19115</v>
      </c>
      <c r="C34" s="353">
        <f>'- 27 -'!C34</f>
        <v>7.4834282095529017E-2</v>
      </c>
      <c r="D34" s="24">
        <f>'- 27 -'!D34</f>
        <v>9.4893192412516072</v>
      </c>
      <c r="E34" s="24">
        <f>SUM('- 38 -'!B34,'- 38 -'!E34,'- 38 -'!H34,B34)</f>
        <v>563899</v>
      </c>
      <c r="F34" s="353">
        <f>E34/'- 3 -'!D34*100</f>
        <v>2.2076367689974745</v>
      </c>
      <c r="G34" s="24">
        <f>E34/'- 7 -'!F34</f>
        <v>279.93814443225426</v>
      </c>
    </row>
    <row r="35" spans="1:7" ht="14.1" customHeight="1">
      <c r="A35" s="360" t="s">
        <v>253</v>
      </c>
      <c r="B35" s="361">
        <f>'- 27 -'!B35</f>
        <v>1302300</v>
      </c>
      <c r="C35" s="362">
        <f>'- 27 -'!C35</f>
        <v>0.77727134677005894</v>
      </c>
      <c r="D35" s="361">
        <f>'- 27 -'!D35</f>
        <v>82.499762440214127</v>
      </c>
      <c r="E35" s="361">
        <f>SUM('- 38 -'!B35,'- 38 -'!E35,'- 38 -'!H35,B35)</f>
        <v>2698056</v>
      </c>
      <c r="F35" s="362">
        <f>E35/'- 3 -'!D35*100</f>
        <v>1.6103214472710112</v>
      </c>
      <c r="G35" s="361">
        <f>E35/'- 7 -'!F35</f>
        <v>170.91989484020144</v>
      </c>
    </row>
    <row r="36" spans="1:7" ht="14.1" customHeight="1">
      <c r="A36" s="23" t="s">
        <v>254</v>
      </c>
      <c r="B36" s="24">
        <f>'- 27 -'!B36</f>
        <v>0</v>
      </c>
      <c r="C36" s="353">
        <f>'- 27 -'!C36</f>
        <v>0</v>
      </c>
      <c r="D36" s="24">
        <f>'- 27 -'!D36</f>
        <v>0</v>
      </c>
      <c r="E36" s="24">
        <f>SUM('- 38 -'!B36,'- 38 -'!E36,'- 38 -'!H36,B36)</f>
        <v>613550</v>
      </c>
      <c r="F36" s="353">
        <f>E36/'- 3 -'!D36*100</f>
        <v>2.8446722263460558</v>
      </c>
      <c r="G36" s="24">
        <f>E36/'- 7 -'!F36</f>
        <v>365.53470360440872</v>
      </c>
    </row>
    <row r="37" spans="1:7" ht="14.1" customHeight="1">
      <c r="A37" s="514" t="s">
        <v>255</v>
      </c>
      <c r="B37" s="361">
        <f>'- 27 -'!B37</f>
        <v>191097</v>
      </c>
      <c r="C37" s="362">
        <f>'- 27 -'!C37</f>
        <v>0.458650595643111</v>
      </c>
      <c r="D37" s="361">
        <f>'- 27 -'!D37</f>
        <v>51.25305082472844</v>
      </c>
      <c r="E37" s="361">
        <f>SUM('- 38 -'!B37,'- 38 -'!E37,'- 38 -'!H37,B37)</f>
        <v>1061376</v>
      </c>
      <c r="F37" s="362">
        <f>E37/'- 3 -'!D37*100</f>
        <v>2.5474012391680798</v>
      </c>
      <c r="G37" s="361">
        <f>E37/'- 7 -'!F37</f>
        <v>284.66568325063696</v>
      </c>
    </row>
    <row r="38" spans="1:7" ht="14.1" customHeight="1">
      <c r="A38" s="23" t="s">
        <v>256</v>
      </c>
      <c r="B38" s="24">
        <f>'- 27 -'!B38</f>
        <v>402860</v>
      </c>
      <c r="C38" s="353">
        <f>'- 27 -'!C38</f>
        <v>0.34345042612030602</v>
      </c>
      <c r="D38" s="24">
        <f>'- 27 -'!D38</f>
        <v>38.178544351781653</v>
      </c>
      <c r="E38" s="24">
        <f>SUM('- 38 -'!B38,'- 38 -'!E38,'- 38 -'!H38,B38)</f>
        <v>2289630</v>
      </c>
      <c r="F38" s="353">
        <f>E38/'- 3 -'!D38*100</f>
        <v>1.9519793455737386</v>
      </c>
      <c r="G38" s="24">
        <f>E38/'- 7 -'!F38</f>
        <v>216.98540561031083</v>
      </c>
    </row>
    <row r="39" spans="1:7" ht="14.1" customHeight="1">
      <c r="A39" s="360" t="s">
        <v>257</v>
      </c>
      <c r="B39" s="361">
        <f>'- 27 -'!B39</f>
        <v>58000</v>
      </c>
      <c r="C39" s="362">
        <f>'- 27 -'!C39</f>
        <v>0.282252534846752</v>
      </c>
      <c r="D39" s="361">
        <f>'- 27 -'!D39</f>
        <v>36.639292482627923</v>
      </c>
      <c r="E39" s="361">
        <f>SUM('- 38 -'!B39,'- 38 -'!E39,'- 38 -'!H39,B39)</f>
        <v>546650</v>
      </c>
      <c r="F39" s="362">
        <f>E39/'- 3 -'!D39*100</f>
        <v>2.6602301409306373</v>
      </c>
      <c r="G39" s="361">
        <f>E39/'- 7 -'!F39</f>
        <v>345.32533164876816</v>
      </c>
    </row>
    <row r="40" spans="1:7" ht="14.1" customHeight="1">
      <c r="A40" s="23" t="s">
        <v>258</v>
      </c>
      <c r="B40" s="24">
        <f>'- 27 -'!B40</f>
        <v>261611</v>
      </c>
      <c r="C40" s="353">
        <f>'- 27 -'!C40</f>
        <v>0.26908509688775029</v>
      </c>
      <c r="D40" s="24">
        <f>'- 27 -'!D40</f>
        <v>32.772244979768757</v>
      </c>
      <c r="E40" s="24">
        <f>SUM('- 38 -'!B40,'- 38 -'!E40,'- 38 -'!H40,B40)</f>
        <v>2595369</v>
      </c>
      <c r="F40" s="353">
        <f>E40/'- 3 -'!D40*100</f>
        <v>2.6695174087651647</v>
      </c>
      <c r="G40" s="24">
        <f>E40/'- 7 -'!F40</f>
        <v>325.12420609568198</v>
      </c>
    </row>
    <row r="41" spans="1:7" ht="14.1" customHeight="1">
      <c r="A41" s="360" t="s">
        <v>259</v>
      </c>
      <c r="B41" s="361">
        <f>'- 27 -'!B41</f>
        <v>158275</v>
      </c>
      <c r="C41" s="362">
        <f>'- 27 -'!C41</f>
        <v>0.27440563072899232</v>
      </c>
      <c r="D41" s="361">
        <f>'- 27 -'!D41</f>
        <v>35.591409939284908</v>
      </c>
      <c r="E41" s="361">
        <f>SUM('- 38 -'!B41,'- 38 -'!E41,'- 38 -'!H41,B41)</f>
        <v>1408377</v>
      </c>
      <c r="F41" s="362">
        <f>E41/'- 3 -'!D41*100</f>
        <v>2.4417411403519567</v>
      </c>
      <c r="G41" s="361">
        <f>E41/'- 7 -'!F41</f>
        <v>316.70272093546208</v>
      </c>
    </row>
    <row r="42" spans="1:7" ht="14.1" customHeight="1">
      <c r="A42" s="23" t="s">
        <v>260</v>
      </c>
      <c r="B42" s="24">
        <f>'- 27 -'!B42</f>
        <v>31000</v>
      </c>
      <c r="C42" s="353">
        <f>'- 27 -'!C42</f>
        <v>0.15365063246317676</v>
      </c>
      <c r="D42" s="24">
        <f>'- 27 -'!D42</f>
        <v>22.15868477483917</v>
      </c>
      <c r="E42" s="24">
        <f>SUM('- 38 -'!B42,'- 38 -'!E42,'- 38 -'!H42,B42)</f>
        <v>483678</v>
      </c>
      <c r="F42" s="353">
        <f>E42/'- 3 -'!D42*100</f>
        <v>2.3973364712427228</v>
      </c>
      <c r="G42" s="24">
        <f>E42/'- 7 -'!F42</f>
        <v>345.7312365975697</v>
      </c>
    </row>
    <row r="43" spans="1:7" ht="14.1" customHeight="1">
      <c r="A43" s="360" t="s">
        <v>261</v>
      </c>
      <c r="B43" s="361">
        <f>'- 27 -'!B43</f>
        <v>20800</v>
      </c>
      <c r="C43" s="362">
        <f>'- 27 -'!C43</f>
        <v>0.17397166436516653</v>
      </c>
      <c r="D43" s="361">
        <f>'- 27 -'!D43</f>
        <v>21.543241843604349</v>
      </c>
      <c r="E43" s="361">
        <f>SUM('- 38 -'!B43,'- 38 -'!E43,'- 38 -'!H43,B43)</f>
        <v>251461</v>
      </c>
      <c r="F43" s="362">
        <f>E43/'- 3 -'!D43*100</f>
        <v>2.1032254179292855</v>
      </c>
      <c r="G43" s="361">
        <f>E43/'- 7 -'!F43</f>
        <v>260.44640082858621</v>
      </c>
    </row>
    <row r="44" spans="1:7" ht="14.1" customHeight="1">
      <c r="A44" s="23" t="s">
        <v>262</v>
      </c>
      <c r="B44" s="24">
        <f>'- 27 -'!B44</f>
        <v>0</v>
      </c>
      <c r="C44" s="353">
        <f>'- 27 -'!C44</f>
        <v>0</v>
      </c>
      <c r="D44" s="24">
        <f>'- 27 -'!D44</f>
        <v>0</v>
      </c>
      <c r="E44" s="24">
        <f>SUM('- 38 -'!B44,'- 38 -'!E44,'- 38 -'!H44,B44)</f>
        <v>434845</v>
      </c>
      <c r="F44" s="353">
        <f>E44/'- 3 -'!D44*100</f>
        <v>4.1262290463485654</v>
      </c>
      <c r="G44" s="24">
        <f>E44/'- 7 -'!F44</f>
        <v>577.48339973439579</v>
      </c>
    </row>
    <row r="45" spans="1:7" ht="14.1" customHeight="1">
      <c r="A45" s="360" t="s">
        <v>263</v>
      </c>
      <c r="B45" s="361">
        <f>'- 27 -'!B45</f>
        <v>50340</v>
      </c>
      <c r="C45" s="362">
        <f>'- 27 -'!C45</f>
        <v>0.29730469727247449</v>
      </c>
      <c r="D45" s="361">
        <f>'- 27 -'!D45</f>
        <v>29.875370919881306</v>
      </c>
      <c r="E45" s="361">
        <f>SUM('- 38 -'!B45,'- 38 -'!E45,'- 38 -'!H45,B45)</f>
        <v>380555</v>
      </c>
      <c r="F45" s="362">
        <f>E45/'- 3 -'!D45*100</f>
        <v>2.2475325600025133</v>
      </c>
      <c r="G45" s="361">
        <f>E45/'- 7 -'!F45</f>
        <v>225.84866468842731</v>
      </c>
    </row>
    <row r="46" spans="1:7" ht="14.1" customHeight="1">
      <c r="A46" s="23" t="s">
        <v>264</v>
      </c>
      <c r="B46" s="24">
        <f>'- 27 -'!B46</f>
        <v>1291600</v>
      </c>
      <c r="C46" s="353">
        <f>'- 27 -'!C46</f>
        <v>0.35812300954199849</v>
      </c>
      <c r="D46" s="24">
        <f>'- 27 -'!D46</f>
        <v>42.570863546473305</v>
      </c>
      <c r="E46" s="24">
        <f>SUM('- 38 -'!B46,'- 38 -'!E46,'- 38 -'!H46,B46)</f>
        <v>5617500</v>
      </c>
      <c r="F46" s="353">
        <f>E46/'- 3 -'!D46*100</f>
        <v>1.557568911506795</v>
      </c>
      <c r="G46" s="24">
        <f>E46/'- 7 -'!F46</f>
        <v>185.15161502966382</v>
      </c>
    </row>
    <row r="47" spans="1:7" ht="5.0999999999999996" customHeight="1">
      <c r="A47"/>
      <c r="B47"/>
      <c r="C47"/>
      <c r="D47"/>
      <c r="E47"/>
      <c r="F47"/>
      <c r="G47"/>
    </row>
    <row r="48" spans="1:7" ht="14.1" customHeight="1">
      <c r="A48" s="363" t="s">
        <v>265</v>
      </c>
      <c r="B48" s="364">
        <f>SUM(B11:B46)</f>
        <v>6860640</v>
      </c>
      <c r="C48" s="365">
        <f>'- 27 -'!C48</f>
        <v>0.32949117483041512</v>
      </c>
      <c r="D48" s="364">
        <f>'- 27 -'!D48</f>
        <v>39.531839176892511</v>
      </c>
      <c r="E48" s="364">
        <f>SUM(E11:E46)</f>
        <v>47172552</v>
      </c>
      <c r="F48" s="365">
        <f>E48/'- 3 -'!D48*100</f>
        <v>2.2655232716231795</v>
      </c>
      <c r="G48" s="364">
        <f>E48/'- 7 -'!F48</f>
        <v>271.81396185014796</v>
      </c>
    </row>
    <row r="49" spans="1:8" ht="5.0999999999999996" customHeight="1">
      <c r="A49" s="25" t="s">
        <v>3</v>
      </c>
      <c r="B49" s="26"/>
      <c r="C49" s="351"/>
      <c r="D49" s="26"/>
      <c r="E49" s="26"/>
      <c r="F49" s="351"/>
    </row>
    <row r="50" spans="1:8" ht="14.1" customHeight="1">
      <c r="A50" s="23" t="s">
        <v>266</v>
      </c>
      <c r="B50" s="24">
        <f>'- 27 -'!B50</f>
        <v>0</v>
      </c>
      <c r="C50" s="353">
        <f>'- 27 -'!C50</f>
        <v>0</v>
      </c>
      <c r="D50" s="24">
        <f>'- 27 -'!D50</f>
        <v>0</v>
      </c>
      <c r="E50" s="24">
        <f>SUM('- 38 -'!B50,'- 38 -'!E50,'- 38 -'!H50,B50)</f>
        <v>78027</v>
      </c>
      <c r="F50" s="353">
        <f>E50/'- 3 -'!D50*100</f>
        <v>2.3776026883209607</v>
      </c>
      <c r="G50" s="24">
        <f>E50/'- 7 -'!F50</f>
        <v>467.22754491017963</v>
      </c>
    </row>
    <row r="51" spans="1:8" ht="14.1" customHeight="1">
      <c r="A51" s="360" t="s">
        <v>267</v>
      </c>
      <c r="B51" s="361">
        <f>'- 27 -'!B51</f>
        <v>822457</v>
      </c>
      <c r="C51" s="362">
        <f>'- 27 -'!C51</f>
        <v>3.9571009546999152</v>
      </c>
      <c r="D51" s="361">
        <f>'- 27 -'!D51</f>
        <v>1324.4074074074074</v>
      </c>
      <c r="E51" s="361">
        <f>SUM('- 38 -'!B51,'- 38 -'!E51,'- 38 -'!H51,B51)</f>
        <v>1028344</v>
      </c>
      <c r="F51" s="362">
        <f>E51/'- 3 -'!D51*100</f>
        <v>4.9476884799569216</v>
      </c>
      <c r="G51" s="361">
        <f>E51/'- 7 -'!F51</f>
        <v>1655.9484702093398</v>
      </c>
    </row>
    <row r="52" spans="1:8" ht="50.1" customHeight="1">
      <c r="A52" s="27"/>
      <c r="B52" s="27"/>
      <c r="C52" s="27"/>
      <c r="D52" s="27"/>
      <c r="E52" s="27"/>
      <c r="F52" s="27"/>
      <c r="G52" s="27"/>
      <c r="H52" s="27"/>
    </row>
    <row r="53" spans="1:8" ht="15" customHeight="1">
      <c r="A53" s="1" t="s">
        <v>603</v>
      </c>
    </row>
    <row r="54" spans="1:8" ht="12" customHeight="1">
      <c r="A54" s="1" t="s">
        <v>604</v>
      </c>
      <c r="B54" s="155"/>
      <c r="C54" s="155"/>
      <c r="D54" s="155"/>
    </row>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6.xml><?xml version="1.0" encoding="utf-8"?>
<worksheet xmlns="http://schemas.openxmlformats.org/spreadsheetml/2006/main" xmlns:r="http://schemas.openxmlformats.org/officeDocument/2006/relationships">
  <sheetPr codeName="Sheet35">
    <pageSetUpPr fitToPage="1"/>
  </sheetPr>
  <dimension ref="A1:L59"/>
  <sheetViews>
    <sheetView showGridLines="0" showZeros="0" workbookViewId="0"/>
  </sheetViews>
  <sheetFormatPr defaultColWidth="14.83203125" defaultRowHeight="12"/>
  <cols>
    <col min="1" max="1" width="29.83203125" style="1" customWidth="1"/>
    <col min="2" max="2" width="15.83203125" style="1" customWidth="1"/>
    <col min="3" max="3" width="13.83203125" style="1" customWidth="1"/>
    <col min="4" max="5" width="15.83203125" style="1" customWidth="1"/>
    <col min="6" max="6" width="12.83203125" style="1" customWidth="1"/>
    <col min="7" max="7" width="15.83203125" style="1" customWidth="1"/>
    <col min="8" max="8" width="13.83203125" style="1" customWidth="1"/>
    <col min="9" max="9" width="14.83203125" style="1"/>
    <col min="10" max="10" width="0" style="1" hidden="1" customWidth="1"/>
    <col min="11" max="11" width="19.5" style="1" hidden="1" customWidth="1"/>
    <col min="12" max="12" width="0" style="1" hidden="1" customWidth="1"/>
    <col min="13" max="16384" width="14.83203125" style="1"/>
  </cols>
  <sheetData>
    <row r="1" spans="1:12" ht="6.95" customHeight="1">
      <c r="A1" s="3"/>
    </row>
    <row r="2" spans="1:12" ht="15.95" customHeight="1">
      <c r="A2" s="73" t="str">
        <f>"  SUMMARY"&amp;REPLACE(REVYEAR,1,8,"")</f>
        <v xml:space="preserve">  SUMMARY OF OPERATING FUND REVENUE: 2013/2014 BUDGET</v>
      </c>
      <c r="B2" s="129"/>
      <c r="C2" s="129"/>
      <c r="D2" s="129"/>
      <c r="E2" s="129"/>
      <c r="F2" s="129"/>
      <c r="G2" s="129"/>
      <c r="H2" s="129"/>
    </row>
    <row r="3" spans="1:12" ht="15.95" customHeight="1">
      <c r="A3" s="245"/>
    </row>
    <row r="4" spans="1:12" ht="15.95" customHeight="1">
      <c r="B4" s="4"/>
      <c r="C4" s="105"/>
      <c r="D4" s="105"/>
      <c r="E4" s="4"/>
      <c r="F4" s="4"/>
      <c r="G4" s="4"/>
      <c r="H4" s="4"/>
    </row>
    <row r="5" spans="1:12" ht="15.95" customHeight="1">
      <c r="B5" s="4"/>
      <c r="C5" s="4"/>
      <c r="D5" s="4"/>
      <c r="E5" s="4"/>
      <c r="F5" s="4"/>
      <c r="G5" s="4"/>
      <c r="H5" s="4"/>
    </row>
    <row r="6" spans="1:12" ht="15.95" customHeight="1">
      <c r="B6" s="246" t="s">
        <v>102</v>
      </c>
      <c r="C6" s="195"/>
      <c r="D6" s="195"/>
      <c r="E6" s="195"/>
      <c r="F6" s="195"/>
      <c r="G6" s="195"/>
      <c r="H6" s="196"/>
    </row>
    <row r="7" spans="1:12" ht="15.95" customHeight="1">
      <c r="B7" s="354" t="s">
        <v>109</v>
      </c>
      <c r="C7" s="355"/>
      <c r="D7" s="355"/>
      <c r="E7" s="376" t="s">
        <v>44</v>
      </c>
      <c r="F7" s="376" t="s">
        <v>3</v>
      </c>
      <c r="G7" s="376" t="s">
        <v>101</v>
      </c>
      <c r="H7" s="376" t="s">
        <v>3</v>
      </c>
    </row>
    <row r="8" spans="1:12" ht="15.95" customHeight="1">
      <c r="A8" s="32"/>
      <c r="B8" s="433"/>
      <c r="C8" s="434"/>
      <c r="D8" s="434"/>
      <c r="E8" s="435" t="s">
        <v>127</v>
      </c>
      <c r="F8" s="435" t="s">
        <v>128</v>
      </c>
      <c r="G8" s="435" t="s">
        <v>129</v>
      </c>
      <c r="H8" s="435" t="s">
        <v>3</v>
      </c>
    </row>
    <row r="9" spans="1:12" ht="15.95" customHeight="1">
      <c r="A9" s="118" t="s">
        <v>81</v>
      </c>
      <c r="B9" s="379" t="s">
        <v>562</v>
      </c>
      <c r="C9" s="379" t="s">
        <v>103</v>
      </c>
      <c r="D9" s="379" t="s">
        <v>104</v>
      </c>
      <c r="E9" s="379" t="s">
        <v>123</v>
      </c>
      <c r="F9" s="379" t="s">
        <v>141</v>
      </c>
      <c r="G9" s="379" t="s">
        <v>142</v>
      </c>
      <c r="H9" s="379" t="s">
        <v>44</v>
      </c>
      <c r="J9" s="157" t="s">
        <v>169</v>
      </c>
    </row>
    <row r="10" spans="1:12" ht="5.0999999999999996" customHeight="1">
      <c r="A10" s="37"/>
      <c r="B10" s="247"/>
      <c r="C10" s="247"/>
      <c r="D10" s="247"/>
      <c r="E10" s="247"/>
      <c r="F10" s="247"/>
      <c r="G10" s="247"/>
      <c r="H10" s="247"/>
    </row>
    <row r="11" spans="1:12" ht="14.1" customHeight="1">
      <c r="A11" s="360" t="s">
        <v>230</v>
      </c>
      <c r="B11" s="362">
        <f>'- 42 -'!I11</f>
        <v>64.4002327441017</v>
      </c>
      <c r="C11" s="362">
        <f>'- 43 -'!C11</f>
        <v>0</v>
      </c>
      <c r="D11" s="362">
        <f>'- 43 -'!E11</f>
        <v>34.643672710895714</v>
      </c>
      <c r="E11" s="362">
        <f>'- 43 -'!G11</f>
        <v>0.19475999990793164</v>
      </c>
      <c r="F11" s="362">
        <f>'- 43 -'!I11</f>
        <v>0.11803636358056463</v>
      </c>
      <c r="G11" s="362">
        <f>'- 44 -'!C11</f>
        <v>0.19180909081841752</v>
      </c>
      <c r="H11" s="362">
        <f>'- 44 -'!E11</f>
        <v>0.45148909069565973</v>
      </c>
      <c r="J11" s="486">
        <f>SUM(B11:H11)</f>
        <v>99.999999999999986</v>
      </c>
      <c r="K11" s="1" t="s">
        <v>120</v>
      </c>
      <c r="L11" s="486">
        <f>B48</f>
        <v>63.985787550871322</v>
      </c>
    </row>
    <row r="12" spans="1:12" ht="14.1" customHeight="1">
      <c r="A12" s="23" t="s">
        <v>231</v>
      </c>
      <c r="B12" s="353">
        <f>'- 42 -'!I12</f>
        <v>68.498461789265761</v>
      </c>
      <c r="C12" s="353">
        <f>'- 43 -'!C12</f>
        <v>0.84169352280761622</v>
      </c>
      <c r="D12" s="353">
        <f>'- 43 -'!E12</f>
        <v>28.420683612087881</v>
      </c>
      <c r="E12" s="353">
        <f>'- 43 -'!G12</f>
        <v>1.0916701705587502</v>
      </c>
      <c r="F12" s="353">
        <f>'- 43 -'!I12</f>
        <v>0.31642613639384065</v>
      </c>
      <c r="G12" s="353">
        <f>'- 44 -'!C12</f>
        <v>0.48238215214831831</v>
      </c>
      <c r="H12" s="353">
        <f>'- 44 -'!E12</f>
        <v>0.3486826167378288</v>
      </c>
      <c r="J12" s="486">
        <f t="shared" ref="J12:J46" si="0">SUM(B12:H12)</f>
        <v>100.00000000000001</v>
      </c>
      <c r="K12" s="1" t="s">
        <v>103</v>
      </c>
      <c r="L12" s="486">
        <f>C48</f>
        <v>0.71379148320065522</v>
      </c>
    </row>
    <row r="13" spans="1:12" ht="14.1" customHeight="1">
      <c r="A13" s="360" t="s">
        <v>232</v>
      </c>
      <c r="B13" s="362">
        <f>'- 42 -'!I13</f>
        <v>61.328319779449735</v>
      </c>
      <c r="C13" s="362">
        <f>'- 43 -'!C13</f>
        <v>2.7545732831747438E-2</v>
      </c>
      <c r="D13" s="362">
        <f>'- 43 -'!E13</f>
        <v>37.108949712325732</v>
      </c>
      <c r="E13" s="362">
        <f>'- 43 -'!G13</f>
        <v>0.32363354724496568</v>
      </c>
      <c r="F13" s="362">
        <f>'- 43 -'!I13</f>
        <v>0.35452164933244817</v>
      </c>
      <c r="G13" s="362">
        <f>'- 44 -'!C13</f>
        <v>0.77289407686066236</v>
      </c>
      <c r="H13" s="362">
        <f>'- 44 -'!E13</f>
        <v>8.4135501954709743E-2</v>
      </c>
      <c r="J13" s="486">
        <f t="shared" si="0"/>
        <v>100</v>
      </c>
      <c r="K13" s="1" t="s">
        <v>104</v>
      </c>
      <c r="L13" s="486">
        <f>D48</f>
        <v>30.548010138226871</v>
      </c>
    </row>
    <row r="14" spans="1:12" ht="14.1" customHeight="1">
      <c r="A14" s="23" t="s">
        <v>578</v>
      </c>
      <c r="B14" s="353">
        <f>'- 42 -'!I14</f>
        <v>74.793384137329099</v>
      </c>
      <c r="C14" s="353">
        <f>'- 43 -'!C14</f>
        <v>7.3814146875818915E-2</v>
      </c>
      <c r="D14" s="353">
        <f>'- 43 -'!E14</f>
        <v>23.350812791728607</v>
      </c>
      <c r="E14" s="353">
        <f>'- 43 -'!G14</f>
        <v>1.6813332692358123</v>
      </c>
      <c r="F14" s="353">
        <f>'- 43 -'!I14</f>
        <v>0</v>
      </c>
      <c r="G14" s="353">
        <f>'- 44 -'!C14</f>
        <v>9.394527784195135E-2</v>
      </c>
      <c r="H14" s="353">
        <f>'- 44 -'!E14</f>
        <v>6.7103769887108108E-3</v>
      </c>
      <c r="J14" s="486">
        <f t="shared" si="0"/>
        <v>100</v>
      </c>
      <c r="K14" s="1" t="s">
        <v>148</v>
      </c>
      <c r="L14" s="486">
        <f>E48</f>
        <v>0.49010369848025176</v>
      </c>
    </row>
    <row r="15" spans="1:12" ht="14.1" customHeight="1">
      <c r="A15" s="360" t="s">
        <v>233</v>
      </c>
      <c r="B15" s="362">
        <f>'- 42 -'!I15</f>
        <v>62.973892847838044</v>
      </c>
      <c r="C15" s="362">
        <f>'- 43 -'!C15</f>
        <v>0</v>
      </c>
      <c r="D15" s="362">
        <f>'- 43 -'!E15</f>
        <v>35.64905222435582</v>
      </c>
      <c r="E15" s="362">
        <f>'- 43 -'!G15</f>
        <v>0.30154487470207364</v>
      </c>
      <c r="F15" s="362">
        <f>'- 43 -'!I15</f>
        <v>0.80411966587219641</v>
      </c>
      <c r="G15" s="362">
        <f>'- 44 -'!C15</f>
        <v>0.19600416855634789</v>
      </c>
      <c r="H15" s="362">
        <f>'- 44 -'!E15</f>
        <v>7.538621867551841E-2</v>
      </c>
      <c r="J15" s="486">
        <f t="shared" si="0"/>
        <v>99.999999999999986</v>
      </c>
      <c r="K15" s="1" t="s">
        <v>124</v>
      </c>
      <c r="L15" s="486">
        <f>F48</f>
        <v>3.22589399316661</v>
      </c>
    </row>
    <row r="16" spans="1:12" ht="14.1" customHeight="1">
      <c r="A16" s="23" t="s">
        <v>234</v>
      </c>
      <c r="B16" s="353">
        <f>'- 42 -'!I16</f>
        <v>74.943782829981913</v>
      </c>
      <c r="C16" s="353">
        <f>'- 43 -'!C16</f>
        <v>0</v>
      </c>
      <c r="D16" s="353">
        <f>'- 43 -'!E16</f>
        <v>22.113326751212281</v>
      </c>
      <c r="E16" s="353">
        <f>'- 43 -'!G16</f>
        <v>1.1473374909554699</v>
      </c>
      <c r="F16" s="353">
        <f>'- 43 -'!I16</f>
        <v>0</v>
      </c>
      <c r="G16" s="353">
        <f>'- 44 -'!C16</f>
        <v>1.464505652976942</v>
      </c>
      <c r="H16" s="353">
        <f>'- 44 -'!E16</f>
        <v>0.33104727487338781</v>
      </c>
      <c r="J16" s="486">
        <f t="shared" si="0"/>
        <v>99.999999999999986</v>
      </c>
      <c r="K16" s="1" t="s">
        <v>101</v>
      </c>
      <c r="L16" s="486">
        <f>G48</f>
        <v>0.82298628788734285</v>
      </c>
    </row>
    <row r="17" spans="1:12" ht="14.1" customHeight="1">
      <c r="A17" s="360" t="s">
        <v>235</v>
      </c>
      <c r="B17" s="362">
        <f>'- 42 -'!I17</f>
        <v>56.791530104139198</v>
      </c>
      <c r="C17" s="362">
        <f>'- 43 -'!C17</f>
        <v>0</v>
      </c>
      <c r="D17" s="362">
        <f>'- 43 -'!E17</f>
        <v>38.000628204279714</v>
      </c>
      <c r="E17" s="362">
        <f>'- 43 -'!G17</f>
        <v>7.523404547451347E-2</v>
      </c>
      <c r="F17" s="362">
        <f>'- 43 -'!I17</f>
        <v>4.9997725345656354</v>
      </c>
      <c r="G17" s="362">
        <f>'- 44 -'!C17</f>
        <v>0</v>
      </c>
      <c r="H17" s="362">
        <f>'- 44 -'!E17</f>
        <v>0.13283511154093786</v>
      </c>
      <c r="J17" s="486">
        <f t="shared" si="0"/>
        <v>100.00000000000001</v>
      </c>
      <c r="K17" s="160" t="s">
        <v>44</v>
      </c>
      <c r="L17" s="486">
        <f>H48</f>
        <v>0.21342684816695398</v>
      </c>
    </row>
    <row r="18" spans="1:12" ht="14.1" customHeight="1">
      <c r="A18" s="23" t="s">
        <v>236</v>
      </c>
      <c r="B18" s="353">
        <f>'- 42 -'!I18</f>
        <v>39.118865366078488</v>
      </c>
      <c r="C18" s="353">
        <f>'- 43 -'!C18</f>
        <v>11.341068371262567</v>
      </c>
      <c r="D18" s="353">
        <f>'- 43 -'!E18</f>
        <v>2.4252307981735512</v>
      </c>
      <c r="E18" s="353">
        <f>'- 43 -'!G18</f>
        <v>0</v>
      </c>
      <c r="F18" s="353">
        <f>'- 43 -'!I18</f>
        <v>42.787157399080691</v>
      </c>
      <c r="G18" s="353">
        <f>'- 44 -'!C18</f>
        <v>3.5832312404664508</v>
      </c>
      <c r="H18" s="353">
        <f>'- 44 -'!E18</f>
        <v>0.74444682493824665</v>
      </c>
      <c r="J18" s="486">
        <f t="shared" si="0"/>
        <v>99.999999999999986</v>
      </c>
      <c r="L18" s="486"/>
    </row>
    <row r="19" spans="1:12" ht="14.1" customHeight="1">
      <c r="A19" s="360" t="s">
        <v>237</v>
      </c>
      <c r="B19" s="362">
        <f>'- 42 -'!I19</f>
        <v>67.944923144775231</v>
      </c>
      <c r="C19" s="362">
        <f>'- 43 -'!C19</f>
        <v>0</v>
      </c>
      <c r="D19" s="362">
        <f>'- 43 -'!E19</f>
        <v>30.998026283391241</v>
      </c>
      <c r="E19" s="362">
        <f>'- 43 -'!G19</f>
        <v>0.57304469444971506</v>
      </c>
      <c r="F19" s="362">
        <f>'- 43 -'!I19</f>
        <v>0</v>
      </c>
      <c r="G19" s="362">
        <f>'- 44 -'!C19</f>
        <v>0</v>
      </c>
      <c r="H19" s="362">
        <f>'- 44 -'!E19</f>
        <v>0.48400587738382306</v>
      </c>
      <c r="J19" s="486">
        <f t="shared" si="0"/>
        <v>100.00000000000001</v>
      </c>
      <c r="L19" s="486">
        <f>SUM(L11:L17)</f>
        <v>100.00000000000001</v>
      </c>
    </row>
    <row r="20" spans="1:12" ht="14.1" customHeight="1">
      <c r="A20" s="23" t="s">
        <v>238</v>
      </c>
      <c r="B20" s="353">
        <f>'- 42 -'!I20</f>
        <v>71.687436363489056</v>
      </c>
      <c r="C20" s="353">
        <f>'- 43 -'!C20</f>
        <v>0</v>
      </c>
      <c r="D20" s="353">
        <f>'- 43 -'!E20</f>
        <v>27.617119538063072</v>
      </c>
      <c r="E20" s="353">
        <f>'- 43 -'!G20</f>
        <v>0.12153392011710468</v>
      </c>
      <c r="F20" s="353">
        <f>'- 43 -'!I20</f>
        <v>0</v>
      </c>
      <c r="G20" s="353">
        <f>'- 44 -'!C20</f>
        <v>0.48478530357822869</v>
      </c>
      <c r="H20" s="353">
        <f>'- 44 -'!E20</f>
        <v>8.9124874752543437E-2</v>
      </c>
      <c r="J20" s="486">
        <f t="shared" si="0"/>
        <v>100.00000000000001</v>
      </c>
    </row>
    <row r="21" spans="1:12" ht="14.1" customHeight="1">
      <c r="A21" s="360" t="s">
        <v>239</v>
      </c>
      <c r="B21" s="362">
        <f>'- 42 -'!I21</f>
        <v>65.19960235131397</v>
      </c>
      <c r="C21" s="362">
        <f>'- 43 -'!C21</f>
        <v>0</v>
      </c>
      <c r="D21" s="362">
        <f>'- 43 -'!E21</f>
        <v>33.670210926694324</v>
      </c>
      <c r="E21" s="362">
        <f>'- 43 -'!G21</f>
        <v>0.15848317196864914</v>
      </c>
      <c r="F21" s="362">
        <f>'- 43 -'!I21</f>
        <v>0</v>
      </c>
      <c r="G21" s="362">
        <f>'- 44 -'!C21</f>
        <v>0.60943983402489632</v>
      </c>
      <c r="H21" s="362">
        <f>'- 44 -'!E21</f>
        <v>0.36226371599815582</v>
      </c>
      <c r="J21" s="486">
        <f t="shared" si="0"/>
        <v>100</v>
      </c>
    </row>
    <row r="22" spans="1:12" ht="14.1" customHeight="1">
      <c r="A22" s="23" t="s">
        <v>240</v>
      </c>
      <c r="B22" s="353">
        <f>'- 42 -'!I22</f>
        <v>81.791162892549465</v>
      </c>
      <c r="C22" s="353">
        <f>'- 43 -'!C22</f>
        <v>0</v>
      </c>
      <c r="D22" s="353">
        <f>'- 43 -'!E22</f>
        <v>17.367865069247998</v>
      </c>
      <c r="E22" s="353">
        <f>'- 43 -'!G22</f>
        <v>7.4686681900758126E-2</v>
      </c>
      <c r="F22" s="353">
        <f>'- 43 -'!I22</f>
        <v>4.1824541864424553E-2</v>
      </c>
      <c r="G22" s="353">
        <f>'- 44 -'!C22</f>
        <v>0.37343340950379067</v>
      </c>
      <c r="H22" s="353">
        <f>'- 44 -'!E22</f>
        <v>0.35102740493356321</v>
      </c>
      <c r="J22" s="486">
        <f t="shared" si="0"/>
        <v>100</v>
      </c>
    </row>
    <row r="23" spans="1:12" ht="14.1" customHeight="1">
      <c r="A23" s="360" t="s">
        <v>241</v>
      </c>
      <c r="B23" s="362">
        <f>'- 42 -'!I23</f>
        <v>71.056378566403126</v>
      </c>
      <c r="C23" s="362">
        <f>'- 43 -'!C23</f>
        <v>0</v>
      </c>
      <c r="D23" s="362">
        <f>'- 43 -'!E23</f>
        <v>20.764079881525799</v>
      </c>
      <c r="E23" s="362">
        <f>'- 43 -'!G23</f>
        <v>0.4920024993726968</v>
      </c>
      <c r="F23" s="362">
        <f>'- 43 -'!I23</f>
        <v>5.9962804611047424</v>
      </c>
      <c r="G23" s="362">
        <f>'- 44 -'!C23</f>
        <v>1.4514073731494557</v>
      </c>
      <c r="H23" s="362">
        <f>'- 44 -'!E23</f>
        <v>0.23985121844418969</v>
      </c>
      <c r="J23" s="486">
        <f t="shared" si="0"/>
        <v>100.00000000000001</v>
      </c>
    </row>
    <row r="24" spans="1:12" ht="14.1" customHeight="1">
      <c r="A24" s="23" t="s">
        <v>242</v>
      </c>
      <c r="B24" s="353">
        <f>'- 42 -'!I24</f>
        <v>62.952853349478765</v>
      </c>
      <c r="C24" s="353">
        <f>'- 43 -'!C24</f>
        <v>0</v>
      </c>
      <c r="D24" s="353">
        <f>'- 43 -'!E24</f>
        <v>35.035455256956887</v>
      </c>
      <c r="E24" s="353">
        <f>'- 43 -'!G24</f>
        <v>0.34859445014046281</v>
      </c>
      <c r="F24" s="353">
        <f>'- 43 -'!I24</f>
        <v>0.74855135323260968</v>
      </c>
      <c r="G24" s="353">
        <f>'- 44 -'!C24</f>
        <v>0.73949950486295812</v>
      </c>
      <c r="H24" s="353">
        <f>'- 44 -'!E24</f>
        <v>0.17504608532832047</v>
      </c>
      <c r="J24" s="486">
        <f t="shared" si="0"/>
        <v>100.00000000000001</v>
      </c>
    </row>
    <row r="25" spans="1:12" ht="14.1" customHeight="1">
      <c r="A25" s="360" t="s">
        <v>243</v>
      </c>
      <c r="B25" s="362">
        <f>'- 42 -'!I25</f>
        <v>65.576722008031439</v>
      </c>
      <c r="C25" s="362">
        <f>'- 43 -'!C25</f>
        <v>0</v>
      </c>
      <c r="D25" s="362">
        <f>'- 43 -'!E25</f>
        <v>32.944677917562814</v>
      </c>
      <c r="E25" s="362">
        <f>'- 43 -'!G25</f>
        <v>0.27470139718560754</v>
      </c>
      <c r="F25" s="362">
        <f>'- 43 -'!I25</f>
        <v>0</v>
      </c>
      <c r="G25" s="362">
        <f>'- 44 -'!C25</f>
        <v>1.1400146313630226</v>
      </c>
      <c r="H25" s="362">
        <f>'- 44 -'!E25</f>
        <v>6.388404585711803E-2</v>
      </c>
      <c r="J25" s="486">
        <f t="shared" si="0"/>
        <v>100</v>
      </c>
    </row>
    <row r="26" spans="1:12" ht="14.1" customHeight="1">
      <c r="A26" s="23" t="s">
        <v>244</v>
      </c>
      <c r="B26" s="353">
        <f>'- 42 -'!I26</f>
        <v>69.014618960343384</v>
      </c>
      <c r="C26" s="353">
        <f>'- 43 -'!C26</f>
        <v>1.340469279546062</v>
      </c>
      <c r="D26" s="353">
        <f>'- 43 -'!E26</f>
        <v>25.847317049221679</v>
      </c>
      <c r="E26" s="353">
        <f>'- 43 -'!G26</f>
        <v>0.98734615613459908</v>
      </c>
      <c r="F26" s="353">
        <f>'- 43 -'!I26</f>
        <v>0.81523994543223777</v>
      </c>
      <c r="G26" s="353">
        <f>'- 44 -'!C26</f>
        <v>1.5343333385698481</v>
      </c>
      <c r="H26" s="353">
        <f>'- 44 -'!E26</f>
        <v>0.46067527075218512</v>
      </c>
      <c r="J26" s="486">
        <f t="shared" si="0"/>
        <v>100</v>
      </c>
    </row>
    <row r="27" spans="1:12" ht="14.1" customHeight="1">
      <c r="A27" s="360" t="s">
        <v>245</v>
      </c>
      <c r="B27" s="362">
        <f>'- 42 -'!I27</f>
        <v>78.153611603760027</v>
      </c>
      <c r="C27" s="362">
        <f>'- 43 -'!C27</f>
        <v>0.23821493123421097</v>
      </c>
      <c r="D27" s="362">
        <f>'- 43 -'!E27</f>
        <v>19.650020837333251</v>
      </c>
      <c r="E27" s="362">
        <f>'- 43 -'!G27</f>
        <v>0.49986296168222211</v>
      </c>
      <c r="F27" s="362">
        <f>'- 43 -'!I27</f>
        <v>0.53080500981536149</v>
      </c>
      <c r="G27" s="362">
        <f>'- 44 -'!C27</f>
        <v>0.75011810411468394</v>
      </c>
      <c r="H27" s="362">
        <f>'- 44 -'!E27</f>
        <v>0.17736655206025492</v>
      </c>
      <c r="J27" s="486">
        <f t="shared" si="0"/>
        <v>100.00000000000001</v>
      </c>
    </row>
    <row r="28" spans="1:12" ht="14.1" customHeight="1">
      <c r="A28" s="23" t="s">
        <v>246</v>
      </c>
      <c r="B28" s="353">
        <f>'- 42 -'!I28</f>
        <v>51.229050006906917</v>
      </c>
      <c r="C28" s="353">
        <f>'- 43 -'!C28</f>
        <v>0</v>
      </c>
      <c r="D28" s="353">
        <f>'- 43 -'!E28</f>
        <v>23.524325867134106</v>
      </c>
      <c r="E28" s="353">
        <f>'- 43 -'!G28</f>
        <v>5.714491653680167E-2</v>
      </c>
      <c r="F28" s="353">
        <f>'- 43 -'!I28</f>
        <v>25.109476326270652</v>
      </c>
      <c r="G28" s="353">
        <f>'- 44 -'!C28</f>
        <v>3.8096611024534446E-2</v>
      </c>
      <c r="H28" s="353">
        <f>'- 44 -'!E28</f>
        <v>4.1906272126987887E-2</v>
      </c>
      <c r="J28" s="486">
        <f t="shared" si="0"/>
        <v>100</v>
      </c>
    </row>
    <row r="29" spans="1:12" ht="14.1" customHeight="1">
      <c r="A29" s="360" t="s">
        <v>247</v>
      </c>
      <c r="B29" s="362">
        <f>'- 42 -'!I29</f>
        <v>56.386064137289281</v>
      </c>
      <c r="C29" s="362">
        <f>'- 43 -'!C29</f>
        <v>0</v>
      </c>
      <c r="D29" s="362">
        <f>'- 43 -'!E29</f>
        <v>41.416428344043958</v>
      </c>
      <c r="E29" s="362">
        <f>'- 43 -'!G29</f>
        <v>0.50021756704345333</v>
      </c>
      <c r="F29" s="362">
        <f>'- 43 -'!I29</f>
        <v>0</v>
      </c>
      <c r="G29" s="362">
        <f>'- 44 -'!C29</f>
        <v>1.5637836078675682</v>
      </c>
      <c r="H29" s="362">
        <f>'- 44 -'!E29</f>
        <v>0.13350634375573547</v>
      </c>
      <c r="J29" s="486">
        <f t="shared" si="0"/>
        <v>100</v>
      </c>
    </row>
    <row r="30" spans="1:12" ht="14.1" customHeight="1">
      <c r="A30" s="23" t="s">
        <v>248</v>
      </c>
      <c r="B30" s="353">
        <f>'- 42 -'!I30</f>
        <v>67.069247572713394</v>
      </c>
      <c r="C30" s="353">
        <f>'- 43 -'!C30</f>
        <v>0</v>
      </c>
      <c r="D30" s="353">
        <f>'- 43 -'!E30</f>
        <v>32.211313042214222</v>
      </c>
      <c r="E30" s="353">
        <f>'- 43 -'!G30</f>
        <v>0.21114383184268987</v>
      </c>
      <c r="F30" s="353">
        <f>'- 43 -'!I30</f>
        <v>0.14285430580965205</v>
      </c>
      <c r="G30" s="353">
        <f>'- 44 -'!C30</f>
        <v>5.9061211704248912E-2</v>
      </c>
      <c r="H30" s="353">
        <f>'- 44 -'!E30</f>
        <v>0.30638003571579125</v>
      </c>
      <c r="J30" s="486">
        <f t="shared" si="0"/>
        <v>100</v>
      </c>
    </row>
    <row r="31" spans="1:12" ht="14.1" customHeight="1">
      <c r="A31" s="360" t="s">
        <v>249</v>
      </c>
      <c r="B31" s="362">
        <f>'- 42 -'!I31</f>
        <v>63.389789865490918</v>
      </c>
      <c r="C31" s="362">
        <f>'- 43 -'!C31</f>
        <v>5.797717687848155E-2</v>
      </c>
      <c r="D31" s="362">
        <f>'- 43 -'!E31</f>
        <v>33.659171831394367</v>
      </c>
      <c r="E31" s="362">
        <f>'- 43 -'!G31</f>
        <v>0.52179459190633393</v>
      </c>
      <c r="F31" s="362">
        <f>'- 43 -'!I31</f>
        <v>2.2756041924804009</v>
      </c>
      <c r="G31" s="362">
        <f>'- 44 -'!C31</f>
        <v>1.4494294219620387E-2</v>
      </c>
      <c r="H31" s="362">
        <f>'- 44 -'!E31</f>
        <v>8.1168047629874174E-2</v>
      </c>
      <c r="J31" s="486">
        <f t="shared" si="0"/>
        <v>99.999999999999986</v>
      </c>
    </row>
    <row r="32" spans="1:12" ht="14.1" customHeight="1">
      <c r="A32" s="23" t="s">
        <v>250</v>
      </c>
      <c r="B32" s="353">
        <f>'- 42 -'!I32</f>
        <v>63.730921889403412</v>
      </c>
      <c r="C32" s="353">
        <f>'- 43 -'!C32</f>
        <v>0</v>
      </c>
      <c r="D32" s="353">
        <f>'- 43 -'!E32</f>
        <v>35.673560127102029</v>
      </c>
      <c r="E32" s="353">
        <f>'- 43 -'!G32</f>
        <v>0.23736493074035886</v>
      </c>
      <c r="F32" s="353">
        <f>'- 43 -'!I32</f>
        <v>0</v>
      </c>
      <c r="G32" s="353">
        <f>'- 44 -'!C32</f>
        <v>6.7189589266020922E-2</v>
      </c>
      <c r="H32" s="353">
        <f>'- 44 -'!E32</f>
        <v>0.29096346348818181</v>
      </c>
      <c r="J32" s="486">
        <f t="shared" si="0"/>
        <v>100</v>
      </c>
    </row>
    <row r="33" spans="1:10" ht="14.1" customHeight="1">
      <c r="A33" s="360" t="s">
        <v>251</v>
      </c>
      <c r="B33" s="362">
        <f>'- 42 -'!I33</f>
        <v>63.424351958389799</v>
      </c>
      <c r="C33" s="362">
        <f>'- 43 -'!C33</f>
        <v>0</v>
      </c>
      <c r="D33" s="362">
        <f>'- 43 -'!E33</f>
        <v>35.12341482310255</v>
      </c>
      <c r="E33" s="362">
        <f>'- 43 -'!G33</f>
        <v>7.3530795873804677E-2</v>
      </c>
      <c r="F33" s="362">
        <f>'- 43 -'!I33</f>
        <v>1.1029619381070701</v>
      </c>
      <c r="G33" s="362">
        <f>'- 44 -'!C33</f>
        <v>9.1913494842255847E-2</v>
      </c>
      <c r="H33" s="362">
        <f>'- 44 -'!E33</f>
        <v>0.18382698968451169</v>
      </c>
      <c r="J33" s="486">
        <f t="shared" si="0"/>
        <v>100</v>
      </c>
    </row>
    <row r="34" spans="1:10" ht="14.1" customHeight="1">
      <c r="A34" s="23" t="s">
        <v>252</v>
      </c>
      <c r="B34" s="353">
        <f>'- 42 -'!I34</f>
        <v>59.617533986869098</v>
      </c>
      <c r="C34" s="353">
        <f>'- 43 -'!C34</f>
        <v>8.0391538332858739E-2</v>
      </c>
      <c r="D34" s="353">
        <f>'- 43 -'!E34</f>
        <v>36.828359949920305</v>
      </c>
      <c r="E34" s="353">
        <f>'- 43 -'!G34</f>
        <v>2.7678845112854145</v>
      </c>
      <c r="F34" s="353">
        <f>'- 43 -'!I34</f>
        <v>0</v>
      </c>
      <c r="G34" s="353">
        <f>'- 44 -'!C34</f>
        <v>0.57312627806679206</v>
      </c>
      <c r="H34" s="353">
        <f>'- 44 -'!E34</f>
        <v>0.13270373552553238</v>
      </c>
      <c r="J34" s="486">
        <f t="shared" si="0"/>
        <v>100.00000000000001</v>
      </c>
    </row>
    <row r="35" spans="1:10" ht="14.1" customHeight="1">
      <c r="A35" s="360" t="s">
        <v>253</v>
      </c>
      <c r="B35" s="362">
        <f>'- 42 -'!I35</f>
        <v>69.404439356132542</v>
      </c>
      <c r="C35" s="362">
        <f>'- 43 -'!C35</f>
        <v>0</v>
      </c>
      <c r="D35" s="362">
        <f>'- 43 -'!E35</f>
        <v>30.025183615831669</v>
      </c>
      <c r="E35" s="362">
        <f>'- 43 -'!G35</f>
        <v>0.12642377425535661</v>
      </c>
      <c r="F35" s="362">
        <f>'- 43 -'!I35</f>
        <v>0</v>
      </c>
      <c r="G35" s="362">
        <f>'- 44 -'!C35</f>
        <v>0.43219290268691679</v>
      </c>
      <c r="H35" s="362">
        <f>'- 44 -'!E35</f>
        <v>1.1760351093521547E-2</v>
      </c>
      <c r="J35" s="486">
        <f t="shared" si="0"/>
        <v>100.00000000000001</v>
      </c>
    </row>
    <row r="36" spans="1:10" ht="14.1" customHeight="1">
      <c r="A36" s="23" t="s">
        <v>254</v>
      </c>
      <c r="B36" s="353">
        <f>'- 42 -'!I36</f>
        <v>59.848485934291951</v>
      </c>
      <c r="C36" s="353">
        <f>'- 43 -'!C36</f>
        <v>0.1279637240534178</v>
      </c>
      <c r="D36" s="353">
        <f>'- 43 -'!E36</f>
        <v>34.646565717008919</v>
      </c>
      <c r="E36" s="353">
        <f>'- 43 -'!G36</f>
        <v>0.27366410709358868</v>
      </c>
      <c r="F36" s="353">
        <f>'- 43 -'!I36</f>
        <v>4.7252967755112278</v>
      </c>
      <c r="G36" s="353">
        <f>'- 44 -'!C36</f>
        <v>0.15161260270242186</v>
      </c>
      <c r="H36" s="353">
        <f>'- 44 -'!E36</f>
        <v>0.22641113933847637</v>
      </c>
      <c r="J36" s="486">
        <f t="shared" si="0"/>
        <v>100.00000000000001</v>
      </c>
    </row>
    <row r="37" spans="1:10" ht="14.1" customHeight="1">
      <c r="A37" s="360" t="s">
        <v>255</v>
      </c>
      <c r="B37" s="362">
        <f>'- 42 -'!I37</f>
        <v>73.085132635620795</v>
      </c>
      <c r="C37" s="362">
        <f>'- 43 -'!C37</f>
        <v>3.5119758376062377E-2</v>
      </c>
      <c r="D37" s="362">
        <f>'- 43 -'!E37</f>
        <v>26.280370396385006</v>
      </c>
      <c r="E37" s="362">
        <f>'- 43 -'!G37</f>
        <v>0.46826344501416495</v>
      </c>
      <c r="F37" s="362">
        <f>'- 43 -'!I37</f>
        <v>0</v>
      </c>
      <c r="G37" s="362">
        <f>'- 44 -'!C37</f>
        <v>0</v>
      </c>
      <c r="H37" s="362">
        <f>'- 44 -'!E37</f>
        <v>0.13111376460396618</v>
      </c>
      <c r="J37" s="486">
        <f t="shared" si="0"/>
        <v>100</v>
      </c>
    </row>
    <row r="38" spans="1:10" ht="14.1" customHeight="1">
      <c r="A38" s="23" t="s">
        <v>256</v>
      </c>
      <c r="B38" s="353">
        <f>'- 42 -'!I38</f>
        <v>72.188286431219879</v>
      </c>
      <c r="C38" s="353">
        <f>'- 43 -'!C38</f>
        <v>4.9843135345877298E-3</v>
      </c>
      <c r="D38" s="353">
        <f>'- 43 -'!E38</f>
        <v>26.090796249071463</v>
      </c>
      <c r="E38" s="353">
        <f>'- 43 -'!G38</f>
        <v>0.76426140863678527</v>
      </c>
      <c r="F38" s="353">
        <f>'- 43 -'!I38</f>
        <v>0.16614378448625766</v>
      </c>
      <c r="G38" s="353">
        <f>'- 44 -'!C38</f>
        <v>0.74149971016216798</v>
      </c>
      <c r="H38" s="353">
        <f>'- 44 -'!E38</f>
        <v>4.4028102888858285E-2</v>
      </c>
      <c r="J38" s="486">
        <f t="shared" si="0"/>
        <v>100</v>
      </c>
    </row>
    <row r="39" spans="1:10" ht="14.1" customHeight="1">
      <c r="A39" s="360" t="s">
        <v>257</v>
      </c>
      <c r="B39" s="362">
        <f>'- 42 -'!I39</f>
        <v>56.958752946106451</v>
      </c>
      <c r="C39" s="362">
        <f>'- 43 -'!C39</f>
        <v>0</v>
      </c>
      <c r="D39" s="362">
        <f>'- 43 -'!E39</f>
        <v>42.243709942499812</v>
      </c>
      <c r="E39" s="362">
        <f>'- 43 -'!G39</f>
        <v>0.47382195306187064</v>
      </c>
      <c r="F39" s="362">
        <f>'- 43 -'!I39</f>
        <v>0</v>
      </c>
      <c r="G39" s="362">
        <f>'- 44 -'!C39</f>
        <v>0</v>
      </c>
      <c r="H39" s="362">
        <f>'- 44 -'!E39</f>
        <v>0.32371515833186998</v>
      </c>
      <c r="J39" s="486">
        <f t="shared" si="0"/>
        <v>100</v>
      </c>
    </row>
    <row r="40" spans="1:10" ht="14.1" customHeight="1">
      <c r="A40" s="23" t="s">
        <v>258</v>
      </c>
      <c r="B40" s="353">
        <f>'- 42 -'!I40</f>
        <v>58.102040479598941</v>
      </c>
      <c r="C40" s="353">
        <f>'- 43 -'!C40</f>
        <v>0</v>
      </c>
      <c r="D40" s="353">
        <f>'- 43 -'!E40</f>
        <v>37.599463516911854</v>
      </c>
      <c r="E40" s="353">
        <f>'- 43 -'!G40</f>
        <v>0.79334220487941254</v>
      </c>
      <c r="F40" s="353">
        <f>'- 43 -'!I40</f>
        <v>7.8086858974453235E-2</v>
      </c>
      <c r="G40" s="353">
        <f>'- 44 -'!C40</f>
        <v>2.5676378991872486</v>
      </c>
      <c r="H40" s="353">
        <f>'- 44 -'!E40</f>
        <v>0.85942904044809043</v>
      </c>
      <c r="J40" s="486">
        <f t="shared" si="0"/>
        <v>100</v>
      </c>
    </row>
    <row r="41" spans="1:10" ht="14.1" customHeight="1">
      <c r="A41" s="360" t="s">
        <v>259</v>
      </c>
      <c r="B41" s="362">
        <f>'- 42 -'!I41</f>
        <v>62.45609917276763</v>
      </c>
      <c r="C41" s="362">
        <f>'- 43 -'!C41</f>
        <v>0</v>
      </c>
      <c r="D41" s="362">
        <f>'- 43 -'!E41</f>
        <v>36.544869487398742</v>
      </c>
      <c r="E41" s="362">
        <f>'- 43 -'!G41</f>
        <v>0.20225709892316948</v>
      </c>
      <c r="F41" s="362">
        <f>'- 43 -'!I41</f>
        <v>0.58690177341766803</v>
      </c>
      <c r="G41" s="362">
        <f>'- 44 -'!C41</f>
        <v>0.10799977244195104</v>
      </c>
      <c r="H41" s="362">
        <f>'- 44 -'!E41</f>
        <v>0.10187269505084322</v>
      </c>
      <c r="J41" s="486">
        <f t="shared" si="0"/>
        <v>100</v>
      </c>
    </row>
    <row r="42" spans="1:10" ht="14.1" customHeight="1">
      <c r="A42" s="23" t="s">
        <v>260</v>
      </c>
      <c r="B42" s="353">
        <f>'- 42 -'!I42</f>
        <v>72.745893152860702</v>
      </c>
      <c r="C42" s="353">
        <f>'- 43 -'!C42</f>
        <v>0</v>
      </c>
      <c r="D42" s="353">
        <f>'- 43 -'!E42</f>
        <v>24.696777578980537</v>
      </c>
      <c r="E42" s="353">
        <f>'- 43 -'!G42</f>
        <v>0.12384816894052397</v>
      </c>
      <c r="F42" s="353">
        <f>'- 43 -'!I42</f>
        <v>0.96626193675982563</v>
      </c>
      <c r="G42" s="353">
        <f>'- 44 -'!C42</f>
        <v>1.052832545506323</v>
      </c>
      <c r="H42" s="353">
        <f>'- 44 -'!E42</f>
        <v>0.41438661695209117</v>
      </c>
      <c r="J42" s="486">
        <f t="shared" si="0"/>
        <v>100</v>
      </c>
    </row>
    <row r="43" spans="1:10" ht="14.1" customHeight="1">
      <c r="A43" s="360" t="s">
        <v>261</v>
      </c>
      <c r="B43" s="362">
        <f>'- 42 -'!I43</f>
        <v>61.982917371519889</v>
      </c>
      <c r="C43" s="362">
        <f>'- 43 -'!C43</f>
        <v>0</v>
      </c>
      <c r="D43" s="362">
        <f>'- 43 -'!E43</f>
        <v>37.454082393099185</v>
      </c>
      <c r="E43" s="362">
        <f>'- 43 -'!G43</f>
        <v>0.28506341031945837</v>
      </c>
      <c r="F43" s="362">
        <f>'- 43 -'!I43</f>
        <v>0</v>
      </c>
      <c r="G43" s="362">
        <f>'- 44 -'!C43</f>
        <v>0.11830131528257522</v>
      </c>
      <c r="H43" s="362">
        <f>'- 44 -'!E43</f>
        <v>0.15963550977889668</v>
      </c>
      <c r="J43" s="486">
        <f t="shared" si="0"/>
        <v>100</v>
      </c>
    </row>
    <row r="44" spans="1:10" ht="14.1" customHeight="1">
      <c r="A44" s="23" t="s">
        <v>262</v>
      </c>
      <c r="B44" s="353">
        <f>'- 42 -'!I44</f>
        <v>78.723153460283584</v>
      </c>
      <c r="C44" s="353">
        <f>'- 43 -'!C44</f>
        <v>0</v>
      </c>
      <c r="D44" s="353">
        <f>'- 43 -'!E44</f>
        <v>20.991907833559043</v>
      </c>
      <c r="E44" s="353">
        <f>'- 43 -'!G44</f>
        <v>0.18098712606087461</v>
      </c>
      <c r="F44" s="353">
        <f>'- 43 -'!I44</f>
        <v>0</v>
      </c>
      <c r="G44" s="353">
        <f>'- 44 -'!C44</f>
        <v>0</v>
      </c>
      <c r="H44" s="353">
        <f>'- 44 -'!E44</f>
        <v>0.10395158009650235</v>
      </c>
      <c r="J44" s="486">
        <f t="shared" si="0"/>
        <v>100</v>
      </c>
    </row>
    <row r="45" spans="1:10" ht="14.1" customHeight="1">
      <c r="A45" s="360" t="s">
        <v>263</v>
      </c>
      <c r="B45" s="362">
        <f>'- 42 -'!I45</f>
        <v>66.372436250013564</v>
      </c>
      <c r="C45" s="362">
        <f>'- 43 -'!C45</f>
        <v>0.11308000998722649</v>
      </c>
      <c r="D45" s="362">
        <f>'- 43 -'!E45</f>
        <v>31.647250075085125</v>
      </c>
      <c r="E45" s="362">
        <f>'- 43 -'!G45</f>
        <v>0.24623172174718569</v>
      </c>
      <c r="F45" s="362">
        <f>'- 43 -'!I45</f>
        <v>0</v>
      </c>
      <c r="G45" s="362">
        <f>'- 44 -'!C45</f>
        <v>1.5610695378736617</v>
      </c>
      <c r="H45" s="362">
        <f>'- 44 -'!E45</f>
        <v>5.9932405293230039E-2</v>
      </c>
      <c r="J45" s="486">
        <f t="shared" si="0"/>
        <v>99.999999999999986</v>
      </c>
    </row>
    <row r="46" spans="1:10" ht="14.1" customHeight="1">
      <c r="A46" s="23" t="s">
        <v>264</v>
      </c>
      <c r="B46" s="353">
        <f>'- 42 -'!I46</f>
        <v>63.913807552701819</v>
      </c>
      <c r="C46" s="353">
        <f>'- 43 -'!C46</f>
        <v>0</v>
      </c>
      <c r="D46" s="353">
        <f>'- 43 -'!E46</f>
        <v>34.459529586908452</v>
      </c>
      <c r="E46" s="353">
        <f>'- 43 -'!G46</f>
        <v>0.6294329131360662</v>
      </c>
      <c r="F46" s="353">
        <f>'- 43 -'!I46</f>
        <v>0.65751425093647842</v>
      </c>
      <c r="G46" s="353">
        <f>'- 44 -'!C46</f>
        <v>0.17944659765141391</v>
      </c>
      <c r="H46" s="353">
        <f>'- 44 -'!E46</f>
        <v>0.16026909866576661</v>
      </c>
      <c r="J46" s="486">
        <f t="shared" si="0"/>
        <v>100</v>
      </c>
    </row>
    <row r="47" spans="1:10" ht="5.0999999999999996" customHeight="1">
      <c r="A47"/>
      <c r="B47"/>
      <c r="C47"/>
      <c r="D47"/>
      <c r="E47"/>
      <c r="F47"/>
      <c r="G47"/>
      <c r="H47"/>
      <c r="J47" s="486"/>
    </row>
    <row r="48" spans="1:10" ht="14.1" customHeight="1">
      <c r="A48" s="363" t="s">
        <v>265</v>
      </c>
      <c r="B48" s="365">
        <f>'- 42 -'!I48</f>
        <v>63.985787550871322</v>
      </c>
      <c r="C48" s="365">
        <f>'- 43 -'!C48</f>
        <v>0.71379148320065522</v>
      </c>
      <c r="D48" s="365">
        <f>'- 43 -'!E48</f>
        <v>30.548010138226871</v>
      </c>
      <c r="E48" s="365">
        <f>'- 43 -'!G48</f>
        <v>0.49010369848025176</v>
      </c>
      <c r="F48" s="365">
        <f>'- 43 -'!I48</f>
        <v>3.22589399316661</v>
      </c>
      <c r="G48" s="365">
        <f>'- 44 -'!C48</f>
        <v>0.82298628788734285</v>
      </c>
      <c r="H48" s="365">
        <f>'- 44 -'!E48</f>
        <v>0.21342684816695398</v>
      </c>
      <c r="J48" s="486">
        <f>SUM(B48:H48)</f>
        <v>100.00000000000001</v>
      </c>
    </row>
    <row r="49" spans="1:10" ht="5.0999999999999996" customHeight="1">
      <c r="A49" s="25" t="s">
        <v>3</v>
      </c>
      <c r="B49" s="351"/>
      <c r="C49" s="351"/>
      <c r="D49" s="351"/>
      <c r="E49" s="351"/>
      <c r="F49" s="351"/>
      <c r="G49" s="351"/>
      <c r="H49" s="351"/>
      <c r="J49" s="486"/>
    </row>
    <row r="50" spans="1:10" ht="14.1" customHeight="1">
      <c r="A50" s="23" t="s">
        <v>266</v>
      </c>
      <c r="B50" s="353">
        <f>'- 42 -'!I50</f>
        <v>42.448471229027106</v>
      </c>
      <c r="C50" s="353">
        <f>'- 43 -'!C50</f>
        <v>0</v>
      </c>
      <c r="D50" s="353">
        <f>'- 43 -'!E50</f>
        <v>54.8039066245694</v>
      </c>
      <c r="E50" s="353">
        <f>'- 43 -'!G50</f>
        <v>0.8759449349569709</v>
      </c>
      <c r="F50" s="353">
        <f>'- 43 -'!I50</f>
        <v>0</v>
      </c>
      <c r="G50" s="353">
        <f>'- 44 -'!C50</f>
        <v>0.14973417691572152</v>
      </c>
      <c r="H50" s="353">
        <f>'- 44 -'!E50</f>
        <v>1.7219430345307973</v>
      </c>
      <c r="J50" s="486">
        <f>SUM(B50:H50)</f>
        <v>99.999999999999986</v>
      </c>
    </row>
    <row r="51" spans="1:10" ht="14.1" customHeight="1">
      <c r="A51" s="360" t="s">
        <v>267</v>
      </c>
      <c r="B51" s="362">
        <f>'- 42 -'!I51</f>
        <v>55.996068384640473</v>
      </c>
      <c r="C51" s="362">
        <f>'- 43 -'!C51</f>
        <v>0</v>
      </c>
      <c r="D51" s="362">
        <f>'- 43 -'!E51</f>
        <v>0</v>
      </c>
      <c r="E51" s="362">
        <f>'- 43 -'!G51</f>
        <v>6.5753901986259784</v>
      </c>
      <c r="F51" s="362">
        <f>'- 43 -'!I51</f>
        <v>0</v>
      </c>
      <c r="G51" s="362">
        <f>'- 44 -'!C51</f>
        <v>33.449356712791896</v>
      </c>
      <c r="H51" s="362">
        <f>'- 44 -'!E51</f>
        <v>3.979184703941649</v>
      </c>
      <c r="J51" s="486">
        <f>SUM(B51:H51)</f>
        <v>100</v>
      </c>
    </row>
    <row r="52" spans="1:10" ht="50.1" customHeight="1">
      <c r="A52" s="27"/>
      <c r="B52" s="27"/>
      <c r="C52" s="27"/>
      <c r="D52" s="27"/>
      <c r="E52" s="27"/>
      <c r="F52" s="27"/>
      <c r="G52" s="27"/>
      <c r="H52" s="27"/>
    </row>
    <row r="53" spans="1:10" ht="14.45" customHeight="1">
      <c r="A53" s="39" t="s">
        <v>621</v>
      </c>
    </row>
    <row r="54" spans="1:10">
      <c r="A54" s="160" t="e">
        <f>"       includes teachers' retirement allowances, capital support and the education property tax credit, is projected to be "&amp;TEXT(#REF!,"0.0%")&amp; " in "&amp;'- 61 -'!C9&amp;". See page i  "</f>
        <v>#REF!</v>
      </c>
    </row>
    <row r="55" spans="1:10">
      <c r="A55" s="1" t="s">
        <v>620</v>
      </c>
    </row>
    <row r="56" spans="1:10" ht="14.45" customHeight="1"/>
    <row r="57" spans="1:10" ht="14.45" customHeight="1"/>
    <row r="58" spans="1:10" ht="14.45" customHeight="1"/>
    <row r="59" spans="1:10"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37.xml><?xml version="1.0" encoding="utf-8"?>
<worksheet xmlns="http://schemas.openxmlformats.org/spreadsheetml/2006/main" xmlns:r="http://schemas.openxmlformats.org/officeDocument/2006/relationships">
  <sheetPr codeName="Sheet36">
    <pageSetUpPr fitToPage="1"/>
  </sheetPr>
  <dimension ref="A1:I62"/>
  <sheetViews>
    <sheetView showGridLines="0" showZeros="0" workbookViewId="0"/>
  </sheetViews>
  <sheetFormatPr defaultColWidth="15.83203125" defaultRowHeight="12"/>
  <cols>
    <col min="1" max="1" width="26.83203125" style="1" customWidth="1"/>
    <col min="2" max="2" width="14.6640625" style="1" customWidth="1"/>
    <col min="3" max="3" width="14.6640625" style="1" bestFit="1" customWidth="1"/>
    <col min="4" max="4" width="14.33203125" style="1" customWidth="1"/>
    <col min="5" max="5" width="14.1640625" style="1" customWidth="1"/>
    <col min="6" max="6" width="15.6640625" style="1" customWidth="1"/>
    <col min="7" max="7" width="13.5" style="1" customWidth="1"/>
    <col min="8" max="8" width="15.33203125" style="1" customWidth="1"/>
    <col min="9" max="9" width="13" style="1" customWidth="1"/>
    <col min="10" max="16384" width="15.83203125" style="1"/>
  </cols>
  <sheetData>
    <row r="1" spans="1:9" ht="18" customHeight="1">
      <c r="A1" s="248"/>
      <c r="B1" s="249" t="str">
        <f>"ANALYSIS OF OPERATING FUND REVENUE: "&amp;YEAR&amp;"/"&amp;YEAR+1&amp;" BUDGET"</f>
        <v>ANALYSIS OF OPERATING FUND REVENUE: 2013/2014 BUDGET</v>
      </c>
      <c r="C1" s="249"/>
      <c r="D1" s="249"/>
      <c r="E1" s="129"/>
      <c r="F1" s="129"/>
      <c r="G1" s="129"/>
      <c r="H1" s="129"/>
      <c r="I1" s="250" t="s">
        <v>2</v>
      </c>
    </row>
    <row r="2" spans="1:9" ht="8.1" customHeight="1">
      <c r="A2" s="245"/>
    </row>
    <row r="3" spans="1:9" ht="15.95" customHeight="1">
      <c r="B3" s="389" t="s">
        <v>98</v>
      </c>
      <c r="C3" s="436"/>
      <c r="D3" s="436"/>
      <c r="E3" s="437"/>
      <c r="F3" s="437"/>
      <c r="G3" s="437"/>
      <c r="H3" s="437"/>
      <c r="I3" s="438"/>
    </row>
    <row r="4" spans="1:9" ht="8.1" customHeight="1"/>
    <row r="5" spans="1:9" ht="15.95" customHeight="1">
      <c r="B5" s="439" t="s">
        <v>77</v>
      </c>
      <c r="C5" s="436"/>
      <c r="D5" s="436"/>
      <c r="E5" s="440"/>
      <c r="F5" s="375"/>
    </row>
    <row r="6" spans="1:9" ht="15.95" customHeight="1">
      <c r="B6" s="334"/>
      <c r="C6" s="334"/>
      <c r="D6" s="334"/>
      <c r="E6" s="337"/>
      <c r="F6" s="337"/>
      <c r="G6" s="334"/>
      <c r="H6" s="334"/>
      <c r="I6" s="251" t="s">
        <v>83</v>
      </c>
    </row>
    <row r="7" spans="1:9" ht="15.95" customHeight="1">
      <c r="B7" s="335" t="s">
        <v>220</v>
      </c>
      <c r="C7" s="335" t="s">
        <v>77</v>
      </c>
      <c r="D7" s="335" t="s">
        <v>537</v>
      </c>
      <c r="E7" s="338"/>
      <c r="F7" s="338"/>
      <c r="G7" s="335" t="s">
        <v>44</v>
      </c>
      <c r="H7" s="335" t="s">
        <v>54</v>
      </c>
      <c r="I7" s="253" t="s">
        <v>108</v>
      </c>
    </row>
    <row r="8" spans="1:9" ht="15.95" customHeight="1">
      <c r="A8" s="332"/>
      <c r="B8" s="335" t="s">
        <v>219</v>
      </c>
      <c r="C8" s="335" t="s">
        <v>414</v>
      </c>
      <c r="D8" s="335" t="s">
        <v>538</v>
      </c>
      <c r="E8" s="339" t="s">
        <v>44</v>
      </c>
      <c r="F8" s="338"/>
      <c r="G8" s="335" t="s">
        <v>120</v>
      </c>
      <c r="H8" s="335" t="s">
        <v>120</v>
      </c>
      <c r="I8" s="253" t="s">
        <v>121</v>
      </c>
    </row>
    <row r="9" spans="1:9" ht="15.95" customHeight="1">
      <c r="A9" s="333" t="s">
        <v>81</v>
      </c>
      <c r="B9" s="336" t="s">
        <v>404</v>
      </c>
      <c r="C9" s="336" t="s">
        <v>415</v>
      </c>
      <c r="D9" s="336" t="s">
        <v>539</v>
      </c>
      <c r="E9" s="336" t="s">
        <v>417</v>
      </c>
      <c r="F9" s="336" t="s">
        <v>54</v>
      </c>
      <c r="G9" s="336" t="s">
        <v>418</v>
      </c>
      <c r="H9" s="336" t="s">
        <v>126</v>
      </c>
      <c r="I9" s="336" t="s">
        <v>540</v>
      </c>
    </row>
    <row r="10" spans="1:9" ht="5.0999999999999996" customHeight="1">
      <c r="A10" s="37"/>
      <c r="B10" s="247"/>
      <c r="C10" s="247"/>
      <c r="D10" s="247"/>
      <c r="E10" s="247"/>
      <c r="F10" s="247"/>
      <c r="G10" s="247"/>
      <c r="H10" s="247"/>
      <c r="I10" s="247"/>
    </row>
    <row r="11" spans="1:9" ht="14.1" customHeight="1">
      <c r="A11" s="360" t="s">
        <v>230</v>
      </c>
      <c r="B11" s="361">
        <f>'- 56 -'!$F11</f>
        <v>8622100</v>
      </c>
      <c r="C11" s="361">
        <v>1501327</v>
      </c>
      <c r="D11" s="361">
        <v>504331</v>
      </c>
      <c r="E11" s="361">
        <v>284173</v>
      </c>
      <c r="F11" s="361">
        <f>SUM(B11:E11)</f>
        <v>10911931</v>
      </c>
      <c r="G11" s="361">
        <v>0</v>
      </c>
      <c r="H11" s="361">
        <f>SUM(F11,G11)</f>
        <v>10911931</v>
      </c>
      <c r="I11" s="362">
        <f>H11/'- 44 -'!$I11*100</f>
        <v>64.4002327441017</v>
      </c>
    </row>
    <row r="12" spans="1:9" ht="14.1" customHeight="1">
      <c r="A12" s="23" t="s">
        <v>231</v>
      </c>
      <c r="B12" s="24">
        <f>'- 56 -'!$F12</f>
        <v>15557487</v>
      </c>
      <c r="C12" s="24">
        <v>2234501</v>
      </c>
      <c r="D12" s="24">
        <v>2717624</v>
      </c>
      <c r="E12" s="24">
        <v>706977</v>
      </c>
      <c r="F12" s="24">
        <f t="shared" ref="F12:F46" si="0">SUM(B12:E12)</f>
        <v>21216589</v>
      </c>
      <c r="G12" s="24">
        <v>430947</v>
      </c>
      <c r="H12" s="24">
        <f>SUM(F12,G12)</f>
        <v>21647536</v>
      </c>
      <c r="I12" s="353">
        <f>H12/'- 44 -'!$I12*100</f>
        <v>68.498461789265761</v>
      </c>
    </row>
    <row r="13" spans="1:9" ht="14.1" customHeight="1">
      <c r="A13" s="360" t="s">
        <v>232</v>
      </c>
      <c r="B13" s="361">
        <f>'- 56 -'!$F13</f>
        <v>42160100</v>
      </c>
      <c r="C13" s="361">
        <v>7409670</v>
      </c>
      <c r="D13" s="361">
        <v>1831224</v>
      </c>
      <c r="E13" s="361">
        <v>1810400</v>
      </c>
      <c r="F13" s="361">
        <f t="shared" si="0"/>
        <v>53211394</v>
      </c>
      <c r="G13" s="361">
        <v>0</v>
      </c>
      <c r="H13" s="361">
        <f t="shared" ref="H13:H46" si="1">SUM(F13,G13)</f>
        <v>53211394</v>
      </c>
      <c r="I13" s="362">
        <f>H13/'- 44 -'!$I13*100</f>
        <v>61.328319779449735</v>
      </c>
    </row>
    <row r="14" spans="1:9" ht="14.1" customHeight="1">
      <c r="A14" s="23" t="s">
        <v>578</v>
      </c>
      <c r="B14" s="24">
        <f>'- 56 -'!$F14</f>
        <v>32285340</v>
      </c>
      <c r="C14" s="24">
        <v>5676644</v>
      </c>
      <c r="D14" s="24">
        <v>1939575</v>
      </c>
      <c r="E14" s="24">
        <v>15055144</v>
      </c>
      <c r="F14" s="24">
        <f t="shared" si="0"/>
        <v>54956703</v>
      </c>
      <c r="G14" s="24">
        <v>772941</v>
      </c>
      <c r="H14" s="24">
        <f t="shared" si="1"/>
        <v>55729644</v>
      </c>
      <c r="I14" s="353">
        <f>H14/'- 44 -'!$I14*100</f>
        <v>74.793384137329099</v>
      </c>
    </row>
    <row r="15" spans="1:9" ht="14.1" customHeight="1">
      <c r="A15" s="360" t="s">
        <v>233</v>
      </c>
      <c r="B15" s="361">
        <f>'- 56 -'!$F15</f>
        <v>8165854</v>
      </c>
      <c r="C15" s="361">
        <v>2366082</v>
      </c>
      <c r="D15" s="361">
        <v>1595317</v>
      </c>
      <c r="E15" s="361">
        <v>403000</v>
      </c>
      <c r="F15" s="361">
        <f t="shared" si="0"/>
        <v>12530253</v>
      </c>
      <c r="G15" s="361">
        <v>0</v>
      </c>
      <c r="H15" s="361">
        <f t="shared" si="1"/>
        <v>12530253</v>
      </c>
      <c r="I15" s="362">
        <f>H15/'- 44 -'!$I15*100</f>
        <v>62.973892847838044</v>
      </c>
    </row>
    <row r="16" spans="1:9" ht="14.1" customHeight="1">
      <c r="A16" s="23" t="s">
        <v>234</v>
      </c>
      <c r="B16" s="24">
        <f>'- 56 -'!$F16</f>
        <v>7965420</v>
      </c>
      <c r="C16" s="24">
        <v>834821</v>
      </c>
      <c r="D16" s="24">
        <v>752713</v>
      </c>
      <c r="E16" s="24">
        <v>324100</v>
      </c>
      <c r="F16" s="24">
        <f t="shared" si="0"/>
        <v>9877054</v>
      </c>
      <c r="G16" s="24">
        <v>96290</v>
      </c>
      <c r="H16" s="24">
        <f t="shared" si="1"/>
        <v>9973344</v>
      </c>
      <c r="I16" s="353">
        <f>H16/'- 44 -'!$I16*100</f>
        <v>74.943782829981913</v>
      </c>
    </row>
    <row r="17" spans="1:9" ht="14.1" customHeight="1">
      <c r="A17" s="360" t="s">
        <v>235</v>
      </c>
      <c r="B17" s="361">
        <f>'- 56 -'!$F17</f>
        <v>7418368</v>
      </c>
      <c r="C17" s="361">
        <v>1276216</v>
      </c>
      <c r="D17" s="361">
        <v>487785</v>
      </c>
      <c r="E17" s="361">
        <v>267000</v>
      </c>
      <c r="F17" s="361">
        <f t="shared" si="0"/>
        <v>9449369</v>
      </c>
      <c r="G17" s="361">
        <v>212900</v>
      </c>
      <c r="H17" s="361">
        <f t="shared" si="1"/>
        <v>9662269</v>
      </c>
      <c r="I17" s="362">
        <f>H17/'- 44 -'!$I17*100</f>
        <v>56.791530104139198</v>
      </c>
    </row>
    <row r="18" spans="1:9" ht="14.1" customHeight="1">
      <c r="A18" s="23" t="s">
        <v>236</v>
      </c>
      <c r="B18" s="24">
        <f>'- 56 -'!$F18</f>
        <v>36978625</v>
      </c>
      <c r="C18" s="24">
        <v>465553</v>
      </c>
      <c r="D18" s="24">
        <v>318474</v>
      </c>
      <c r="E18" s="24">
        <v>9357803</v>
      </c>
      <c r="F18" s="24">
        <f t="shared" si="0"/>
        <v>47120455</v>
      </c>
      <c r="G18" s="24">
        <v>1395500</v>
      </c>
      <c r="H18" s="24">
        <f t="shared" si="1"/>
        <v>48515955</v>
      </c>
      <c r="I18" s="353">
        <f>H18/'- 44 -'!$I18*100</f>
        <v>39.118865366078488</v>
      </c>
    </row>
    <row r="19" spans="1:9" ht="14.1" customHeight="1">
      <c r="A19" s="360" t="s">
        <v>237</v>
      </c>
      <c r="B19" s="361">
        <f>'- 56 -'!$F19</f>
        <v>24981753</v>
      </c>
      <c r="C19" s="361">
        <v>3009712</v>
      </c>
      <c r="D19" s="361">
        <v>646173</v>
      </c>
      <c r="E19" s="361">
        <v>1123000</v>
      </c>
      <c r="F19" s="361">
        <f t="shared" si="0"/>
        <v>29760638</v>
      </c>
      <c r="G19" s="361">
        <v>0</v>
      </c>
      <c r="H19" s="361">
        <f t="shared" si="1"/>
        <v>29760638</v>
      </c>
      <c r="I19" s="362">
        <f>H19/'- 44 -'!$I19*100</f>
        <v>67.944923144775231</v>
      </c>
    </row>
    <row r="20" spans="1:9" ht="14.1" customHeight="1">
      <c r="A20" s="23" t="s">
        <v>238</v>
      </c>
      <c r="B20" s="24">
        <f>'- 56 -'!$F20</f>
        <v>44345682</v>
      </c>
      <c r="C20" s="24">
        <v>5628544</v>
      </c>
      <c r="D20" s="24">
        <v>1495820</v>
      </c>
      <c r="E20" s="24">
        <v>1616938</v>
      </c>
      <c r="F20" s="24">
        <f t="shared" si="0"/>
        <v>53086984</v>
      </c>
      <c r="G20" s="24">
        <v>0</v>
      </c>
      <c r="H20" s="24">
        <f t="shared" si="1"/>
        <v>53086984</v>
      </c>
      <c r="I20" s="353">
        <f>H20/'- 44 -'!$I20*100</f>
        <v>71.687436363489056</v>
      </c>
    </row>
    <row r="21" spans="1:9" ht="14.1" customHeight="1">
      <c r="A21" s="360" t="s">
        <v>239</v>
      </c>
      <c r="B21" s="361">
        <f>'- 56 -'!$F21</f>
        <v>17111580</v>
      </c>
      <c r="C21" s="361">
        <v>3436539</v>
      </c>
      <c r="D21" s="361">
        <v>1289551</v>
      </c>
      <c r="E21" s="361">
        <v>764200</v>
      </c>
      <c r="F21" s="361">
        <f t="shared" si="0"/>
        <v>22601870</v>
      </c>
      <c r="G21" s="361">
        <v>25000</v>
      </c>
      <c r="H21" s="361">
        <f t="shared" si="1"/>
        <v>22626870</v>
      </c>
      <c r="I21" s="362">
        <f>H21/'- 44 -'!$I21*100</f>
        <v>65.19960235131397</v>
      </c>
    </row>
    <row r="22" spans="1:9" ht="14.1" customHeight="1">
      <c r="A22" s="23" t="s">
        <v>240</v>
      </c>
      <c r="B22" s="24">
        <f>'- 56 -'!$F22</f>
        <v>13454407</v>
      </c>
      <c r="C22" s="24">
        <v>1104943</v>
      </c>
      <c r="D22" s="24">
        <v>309407</v>
      </c>
      <c r="E22" s="24">
        <v>758400</v>
      </c>
      <c r="F22" s="24">
        <f t="shared" si="0"/>
        <v>15627157</v>
      </c>
      <c r="G22" s="24">
        <v>799700</v>
      </c>
      <c r="H22" s="24">
        <f t="shared" si="1"/>
        <v>16426857</v>
      </c>
      <c r="I22" s="353">
        <f>H22/'- 44 -'!$I22*100</f>
        <v>81.791162892549465</v>
      </c>
    </row>
    <row r="23" spans="1:9" ht="14.1" customHeight="1">
      <c r="A23" s="360" t="s">
        <v>241</v>
      </c>
      <c r="B23" s="361">
        <f>'- 56 -'!$F23</f>
        <v>9441364</v>
      </c>
      <c r="C23" s="361">
        <v>1032387</v>
      </c>
      <c r="D23" s="361">
        <v>440073</v>
      </c>
      <c r="E23" s="361">
        <v>377000</v>
      </c>
      <c r="F23" s="361">
        <f t="shared" si="0"/>
        <v>11290824</v>
      </c>
      <c r="G23" s="361">
        <v>263000</v>
      </c>
      <c r="H23" s="361">
        <f t="shared" si="1"/>
        <v>11553824</v>
      </c>
      <c r="I23" s="362">
        <f>H23/'- 44 -'!$I23*100</f>
        <v>71.056378566403126</v>
      </c>
    </row>
    <row r="24" spans="1:9" ht="14.1" customHeight="1">
      <c r="A24" s="23" t="s">
        <v>242</v>
      </c>
      <c r="B24" s="24">
        <f>'- 56 -'!$F24</f>
        <v>23985952</v>
      </c>
      <c r="C24" s="24">
        <v>5528995</v>
      </c>
      <c r="D24" s="24">
        <v>2692903</v>
      </c>
      <c r="E24" s="24">
        <v>1102110</v>
      </c>
      <c r="F24" s="24">
        <f t="shared" si="0"/>
        <v>33309960</v>
      </c>
      <c r="G24" s="24">
        <v>315995</v>
      </c>
      <c r="H24" s="24">
        <f t="shared" si="1"/>
        <v>33625955</v>
      </c>
      <c r="I24" s="353">
        <f>H24/'- 44 -'!$I24*100</f>
        <v>62.952853349478765</v>
      </c>
    </row>
    <row r="25" spans="1:9" ht="14.1" customHeight="1">
      <c r="A25" s="360" t="s">
        <v>243</v>
      </c>
      <c r="B25" s="361">
        <f>'- 56 -'!$F25</f>
        <v>71390549</v>
      </c>
      <c r="C25" s="361">
        <v>20962310</v>
      </c>
      <c r="D25" s="361">
        <v>5818648</v>
      </c>
      <c r="E25" s="361">
        <v>4304060</v>
      </c>
      <c r="F25" s="361">
        <f t="shared" si="0"/>
        <v>102475567</v>
      </c>
      <c r="G25" s="361">
        <v>174040</v>
      </c>
      <c r="H25" s="361">
        <f t="shared" si="1"/>
        <v>102649607</v>
      </c>
      <c r="I25" s="362">
        <f>H25/'- 44 -'!$I25*100</f>
        <v>65.576722008031439</v>
      </c>
    </row>
    <row r="26" spans="1:9" ht="14.1" customHeight="1">
      <c r="A26" s="23" t="s">
        <v>244</v>
      </c>
      <c r="B26" s="24">
        <f>'- 56 -'!$F26</f>
        <v>21731310</v>
      </c>
      <c r="C26" s="24">
        <v>3481973</v>
      </c>
      <c r="D26" s="24">
        <v>690360</v>
      </c>
      <c r="E26" s="24">
        <v>762868</v>
      </c>
      <c r="F26" s="24">
        <f t="shared" si="0"/>
        <v>26666511</v>
      </c>
      <c r="G26" s="24">
        <v>0</v>
      </c>
      <c r="H26" s="24">
        <f t="shared" si="1"/>
        <v>26666511</v>
      </c>
      <c r="I26" s="353">
        <f>H26/'- 44 -'!$I26*100</f>
        <v>69.014618960343384</v>
      </c>
    </row>
    <row r="27" spans="1:9" ht="14.1" customHeight="1">
      <c r="A27" s="360" t="s">
        <v>245</v>
      </c>
      <c r="B27" s="361">
        <f>'- 56 -'!$F27</f>
        <v>26609893</v>
      </c>
      <c r="C27" s="361">
        <v>1733330</v>
      </c>
      <c r="D27" s="361">
        <v>1058859</v>
      </c>
      <c r="E27" s="361">
        <v>752300</v>
      </c>
      <c r="F27" s="361">
        <f t="shared" si="0"/>
        <v>30154382</v>
      </c>
      <c r="G27" s="361">
        <v>29000</v>
      </c>
      <c r="H27" s="361">
        <f t="shared" si="1"/>
        <v>30183382</v>
      </c>
      <c r="I27" s="362">
        <f>H27/'- 44 -'!$I27*100</f>
        <v>78.153611603760027</v>
      </c>
    </row>
    <row r="28" spans="1:9" ht="14.1" customHeight="1">
      <c r="A28" s="23" t="s">
        <v>246</v>
      </c>
      <c r="B28" s="24">
        <f>'- 56 -'!$F28</f>
        <v>10728551</v>
      </c>
      <c r="C28" s="24">
        <v>1442822</v>
      </c>
      <c r="D28" s="24">
        <v>779768</v>
      </c>
      <c r="E28" s="24">
        <v>496000</v>
      </c>
      <c r="F28" s="24">
        <f t="shared" si="0"/>
        <v>13447141</v>
      </c>
      <c r="G28" s="24">
        <v>0</v>
      </c>
      <c r="H28" s="24">
        <f t="shared" si="1"/>
        <v>13447141</v>
      </c>
      <c r="I28" s="353">
        <f>H28/'- 44 -'!$I28*100</f>
        <v>51.229050006906917</v>
      </c>
    </row>
    <row r="29" spans="1:9" ht="14.1" customHeight="1">
      <c r="A29" s="360" t="s">
        <v>247</v>
      </c>
      <c r="B29" s="361">
        <f>'- 56 -'!$F29</f>
        <v>53976351</v>
      </c>
      <c r="C29" s="361">
        <v>19729457</v>
      </c>
      <c r="D29" s="361">
        <v>4817305</v>
      </c>
      <c r="E29" s="361">
        <v>2998619</v>
      </c>
      <c r="F29" s="361">
        <f t="shared" si="0"/>
        <v>81521732</v>
      </c>
      <c r="G29" s="361">
        <v>202500</v>
      </c>
      <c r="H29" s="361">
        <f t="shared" si="1"/>
        <v>81724232</v>
      </c>
      <c r="I29" s="362">
        <f>H29/'- 44 -'!$I29*100</f>
        <v>56.386064137289281</v>
      </c>
    </row>
    <row r="30" spans="1:9" ht="14.1" customHeight="1">
      <c r="A30" s="23" t="s">
        <v>248</v>
      </c>
      <c r="B30" s="24">
        <f>'- 56 -'!$F30</f>
        <v>7616621</v>
      </c>
      <c r="C30" s="24">
        <v>918385</v>
      </c>
      <c r="D30" s="24">
        <v>331754</v>
      </c>
      <c r="E30" s="24">
        <v>217950</v>
      </c>
      <c r="F30" s="24">
        <f t="shared" si="0"/>
        <v>9084710</v>
      </c>
      <c r="G30" s="24">
        <v>0</v>
      </c>
      <c r="H30" s="24">
        <f t="shared" si="1"/>
        <v>9084710</v>
      </c>
      <c r="I30" s="353">
        <f>H30/'- 44 -'!$I30*100</f>
        <v>67.069247572713394</v>
      </c>
    </row>
    <row r="31" spans="1:9" ht="14.1" customHeight="1">
      <c r="A31" s="360" t="s">
        <v>249</v>
      </c>
      <c r="B31" s="361">
        <f>'- 56 -'!$F31</f>
        <v>17720564</v>
      </c>
      <c r="C31" s="361">
        <v>3032752</v>
      </c>
      <c r="D31" s="361">
        <v>521331</v>
      </c>
      <c r="E31" s="361">
        <v>592506</v>
      </c>
      <c r="F31" s="361">
        <f t="shared" si="0"/>
        <v>21867153</v>
      </c>
      <c r="G31" s="361">
        <v>0</v>
      </c>
      <c r="H31" s="361">
        <f t="shared" si="1"/>
        <v>21867153</v>
      </c>
      <c r="I31" s="362">
        <f>H31/'- 44 -'!$I31*100</f>
        <v>63.389789865490918</v>
      </c>
    </row>
    <row r="32" spans="1:9" ht="14.1" customHeight="1">
      <c r="A32" s="23" t="s">
        <v>250</v>
      </c>
      <c r="B32" s="24">
        <f>'- 56 -'!$F32</f>
        <v>12400690</v>
      </c>
      <c r="C32" s="24">
        <v>2235713</v>
      </c>
      <c r="D32" s="24">
        <v>1116939</v>
      </c>
      <c r="E32" s="24">
        <v>536000</v>
      </c>
      <c r="F32" s="24">
        <f t="shared" si="0"/>
        <v>16289342</v>
      </c>
      <c r="G32" s="24">
        <v>357250</v>
      </c>
      <c r="H32" s="24">
        <f t="shared" si="1"/>
        <v>16646592</v>
      </c>
      <c r="I32" s="353">
        <f>H32/'- 44 -'!$I32*100</f>
        <v>63.730921889403412</v>
      </c>
    </row>
    <row r="33" spans="1:9" ht="14.1" customHeight="1">
      <c r="A33" s="360" t="s">
        <v>251</v>
      </c>
      <c r="B33" s="361">
        <f>'- 56 -'!$F33</f>
        <v>14145601</v>
      </c>
      <c r="C33" s="361">
        <v>1802509</v>
      </c>
      <c r="D33" s="361">
        <v>812989</v>
      </c>
      <c r="E33" s="361">
        <v>480000</v>
      </c>
      <c r="F33" s="361">
        <f t="shared" si="0"/>
        <v>17241099</v>
      </c>
      <c r="G33" s="361">
        <v>10000</v>
      </c>
      <c r="H33" s="361">
        <f t="shared" si="1"/>
        <v>17251099</v>
      </c>
      <c r="I33" s="362">
        <f>H33/'- 44 -'!$I33*100</f>
        <v>63.424351958389799</v>
      </c>
    </row>
    <row r="34" spans="1:9" ht="14.1" customHeight="1">
      <c r="A34" s="23" t="s">
        <v>252</v>
      </c>
      <c r="B34" s="24">
        <f>'- 56 -'!$F34</f>
        <v>12194776</v>
      </c>
      <c r="C34" s="24">
        <v>1965217</v>
      </c>
      <c r="D34" s="24">
        <v>692143</v>
      </c>
      <c r="E34" s="24">
        <v>647088</v>
      </c>
      <c r="F34" s="24">
        <f t="shared" si="0"/>
        <v>15499224</v>
      </c>
      <c r="G34" s="24">
        <v>0</v>
      </c>
      <c r="H34" s="24">
        <f t="shared" si="1"/>
        <v>15499224</v>
      </c>
      <c r="I34" s="353">
        <f>H34/'- 44 -'!$I34*100</f>
        <v>59.617533986869098</v>
      </c>
    </row>
    <row r="35" spans="1:9" ht="14.1" customHeight="1">
      <c r="A35" s="360" t="s">
        <v>253</v>
      </c>
      <c r="B35" s="361">
        <f>'- 56 -'!$F35</f>
        <v>89333545</v>
      </c>
      <c r="C35" s="361">
        <v>22986192</v>
      </c>
      <c r="D35" s="361">
        <v>1470381</v>
      </c>
      <c r="E35" s="361">
        <v>4241119</v>
      </c>
      <c r="F35" s="361">
        <f t="shared" si="0"/>
        <v>118031237</v>
      </c>
      <c r="G35" s="361">
        <v>0</v>
      </c>
      <c r="H35" s="361">
        <f t="shared" si="1"/>
        <v>118031237</v>
      </c>
      <c r="I35" s="362">
        <f>H35/'- 44 -'!$I35*100</f>
        <v>69.404439356132542</v>
      </c>
    </row>
    <row r="36" spans="1:9" ht="14.1" customHeight="1">
      <c r="A36" s="23" t="s">
        <v>254</v>
      </c>
      <c r="B36" s="24">
        <f>'- 56 -'!$F36</f>
        <v>10178909</v>
      </c>
      <c r="C36" s="24">
        <v>1973745</v>
      </c>
      <c r="D36" s="24">
        <v>761252</v>
      </c>
      <c r="E36" s="24">
        <v>447750</v>
      </c>
      <c r="F36" s="24">
        <f t="shared" si="0"/>
        <v>13361656</v>
      </c>
      <c r="G36" s="24">
        <v>500</v>
      </c>
      <c r="H36" s="24">
        <f t="shared" si="1"/>
        <v>13362156</v>
      </c>
      <c r="I36" s="353">
        <f>H36/'- 44 -'!$I36*100</f>
        <v>59.848485934291951</v>
      </c>
    </row>
    <row r="37" spans="1:9" ht="14.1" customHeight="1">
      <c r="A37" s="360" t="s">
        <v>255</v>
      </c>
      <c r="B37" s="361">
        <f>'- 56 -'!$F37</f>
        <v>24320243</v>
      </c>
      <c r="C37" s="361">
        <v>4292591</v>
      </c>
      <c r="D37" s="361">
        <v>2002557</v>
      </c>
      <c r="E37" s="361">
        <v>600000</v>
      </c>
      <c r="F37" s="361">
        <f t="shared" si="0"/>
        <v>31215391</v>
      </c>
      <c r="G37" s="361">
        <v>0</v>
      </c>
      <c r="H37" s="361">
        <f t="shared" si="1"/>
        <v>31215391</v>
      </c>
      <c r="I37" s="362">
        <f>H37/'- 44 -'!$I37*100</f>
        <v>73.085132635620795</v>
      </c>
    </row>
    <row r="38" spans="1:9" ht="14.1" customHeight="1">
      <c r="A38" s="23" t="s">
        <v>256</v>
      </c>
      <c r="B38" s="24">
        <f>'- 56 -'!$F38</f>
        <v>65378019</v>
      </c>
      <c r="C38" s="24">
        <v>12076498</v>
      </c>
      <c r="D38" s="24">
        <v>5359282</v>
      </c>
      <c r="E38" s="24">
        <v>3096071</v>
      </c>
      <c r="F38" s="24">
        <f t="shared" si="0"/>
        <v>85909870</v>
      </c>
      <c r="G38" s="24">
        <v>988700</v>
      </c>
      <c r="H38" s="24">
        <f t="shared" si="1"/>
        <v>86898570</v>
      </c>
      <c r="I38" s="353">
        <f>H38/'- 44 -'!$I38*100</f>
        <v>72.188286431219879</v>
      </c>
    </row>
    <row r="39" spans="1:9" ht="14.1" customHeight="1">
      <c r="A39" s="360" t="s">
        <v>257</v>
      </c>
      <c r="B39" s="361">
        <f>'- 56 -'!$F39</f>
        <v>9161078</v>
      </c>
      <c r="C39" s="361">
        <v>1555581</v>
      </c>
      <c r="D39" s="361">
        <v>758456</v>
      </c>
      <c r="E39" s="361">
        <v>380000</v>
      </c>
      <c r="F39" s="361">
        <f t="shared" si="0"/>
        <v>11855115</v>
      </c>
      <c r="G39" s="361">
        <v>166015</v>
      </c>
      <c r="H39" s="361">
        <f t="shared" si="1"/>
        <v>12021130</v>
      </c>
      <c r="I39" s="362">
        <f>H39/'- 44 -'!$I39*100</f>
        <v>56.958752946106451</v>
      </c>
    </row>
    <row r="40" spans="1:9" ht="14.1" customHeight="1">
      <c r="A40" s="23" t="s">
        <v>258</v>
      </c>
      <c r="B40" s="24">
        <f>'- 56 -'!$F40</f>
        <v>38817115</v>
      </c>
      <c r="C40" s="24">
        <v>12791743</v>
      </c>
      <c r="D40" s="24">
        <v>3455157</v>
      </c>
      <c r="E40" s="24">
        <v>2207827</v>
      </c>
      <c r="F40" s="24">
        <f t="shared" si="0"/>
        <v>57271842</v>
      </c>
      <c r="G40" s="24">
        <v>21500</v>
      </c>
      <c r="H40" s="24">
        <f t="shared" si="1"/>
        <v>57293342</v>
      </c>
      <c r="I40" s="353">
        <f>H40/'- 44 -'!$I40*100</f>
        <v>58.102040479598941</v>
      </c>
    </row>
    <row r="41" spans="1:9" ht="14.1" customHeight="1">
      <c r="A41" s="360" t="s">
        <v>259</v>
      </c>
      <c r="B41" s="361">
        <f>'- 56 -'!$F41</f>
        <v>25660140</v>
      </c>
      <c r="C41" s="361">
        <v>6425734</v>
      </c>
      <c r="D41" s="361">
        <v>2937828</v>
      </c>
      <c r="E41" s="361">
        <v>1333689</v>
      </c>
      <c r="F41" s="361">
        <f t="shared" si="0"/>
        <v>36357391</v>
      </c>
      <c r="G41" s="361">
        <v>991435</v>
      </c>
      <c r="H41" s="361">
        <f t="shared" si="1"/>
        <v>37348826</v>
      </c>
      <c r="I41" s="362">
        <f>H41/'- 44 -'!$I41*100</f>
        <v>62.45609917276763</v>
      </c>
    </row>
    <row r="42" spans="1:9" ht="14.1" customHeight="1">
      <c r="A42" s="23" t="s">
        <v>260</v>
      </c>
      <c r="B42" s="24">
        <f>'- 56 -'!$F42</f>
        <v>11707345</v>
      </c>
      <c r="C42" s="24">
        <v>1571982</v>
      </c>
      <c r="D42" s="24">
        <v>1056497</v>
      </c>
      <c r="E42" s="24">
        <v>395774</v>
      </c>
      <c r="F42" s="24">
        <f t="shared" si="0"/>
        <v>14731598</v>
      </c>
      <c r="G42" s="24">
        <v>41000</v>
      </c>
      <c r="H42" s="24">
        <f t="shared" si="1"/>
        <v>14772598</v>
      </c>
      <c r="I42" s="353">
        <f>H42/'- 44 -'!$I42*100</f>
        <v>72.745893152860702</v>
      </c>
    </row>
    <row r="43" spans="1:9" ht="14.1" customHeight="1">
      <c r="A43" s="360" t="s">
        <v>261</v>
      </c>
      <c r="B43" s="361">
        <f>'- 56 -'!$F43</f>
        <v>6035708</v>
      </c>
      <c r="C43" s="361">
        <v>1171086</v>
      </c>
      <c r="D43" s="361">
        <v>0</v>
      </c>
      <c r="E43" s="361">
        <v>208200</v>
      </c>
      <c r="F43" s="361">
        <f t="shared" si="0"/>
        <v>7414994</v>
      </c>
      <c r="G43" s="361">
        <v>195250</v>
      </c>
      <c r="H43" s="361">
        <f t="shared" si="1"/>
        <v>7610244</v>
      </c>
      <c r="I43" s="362">
        <f>H43/'- 44 -'!$I43*100</f>
        <v>61.982917371519889</v>
      </c>
    </row>
    <row r="44" spans="1:9" ht="14.1" customHeight="1">
      <c r="A44" s="23" t="s">
        <v>262</v>
      </c>
      <c r="B44" s="24">
        <f>'- 56 -'!$F44</f>
        <v>7095851</v>
      </c>
      <c r="C44" s="24">
        <v>653073</v>
      </c>
      <c r="D44" s="24">
        <v>455530</v>
      </c>
      <c r="E44" s="24">
        <v>277373</v>
      </c>
      <c r="F44" s="24">
        <f t="shared" si="0"/>
        <v>8481827</v>
      </c>
      <c r="G44" s="24">
        <v>0</v>
      </c>
      <c r="H44" s="24">
        <f t="shared" si="1"/>
        <v>8481827</v>
      </c>
      <c r="I44" s="353">
        <f>H44/'- 44 -'!$I44*100</f>
        <v>78.723153460283584</v>
      </c>
    </row>
    <row r="45" spans="1:9" ht="14.1" customHeight="1">
      <c r="A45" s="360" t="s">
        <v>263</v>
      </c>
      <c r="B45" s="361">
        <f>'- 56 -'!$F45</f>
        <v>9165007</v>
      </c>
      <c r="C45" s="361">
        <v>1842891</v>
      </c>
      <c r="D45" s="361">
        <v>0</v>
      </c>
      <c r="E45" s="361">
        <v>335624</v>
      </c>
      <c r="F45" s="361">
        <f t="shared" si="0"/>
        <v>11343522</v>
      </c>
      <c r="G45" s="361">
        <v>395500</v>
      </c>
      <c r="H45" s="361">
        <f t="shared" si="1"/>
        <v>11739022</v>
      </c>
      <c r="I45" s="362">
        <f>H45/'- 44 -'!$I45*100</f>
        <v>66.372436250013564</v>
      </c>
    </row>
    <row r="46" spans="1:9" ht="14.1" customHeight="1">
      <c r="A46" s="23" t="s">
        <v>264</v>
      </c>
      <c r="B46" s="24">
        <f>'- 56 -'!$F46</f>
        <v>175166000</v>
      </c>
      <c r="C46" s="24">
        <v>29696871</v>
      </c>
      <c r="D46" s="24">
        <v>9500321</v>
      </c>
      <c r="E46" s="24">
        <v>14781400</v>
      </c>
      <c r="F46" s="24">
        <f t="shared" si="0"/>
        <v>229144592</v>
      </c>
      <c r="G46" s="24">
        <v>4147900</v>
      </c>
      <c r="H46" s="24">
        <f t="shared" si="1"/>
        <v>233292492</v>
      </c>
      <c r="I46" s="353">
        <f>H46/'- 44 -'!$I46*100</f>
        <v>63.913807552701819</v>
      </c>
    </row>
    <row r="47" spans="1:9" ht="5.0999999999999996" customHeight="1">
      <c r="A47"/>
      <c r="B47"/>
      <c r="C47"/>
      <c r="D47"/>
      <c r="E47"/>
      <c r="F47"/>
      <c r="G47"/>
      <c r="H47"/>
      <c r="I47"/>
    </row>
    <row r="48" spans="1:9" ht="14.1" customHeight="1">
      <c r="A48" s="363" t="s">
        <v>265</v>
      </c>
      <c r="B48" s="364">
        <f t="shared" ref="B48:H48" si="2">SUM(B11:B46)</f>
        <v>1013007898</v>
      </c>
      <c r="C48" s="364">
        <f t="shared" si="2"/>
        <v>195848389</v>
      </c>
      <c r="D48" s="364">
        <f t="shared" ref="D48" si="3">SUM(D11:D46)</f>
        <v>61418327</v>
      </c>
      <c r="E48" s="364">
        <f t="shared" si="2"/>
        <v>74042463</v>
      </c>
      <c r="F48" s="364">
        <f t="shared" si="2"/>
        <v>1344317077</v>
      </c>
      <c r="G48" s="364">
        <f t="shared" si="2"/>
        <v>12032863</v>
      </c>
      <c r="H48" s="364">
        <f t="shared" si="2"/>
        <v>1356349940</v>
      </c>
      <c r="I48" s="365">
        <f>H48/'- 44 -'!$I48*100</f>
        <v>63.985787550871322</v>
      </c>
    </row>
    <row r="49" spans="1:9" ht="5.0999999999999996" customHeight="1">
      <c r="A49" s="25" t="s">
        <v>3</v>
      </c>
      <c r="B49" s="26"/>
      <c r="C49" s="26"/>
      <c r="D49" s="26"/>
      <c r="E49" s="26"/>
      <c r="F49" s="26"/>
      <c r="G49" s="26"/>
      <c r="H49" s="26"/>
      <c r="I49" s="351"/>
    </row>
    <row r="50" spans="1:9" ht="14.1" customHeight="1">
      <c r="A50" s="23" t="s">
        <v>266</v>
      </c>
      <c r="B50" s="24">
        <f>'- 56 -'!$F50</f>
        <v>931141</v>
      </c>
      <c r="C50" s="24">
        <v>376582</v>
      </c>
      <c r="D50" s="24">
        <v>24000</v>
      </c>
      <c r="E50" s="24">
        <v>80992</v>
      </c>
      <c r="F50" s="24">
        <f>SUM(B50:E50)</f>
        <v>1412715</v>
      </c>
      <c r="G50" s="24">
        <v>4746</v>
      </c>
      <c r="H50" s="24">
        <f>SUM(F50,G50)</f>
        <v>1417461</v>
      </c>
      <c r="I50" s="353">
        <f>H50/'- 44 -'!$I50*100</f>
        <v>42.448471229027106</v>
      </c>
    </row>
    <row r="51" spans="1:9" ht="14.1" customHeight="1">
      <c r="A51" s="360" t="s">
        <v>416</v>
      </c>
      <c r="B51" s="361">
        <f>'- 56 -'!$F51</f>
        <v>22000</v>
      </c>
      <c r="C51" s="361">
        <v>0</v>
      </c>
      <c r="D51" s="361">
        <v>0</v>
      </c>
      <c r="E51" s="361">
        <v>5002495</v>
      </c>
      <c r="F51" s="361">
        <f>SUM(B51:E51)</f>
        <v>5024495</v>
      </c>
      <c r="G51" s="361">
        <v>7359082</v>
      </c>
      <c r="H51" s="361">
        <f>SUM(F51,G51)</f>
        <v>12383577</v>
      </c>
      <c r="I51" s="362">
        <f>H51/'- 44 -'!$I51*100</f>
        <v>55.996068384640473</v>
      </c>
    </row>
    <row r="52" spans="1:9" ht="50.1" customHeight="1">
      <c r="A52" s="27"/>
      <c r="B52" s="27"/>
      <c r="C52" s="27"/>
      <c r="D52" s="27"/>
      <c r="E52" s="27"/>
      <c r="F52" s="27"/>
      <c r="G52" s="27"/>
      <c r="H52" s="27"/>
      <c r="I52" s="27"/>
    </row>
    <row r="53" spans="1:9" ht="15" customHeight="1">
      <c r="A53" s="2" t="s">
        <v>600</v>
      </c>
      <c r="E53" s="39"/>
      <c r="F53" s="255"/>
      <c r="G53" s="255"/>
      <c r="H53" s="255"/>
      <c r="I53" s="255"/>
    </row>
    <row r="54" spans="1:9" ht="12" customHeight="1">
      <c r="A54" s="2" t="s">
        <v>629</v>
      </c>
      <c r="E54" s="39"/>
      <c r="F54" s="255"/>
      <c r="G54" s="255"/>
      <c r="H54" s="255"/>
      <c r="I54" s="255"/>
    </row>
    <row r="55" spans="1:9" ht="12" customHeight="1">
      <c r="A55" s="155" t="s">
        <v>630</v>
      </c>
      <c r="E55" s="39"/>
      <c r="F55" s="255"/>
      <c r="G55" s="255"/>
      <c r="H55" s="255"/>
      <c r="I55" s="255"/>
    </row>
    <row r="56" spans="1:9" ht="12" customHeight="1">
      <c r="A56" s="155" t="s">
        <v>631</v>
      </c>
      <c r="E56" s="39"/>
      <c r="F56" s="255"/>
      <c r="G56" s="255"/>
      <c r="H56" s="255"/>
      <c r="I56" s="255"/>
    </row>
    <row r="57" spans="1:9" ht="12" customHeight="1">
      <c r="A57" s="155" t="s">
        <v>632</v>
      </c>
      <c r="E57" s="39"/>
      <c r="F57" s="255"/>
      <c r="G57" s="255"/>
      <c r="H57" s="255"/>
      <c r="I57" s="255"/>
    </row>
    <row r="58" spans="1:9" ht="12" customHeight="1">
      <c r="A58" s="622" t="s">
        <v>692</v>
      </c>
      <c r="B58" s="538"/>
      <c r="C58" s="538"/>
      <c r="D58" s="538"/>
      <c r="E58" s="623"/>
      <c r="F58" s="624"/>
      <c r="G58" s="624"/>
      <c r="H58" s="624"/>
      <c r="I58" s="624"/>
    </row>
    <row r="59" spans="1:9" ht="12" customHeight="1">
      <c r="A59" s="622" t="s">
        <v>693</v>
      </c>
      <c r="B59" s="538"/>
      <c r="C59" s="538"/>
      <c r="D59" s="538"/>
      <c r="E59" s="623"/>
      <c r="F59" s="624"/>
      <c r="G59" s="624"/>
      <c r="H59" s="624"/>
      <c r="I59" s="624"/>
    </row>
    <row r="60" spans="1:9" ht="12" customHeight="1">
      <c r="A60" s="2" t="s">
        <v>601</v>
      </c>
      <c r="B60" s="115"/>
      <c r="C60" s="115"/>
      <c r="D60" s="115"/>
      <c r="E60" s="115"/>
      <c r="F60" s="115"/>
      <c r="G60" s="115"/>
      <c r="H60" s="115"/>
      <c r="I60" s="115"/>
    </row>
    <row r="61" spans="1:9" ht="14.45" customHeight="1">
      <c r="A61" s="2" t="s">
        <v>602</v>
      </c>
      <c r="B61" s="115"/>
      <c r="C61" s="115"/>
      <c r="D61" s="115"/>
      <c r="E61" s="115"/>
      <c r="F61" s="115"/>
      <c r="G61" s="115"/>
      <c r="H61" s="115"/>
      <c r="I61" s="115"/>
    </row>
    <row r="62" spans="1:9">
      <c r="A62" s="629" t="e">
        <f>"(6)  Total provincial contribution to public education is "&amp;TEXT(#REF!,"0.0%")&amp;". See page i for more details."</f>
        <v>#REF!</v>
      </c>
    </row>
  </sheetData>
  <phoneticPr fontId="0" type="noConversion"/>
  <printOptions horizontalCentered="1"/>
  <pageMargins left="0.51181102362204722" right="0.51181102362204722" top="0.59055118110236227" bottom="0" header="0.31496062992125984" footer="0"/>
  <pageSetup scale="82" orientation="portrait" r:id="rId1"/>
  <headerFooter alignWithMargins="0">
    <oddHeader>&amp;C&amp;"Arial,Bold"&amp;10&amp;A</oddHeader>
  </headerFooter>
</worksheet>
</file>

<file path=xl/worksheets/sheet38.xml><?xml version="1.0" encoding="utf-8"?>
<worksheet xmlns="http://schemas.openxmlformats.org/spreadsheetml/2006/main" xmlns:r="http://schemas.openxmlformats.org/officeDocument/2006/relationships">
  <sheetPr codeName="Sheet37"/>
  <dimension ref="A1:I59"/>
  <sheetViews>
    <sheetView showGridLines="0" showZeros="0" workbookViewId="0"/>
  </sheetViews>
  <sheetFormatPr defaultColWidth="15.83203125" defaultRowHeight="12"/>
  <cols>
    <col min="1" max="1" width="33.83203125" style="1" customWidth="1"/>
    <col min="2" max="2" width="16.83203125" style="1" customWidth="1"/>
    <col min="3" max="3" width="8.83203125" style="1" customWidth="1"/>
    <col min="4" max="4" width="15.83203125" style="1"/>
    <col min="5" max="5" width="8.83203125" style="1" customWidth="1"/>
    <col min="6" max="6" width="15.83203125" style="1"/>
    <col min="7" max="7" width="8.83203125" style="1" customWidth="1"/>
    <col min="8" max="8" width="15.83203125" style="1"/>
    <col min="9" max="9" width="8.83203125" style="1" customWidth="1"/>
    <col min="10" max="16384" width="15.83203125" style="1"/>
  </cols>
  <sheetData>
    <row r="1" spans="1:9" ht="6.95" customHeight="1">
      <c r="A1" s="3"/>
    </row>
    <row r="2" spans="1:9" ht="15.95" customHeight="1">
      <c r="A2" s="248"/>
      <c r="B2" s="73" t="str">
        <f>REVYEAR</f>
        <v>ANALYSIS OF OPERATING FUND REVENUE: 2013/2014 BUDGET</v>
      </c>
      <c r="C2" s="129"/>
      <c r="D2" s="129"/>
      <c r="E2" s="129"/>
      <c r="F2" s="129"/>
      <c r="G2" s="258"/>
      <c r="H2" s="259"/>
      <c r="I2" s="250" t="s">
        <v>4</v>
      </c>
    </row>
    <row r="3" spans="1:9" ht="15.95" customHeight="1">
      <c r="A3" s="245"/>
    </row>
    <row r="4" spans="1:9" ht="15.95" customHeight="1">
      <c r="B4" s="4"/>
      <c r="C4" s="4"/>
      <c r="D4" s="4"/>
      <c r="E4" s="4"/>
      <c r="F4" s="4"/>
      <c r="G4" s="4"/>
      <c r="H4" s="4"/>
      <c r="I4" s="75"/>
    </row>
    <row r="5" spans="1:9" ht="15.95" customHeight="1">
      <c r="B5" s="4"/>
      <c r="C5" s="4"/>
      <c r="D5" s="4"/>
      <c r="E5" s="4"/>
      <c r="F5" s="4"/>
      <c r="G5" s="4"/>
      <c r="H5" s="4"/>
      <c r="I5" s="4"/>
    </row>
    <row r="6" spans="1:9" ht="15.95" customHeight="1">
      <c r="B6" s="4"/>
      <c r="C6" s="4"/>
      <c r="D6" s="4"/>
      <c r="E6" s="4"/>
      <c r="F6" s="4"/>
      <c r="G6" s="4"/>
      <c r="H6" s="4"/>
      <c r="I6" s="4"/>
    </row>
    <row r="7" spans="1:9" ht="15.95" customHeight="1">
      <c r="B7" s="354" t="s">
        <v>103</v>
      </c>
      <c r="C7" s="356"/>
      <c r="D7" s="355" t="s">
        <v>104</v>
      </c>
      <c r="E7" s="356"/>
      <c r="F7" s="355" t="s">
        <v>105</v>
      </c>
      <c r="G7" s="356"/>
      <c r="H7" s="367"/>
      <c r="I7" s="356"/>
    </row>
    <row r="8" spans="1:9" ht="15.95" customHeight="1">
      <c r="A8" s="102"/>
      <c r="B8" s="358" t="s">
        <v>122</v>
      </c>
      <c r="C8" s="359"/>
      <c r="D8" s="358" t="s">
        <v>419</v>
      </c>
      <c r="E8" s="359"/>
      <c r="F8" s="358" t="s">
        <v>123</v>
      </c>
      <c r="G8" s="359"/>
      <c r="H8" s="358" t="s">
        <v>124</v>
      </c>
      <c r="I8" s="359"/>
    </row>
    <row r="9" spans="1:9" ht="15.95" customHeight="1">
      <c r="A9" s="35" t="s">
        <v>81</v>
      </c>
      <c r="B9" s="194" t="s">
        <v>126</v>
      </c>
      <c r="C9" s="246" t="s">
        <v>83</v>
      </c>
      <c r="D9" s="246" t="s">
        <v>126</v>
      </c>
      <c r="E9" s="246" t="s">
        <v>83</v>
      </c>
      <c r="F9" s="246" t="s">
        <v>126</v>
      </c>
      <c r="G9" s="246" t="s">
        <v>83</v>
      </c>
      <c r="H9" s="257" t="s">
        <v>126</v>
      </c>
      <c r="I9" s="257" t="s">
        <v>83</v>
      </c>
    </row>
    <row r="10" spans="1:9" ht="5.0999999999999996" customHeight="1">
      <c r="A10" s="37"/>
      <c r="B10" s="247"/>
      <c r="C10" s="247"/>
      <c r="D10" s="247"/>
      <c r="E10" s="247"/>
      <c r="F10" s="247"/>
      <c r="G10" s="247"/>
      <c r="H10" s="247"/>
      <c r="I10" s="247"/>
    </row>
    <row r="11" spans="1:9" ht="14.1" customHeight="1">
      <c r="A11" s="360" t="s">
        <v>230</v>
      </c>
      <c r="B11" s="361">
        <v>0</v>
      </c>
      <c r="C11" s="362">
        <f>B11/'- 44 -'!$I11*100</f>
        <v>0</v>
      </c>
      <c r="D11" s="361">
        <v>5870000</v>
      </c>
      <c r="E11" s="362">
        <f>D11/'- 44 -'!$I11*100</f>
        <v>34.643672710895714</v>
      </c>
      <c r="F11" s="361">
        <v>33000</v>
      </c>
      <c r="G11" s="362">
        <f>F11/'- 44 -'!$I11*100</f>
        <v>0.19475999990793164</v>
      </c>
      <c r="H11" s="361">
        <v>20000</v>
      </c>
      <c r="I11" s="362">
        <f>H11/'- 44 -'!$I11*100</f>
        <v>0.11803636358056463</v>
      </c>
    </row>
    <row r="12" spans="1:9" ht="14.1" customHeight="1">
      <c r="A12" s="23" t="s">
        <v>231</v>
      </c>
      <c r="B12" s="24">
        <v>266000</v>
      </c>
      <c r="C12" s="353">
        <f>B12/'- 44 -'!$I12*100</f>
        <v>0.84169352280761622</v>
      </c>
      <c r="D12" s="24">
        <v>8981775</v>
      </c>
      <c r="E12" s="353">
        <f>D12/'- 44 -'!$I12*100</f>
        <v>28.420683612087881</v>
      </c>
      <c r="F12" s="24">
        <v>345000</v>
      </c>
      <c r="G12" s="353">
        <f>F12/'- 44 -'!$I12*100</f>
        <v>1.0916701705587502</v>
      </c>
      <c r="H12" s="24">
        <v>100000</v>
      </c>
      <c r="I12" s="353">
        <f>H12/'- 44 -'!$I12*100</f>
        <v>0.31642613639384065</v>
      </c>
    </row>
    <row r="13" spans="1:9" ht="14.1" customHeight="1">
      <c r="A13" s="360" t="s">
        <v>232</v>
      </c>
      <c r="B13" s="361">
        <v>23900</v>
      </c>
      <c r="C13" s="362">
        <f>B13/'- 44 -'!$I13*100</f>
        <v>2.7545732831747438E-2</v>
      </c>
      <c r="D13" s="361">
        <v>32197506</v>
      </c>
      <c r="E13" s="362">
        <f>D13/'- 44 -'!$I13*100</f>
        <v>37.108949712325732</v>
      </c>
      <c r="F13" s="361">
        <v>280800</v>
      </c>
      <c r="G13" s="362">
        <f>F13/'- 44 -'!$I13*100</f>
        <v>0.32363354724496568</v>
      </c>
      <c r="H13" s="361">
        <v>307600</v>
      </c>
      <c r="I13" s="362">
        <f>H13/'- 44 -'!$I13*100</f>
        <v>0.35452164933244817</v>
      </c>
    </row>
    <row r="14" spans="1:9" ht="14.1" customHeight="1">
      <c r="A14" s="23" t="s">
        <v>578</v>
      </c>
      <c r="B14" s="24">
        <v>55000</v>
      </c>
      <c r="C14" s="353">
        <f>B14/'- 44 -'!$I14*100</f>
        <v>7.3814146875818915E-2</v>
      </c>
      <c r="D14" s="24">
        <v>17399032</v>
      </c>
      <c r="E14" s="353">
        <f>D14/'- 44 -'!$I14*100</f>
        <v>23.350812791728607</v>
      </c>
      <c r="F14" s="24">
        <v>1252786</v>
      </c>
      <c r="G14" s="353">
        <f>F14/'- 44 -'!$I14*100</f>
        <v>1.6813332692358123</v>
      </c>
      <c r="H14" s="24">
        <v>0</v>
      </c>
      <c r="I14" s="353">
        <f>H14/'- 44 -'!$I14*100</f>
        <v>0</v>
      </c>
    </row>
    <row r="15" spans="1:9" ht="14.1" customHeight="1">
      <c r="A15" s="360" t="s">
        <v>233</v>
      </c>
      <c r="B15" s="361">
        <v>0</v>
      </c>
      <c r="C15" s="362">
        <f>B15/'- 44 -'!$I15*100</f>
        <v>0</v>
      </c>
      <c r="D15" s="361">
        <v>7093283</v>
      </c>
      <c r="E15" s="362">
        <f>D15/'- 44 -'!$I15*100</f>
        <v>35.64905222435582</v>
      </c>
      <c r="F15" s="361">
        <v>60000</v>
      </c>
      <c r="G15" s="362">
        <f>F15/'- 44 -'!$I15*100</f>
        <v>0.30154487470207364</v>
      </c>
      <c r="H15" s="361">
        <v>160000</v>
      </c>
      <c r="I15" s="362">
        <f>H15/'- 44 -'!$I15*100</f>
        <v>0.80411966587219641</v>
      </c>
    </row>
    <row r="16" spans="1:9" ht="14.1" customHeight="1">
      <c r="A16" s="23" t="s">
        <v>234</v>
      </c>
      <c r="B16" s="24">
        <v>0</v>
      </c>
      <c r="C16" s="353">
        <f>B16/'- 44 -'!$I16*100</f>
        <v>0</v>
      </c>
      <c r="D16" s="24">
        <v>2942790</v>
      </c>
      <c r="E16" s="353">
        <f>D16/'- 44 -'!$I16*100</f>
        <v>22.113326751212281</v>
      </c>
      <c r="F16" s="24">
        <v>152685</v>
      </c>
      <c r="G16" s="353">
        <f>F16/'- 44 -'!$I16*100</f>
        <v>1.1473374909554699</v>
      </c>
      <c r="H16" s="24">
        <v>0</v>
      </c>
      <c r="I16" s="353">
        <f>H16/'- 44 -'!$I16*100</f>
        <v>0</v>
      </c>
    </row>
    <row r="17" spans="1:9" ht="14.1" customHeight="1">
      <c r="A17" s="360" t="s">
        <v>235</v>
      </c>
      <c r="B17" s="361">
        <v>0</v>
      </c>
      <c r="C17" s="362">
        <f>B17/'- 44 -'!$I17*100</f>
        <v>0</v>
      </c>
      <c r="D17" s="361">
        <v>6465265</v>
      </c>
      <c r="E17" s="362">
        <f>D17/'- 44 -'!$I17*100</f>
        <v>38.000628204279714</v>
      </c>
      <c r="F17" s="361">
        <v>12800</v>
      </c>
      <c r="G17" s="362">
        <f>F17/'- 44 -'!$I17*100</f>
        <v>7.523404547451347E-2</v>
      </c>
      <c r="H17" s="361">
        <v>850640</v>
      </c>
      <c r="I17" s="362">
        <f>H17/'- 44 -'!$I17*100</f>
        <v>4.9997725345656354</v>
      </c>
    </row>
    <row r="18" spans="1:9" ht="14.1" customHeight="1">
      <c r="A18" s="23" t="s">
        <v>236</v>
      </c>
      <c r="B18" s="539">
        <v>14065407</v>
      </c>
      <c r="C18" s="540">
        <f>B18/'- 44 -'!$I18*100</f>
        <v>11.341068371262567</v>
      </c>
      <c r="D18" s="24">
        <v>3007817</v>
      </c>
      <c r="E18" s="353">
        <f>D18/'- 44 -'!$I18*100</f>
        <v>2.4252307981735512</v>
      </c>
      <c r="F18" s="24">
        <v>0</v>
      </c>
      <c r="G18" s="353">
        <f>F18/'- 44 -'!$I18*100</f>
        <v>0</v>
      </c>
      <c r="H18" s="24">
        <v>53065440</v>
      </c>
      <c r="I18" s="353">
        <f>H18/'- 44 -'!$I18*100</f>
        <v>42.787157399080691</v>
      </c>
    </row>
    <row r="19" spans="1:9" ht="14.1" customHeight="1">
      <c r="A19" s="360" t="s">
        <v>237</v>
      </c>
      <c r="B19" s="361">
        <v>0</v>
      </c>
      <c r="C19" s="362">
        <f>B19/'- 44 -'!$I19*100</f>
        <v>0</v>
      </c>
      <c r="D19" s="361">
        <v>13577483</v>
      </c>
      <c r="E19" s="362">
        <f>D19/'- 44 -'!$I19*100</f>
        <v>30.998026283391241</v>
      </c>
      <c r="F19" s="361">
        <v>251000</v>
      </c>
      <c r="G19" s="362">
        <f>F19/'- 44 -'!$I19*100</f>
        <v>0.57304469444971506</v>
      </c>
      <c r="H19" s="361">
        <v>0</v>
      </c>
      <c r="I19" s="362">
        <f>H19/'- 44 -'!$I19*100</f>
        <v>0</v>
      </c>
    </row>
    <row r="20" spans="1:9" ht="14.1" customHeight="1">
      <c r="A20" s="23" t="s">
        <v>238</v>
      </c>
      <c r="B20" s="24">
        <v>0</v>
      </c>
      <c r="C20" s="353">
        <f>B20/'- 44 -'!$I20*100</f>
        <v>0</v>
      </c>
      <c r="D20" s="24">
        <v>20451416</v>
      </c>
      <c r="E20" s="353">
        <f>D20/'- 44 -'!$I20*100</f>
        <v>27.617119538063072</v>
      </c>
      <c r="F20" s="24">
        <v>90000</v>
      </c>
      <c r="G20" s="353">
        <f>F20/'- 44 -'!$I20*100</f>
        <v>0.12153392011710468</v>
      </c>
      <c r="H20" s="24">
        <v>0</v>
      </c>
      <c r="I20" s="353">
        <f>H20/'- 44 -'!$I20*100</f>
        <v>0</v>
      </c>
    </row>
    <row r="21" spans="1:9" ht="14.1" customHeight="1">
      <c r="A21" s="360" t="s">
        <v>239</v>
      </c>
      <c r="B21" s="361">
        <v>0</v>
      </c>
      <c r="C21" s="362">
        <f>B21/'- 44 -'!$I21*100</f>
        <v>0</v>
      </c>
      <c r="D21" s="361">
        <v>11684910</v>
      </c>
      <c r="E21" s="362">
        <f>D21/'- 44 -'!$I21*100</f>
        <v>33.670210926694324</v>
      </c>
      <c r="F21" s="361">
        <v>55000</v>
      </c>
      <c r="G21" s="362">
        <f>F21/'- 44 -'!$I21*100</f>
        <v>0.15848317196864914</v>
      </c>
      <c r="H21" s="361">
        <v>0</v>
      </c>
      <c r="I21" s="362">
        <f>H21/'- 44 -'!$I21*100</f>
        <v>0</v>
      </c>
    </row>
    <row r="22" spans="1:9" ht="14.1" customHeight="1">
      <c r="A22" s="23" t="s">
        <v>240</v>
      </c>
      <c r="B22" s="24">
        <v>0</v>
      </c>
      <c r="C22" s="353">
        <f>B22/'- 44 -'!$I22*100</f>
        <v>0</v>
      </c>
      <c r="D22" s="24">
        <v>3488145</v>
      </c>
      <c r="E22" s="353">
        <f>D22/'- 44 -'!$I22*100</f>
        <v>17.367865069247998</v>
      </c>
      <c r="F22" s="24">
        <v>15000</v>
      </c>
      <c r="G22" s="353">
        <f>F22/'- 44 -'!$I22*100</f>
        <v>7.4686681900758126E-2</v>
      </c>
      <c r="H22" s="24">
        <v>8400</v>
      </c>
      <c r="I22" s="353">
        <f>H22/'- 44 -'!$I22*100</f>
        <v>4.1824541864424553E-2</v>
      </c>
    </row>
    <row r="23" spans="1:9" ht="14.1" customHeight="1">
      <c r="A23" s="360" t="s">
        <v>241</v>
      </c>
      <c r="B23" s="361">
        <v>0</v>
      </c>
      <c r="C23" s="362">
        <f>B23/'- 44 -'!$I23*100</f>
        <v>0</v>
      </c>
      <c r="D23" s="361">
        <v>3376256</v>
      </c>
      <c r="E23" s="362">
        <f>D23/'- 44 -'!$I23*100</f>
        <v>20.764079881525799</v>
      </c>
      <c r="F23" s="361">
        <v>80000</v>
      </c>
      <c r="G23" s="362">
        <f>F23/'- 44 -'!$I23*100</f>
        <v>0.4920024993726968</v>
      </c>
      <c r="H23" s="361">
        <v>975000</v>
      </c>
      <c r="I23" s="362">
        <f>H23/'- 44 -'!$I23*100</f>
        <v>5.9962804611047424</v>
      </c>
    </row>
    <row r="24" spans="1:9" ht="14.1" customHeight="1">
      <c r="A24" s="23" t="s">
        <v>242</v>
      </c>
      <c r="B24" s="24">
        <v>0</v>
      </c>
      <c r="C24" s="353">
        <f>B24/'- 44 -'!$I24*100</f>
        <v>0</v>
      </c>
      <c r="D24" s="24">
        <v>18714015</v>
      </c>
      <c r="E24" s="353">
        <f>D24/'- 44 -'!$I24*100</f>
        <v>35.035455256956887</v>
      </c>
      <c r="F24" s="24">
        <v>186200</v>
      </c>
      <c r="G24" s="353">
        <f>F24/'- 44 -'!$I24*100</f>
        <v>0.34859445014046281</v>
      </c>
      <c r="H24" s="24">
        <v>399835</v>
      </c>
      <c r="I24" s="353">
        <f>H24/'- 44 -'!$I24*100</f>
        <v>0.74855135323260968</v>
      </c>
    </row>
    <row r="25" spans="1:9" ht="14.1" customHeight="1">
      <c r="A25" s="360" t="s">
        <v>243</v>
      </c>
      <c r="B25" s="361">
        <v>0</v>
      </c>
      <c r="C25" s="362">
        <f>B25/'- 44 -'!$I25*100</f>
        <v>0</v>
      </c>
      <c r="D25" s="361">
        <v>51569492</v>
      </c>
      <c r="E25" s="362">
        <f>D25/'- 44 -'!$I25*100</f>
        <v>32.944677917562814</v>
      </c>
      <c r="F25" s="361">
        <v>430000</v>
      </c>
      <c r="G25" s="362">
        <f>F25/'- 44 -'!$I25*100</f>
        <v>0.27470139718560754</v>
      </c>
      <c r="H25" s="361">
        <v>0</v>
      </c>
      <c r="I25" s="362">
        <f>H25/'- 44 -'!$I25*100</f>
        <v>0</v>
      </c>
    </row>
    <row r="26" spans="1:9" ht="14.1" customHeight="1">
      <c r="A26" s="23" t="s">
        <v>244</v>
      </c>
      <c r="B26" s="24">
        <v>517943</v>
      </c>
      <c r="C26" s="353">
        <f>B26/'- 44 -'!$I26*100</f>
        <v>1.340469279546062</v>
      </c>
      <c r="D26" s="24">
        <v>9987127</v>
      </c>
      <c r="E26" s="353">
        <f>D26/'- 44 -'!$I26*100</f>
        <v>25.847317049221679</v>
      </c>
      <c r="F26" s="24">
        <v>381500</v>
      </c>
      <c r="G26" s="353">
        <f>F26/'- 44 -'!$I26*100</f>
        <v>0.98734615613459908</v>
      </c>
      <c r="H26" s="24">
        <v>315000</v>
      </c>
      <c r="I26" s="353">
        <f>H26/'- 44 -'!$I26*100</f>
        <v>0.81523994543223777</v>
      </c>
    </row>
    <row r="27" spans="1:9" ht="14.1" customHeight="1">
      <c r="A27" s="360" t="s">
        <v>245</v>
      </c>
      <c r="B27" s="361">
        <v>92000</v>
      </c>
      <c r="C27" s="362">
        <f>B27/'- 44 -'!$I27*100</f>
        <v>0.23821493123421097</v>
      </c>
      <c r="D27" s="361">
        <v>7588953</v>
      </c>
      <c r="E27" s="362">
        <f>D27/'- 44 -'!$I27*100</f>
        <v>19.650020837333251</v>
      </c>
      <c r="F27" s="361">
        <v>193050</v>
      </c>
      <c r="G27" s="362">
        <f>F27/'- 44 -'!$I27*100</f>
        <v>0.49986296168222211</v>
      </c>
      <c r="H27" s="361">
        <v>205000</v>
      </c>
      <c r="I27" s="362">
        <f>H27/'- 44 -'!$I27*100</f>
        <v>0.53080500981536149</v>
      </c>
    </row>
    <row r="28" spans="1:9" ht="14.1" customHeight="1">
      <c r="A28" s="23" t="s">
        <v>246</v>
      </c>
      <c r="B28" s="24">
        <v>0</v>
      </c>
      <c r="C28" s="353">
        <f>B28/'- 44 -'!$I28*100</f>
        <v>0</v>
      </c>
      <c r="D28" s="24">
        <v>6174913</v>
      </c>
      <c r="E28" s="353">
        <f>D28/'- 44 -'!$I28*100</f>
        <v>23.524325867134106</v>
      </c>
      <c r="F28" s="24">
        <v>15000</v>
      </c>
      <c r="G28" s="353">
        <f>F28/'- 44 -'!$I28*100</f>
        <v>5.714491653680167E-2</v>
      </c>
      <c r="H28" s="24">
        <v>6591000</v>
      </c>
      <c r="I28" s="353">
        <f>H28/'- 44 -'!$I28*100</f>
        <v>25.109476326270652</v>
      </c>
    </row>
    <row r="29" spans="1:9" ht="14.1" customHeight="1">
      <c r="A29" s="360" t="s">
        <v>247</v>
      </c>
      <c r="B29" s="361">
        <v>0</v>
      </c>
      <c r="C29" s="362">
        <f>B29/'- 44 -'!$I29*100</f>
        <v>0</v>
      </c>
      <c r="D29" s="361">
        <v>60027701</v>
      </c>
      <c r="E29" s="362">
        <f>D29/'- 44 -'!$I29*100</f>
        <v>41.416428344043958</v>
      </c>
      <c r="F29" s="361">
        <v>725000</v>
      </c>
      <c r="G29" s="362">
        <f>F29/'- 44 -'!$I29*100</f>
        <v>0.50021756704345333</v>
      </c>
      <c r="H29" s="361">
        <v>0</v>
      </c>
      <c r="I29" s="362">
        <f>H29/'- 44 -'!$I29*100</f>
        <v>0</v>
      </c>
    </row>
    <row r="30" spans="1:9" ht="14.1" customHeight="1">
      <c r="A30" s="23" t="s">
        <v>248</v>
      </c>
      <c r="B30" s="24">
        <v>0</v>
      </c>
      <c r="C30" s="353">
        <f>B30/'- 44 -'!$I30*100</f>
        <v>0</v>
      </c>
      <c r="D30" s="24">
        <v>4363109</v>
      </c>
      <c r="E30" s="353">
        <f>D30/'- 44 -'!$I30*100</f>
        <v>32.211313042214222</v>
      </c>
      <c r="F30" s="24">
        <v>28600</v>
      </c>
      <c r="G30" s="353">
        <f>F30/'- 44 -'!$I30*100</f>
        <v>0.21114383184268987</v>
      </c>
      <c r="H30" s="24">
        <v>19350</v>
      </c>
      <c r="I30" s="353">
        <f>H30/'- 44 -'!$I30*100</f>
        <v>0.14285430580965205</v>
      </c>
    </row>
    <row r="31" spans="1:9" ht="14.1" customHeight="1">
      <c r="A31" s="360" t="s">
        <v>249</v>
      </c>
      <c r="B31" s="361">
        <v>20000</v>
      </c>
      <c r="C31" s="362">
        <f>B31/'- 44 -'!$I31*100</f>
        <v>5.797717687848155E-2</v>
      </c>
      <c r="D31" s="361">
        <v>11611180</v>
      </c>
      <c r="E31" s="362">
        <f>D31/'- 44 -'!$I31*100</f>
        <v>33.659171831394367</v>
      </c>
      <c r="F31" s="361">
        <v>180000</v>
      </c>
      <c r="G31" s="362">
        <f>F31/'- 44 -'!$I31*100</f>
        <v>0.52179459190633393</v>
      </c>
      <c r="H31" s="361">
        <v>785000</v>
      </c>
      <c r="I31" s="362">
        <f>H31/'- 44 -'!$I31*100</f>
        <v>2.2756041924804009</v>
      </c>
    </row>
    <row r="32" spans="1:9" ht="14.1" customHeight="1">
      <c r="A32" s="23" t="s">
        <v>250</v>
      </c>
      <c r="B32" s="24">
        <v>0</v>
      </c>
      <c r="C32" s="353">
        <f>B32/'- 44 -'!$I32*100</f>
        <v>0</v>
      </c>
      <c r="D32" s="24">
        <v>9317976</v>
      </c>
      <c r="E32" s="353">
        <f>D32/'- 44 -'!$I32*100</f>
        <v>35.673560127102029</v>
      </c>
      <c r="F32" s="24">
        <v>62000</v>
      </c>
      <c r="G32" s="353">
        <f>F32/'- 44 -'!$I32*100</f>
        <v>0.23736493074035886</v>
      </c>
      <c r="H32" s="24">
        <v>0</v>
      </c>
      <c r="I32" s="353">
        <f>H32/'- 44 -'!$I32*100</f>
        <v>0</v>
      </c>
    </row>
    <row r="33" spans="1:9" ht="14.1" customHeight="1">
      <c r="A33" s="360" t="s">
        <v>251</v>
      </c>
      <c r="B33" s="361">
        <v>0</v>
      </c>
      <c r="C33" s="362">
        <f>B33/'- 44 -'!$I33*100</f>
        <v>0</v>
      </c>
      <c r="D33" s="361">
        <v>9553389</v>
      </c>
      <c r="E33" s="362">
        <f>D33/'- 44 -'!$I33*100</f>
        <v>35.12341482310255</v>
      </c>
      <c r="F33" s="361">
        <v>20000</v>
      </c>
      <c r="G33" s="362">
        <f>F33/'- 44 -'!$I33*100</f>
        <v>7.3530795873804677E-2</v>
      </c>
      <c r="H33" s="361">
        <v>300000</v>
      </c>
      <c r="I33" s="362">
        <f>H33/'- 44 -'!$I33*100</f>
        <v>1.1029619381070701</v>
      </c>
    </row>
    <row r="34" spans="1:9" ht="14.1" customHeight="1">
      <c r="A34" s="23" t="s">
        <v>252</v>
      </c>
      <c r="B34" s="24">
        <v>20900</v>
      </c>
      <c r="C34" s="353">
        <f>B34/'- 44 -'!$I34*100</f>
        <v>8.0391538332858739E-2</v>
      </c>
      <c r="D34" s="24">
        <v>9574549</v>
      </c>
      <c r="E34" s="353">
        <f>D34/'- 44 -'!$I34*100</f>
        <v>36.828359949920305</v>
      </c>
      <c r="F34" s="24">
        <v>719588</v>
      </c>
      <c r="G34" s="353">
        <f>F34/'- 44 -'!$I34*100</f>
        <v>2.7678845112854145</v>
      </c>
      <c r="H34" s="24">
        <v>0</v>
      </c>
      <c r="I34" s="353">
        <f>H34/'- 44 -'!$I34*100</f>
        <v>0</v>
      </c>
    </row>
    <row r="35" spans="1:9" ht="14.1" customHeight="1">
      <c r="A35" s="360" t="s">
        <v>253</v>
      </c>
      <c r="B35" s="361">
        <v>0</v>
      </c>
      <c r="C35" s="362">
        <f>B35/'- 44 -'!$I35*100</f>
        <v>0</v>
      </c>
      <c r="D35" s="361">
        <v>51061713</v>
      </c>
      <c r="E35" s="362">
        <f>D35/'- 44 -'!$I35*100</f>
        <v>30.025183615831669</v>
      </c>
      <c r="F35" s="361">
        <v>215000</v>
      </c>
      <c r="G35" s="362">
        <f>F35/'- 44 -'!$I35*100</f>
        <v>0.12642377425535661</v>
      </c>
      <c r="H35" s="361">
        <v>0</v>
      </c>
      <c r="I35" s="362">
        <f>H35/'- 44 -'!$I35*100</f>
        <v>0</v>
      </c>
    </row>
    <row r="36" spans="1:9" ht="14.1" customHeight="1">
      <c r="A36" s="23" t="s">
        <v>254</v>
      </c>
      <c r="B36" s="24">
        <v>28570</v>
      </c>
      <c r="C36" s="353">
        <f>B36/'- 44 -'!$I36*100</f>
        <v>0.1279637240534178</v>
      </c>
      <c r="D36" s="24">
        <v>7735414</v>
      </c>
      <c r="E36" s="353">
        <f>D36/'- 44 -'!$I36*100</f>
        <v>34.646565717008919</v>
      </c>
      <c r="F36" s="24">
        <v>61100</v>
      </c>
      <c r="G36" s="353">
        <f>F36/'- 44 -'!$I36*100</f>
        <v>0.27366410709358868</v>
      </c>
      <c r="H36" s="24">
        <v>1055000</v>
      </c>
      <c r="I36" s="353">
        <f>H36/'- 44 -'!$I36*100</f>
        <v>4.7252967755112278</v>
      </c>
    </row>
    <row r="37" spans="1:9" ht="14.1" customHeight="1">
      <c r="A37" s="360" t="s">
        <v>255</v>
      </c>
      <c r="B37" s="361">
        <v>15000</v>
      </c>
      <c r="C37" s="362">
        <f>B37/'- 44 -'!$I37*100</f>
        <v>3.5119758376062377E-2</v>
      </c>
      <c r="D37" s="361">
        <v>11224609</v>
      </c>
      <c r="E37" s="362">
        <f>D37/'- 44 -'!$I37*100</f>
        <v>26.280370396385006</v>
      </c>
      <c r="F37" s="361">
        <v>200000</v>
      </c>
      <c r="G37" s="362">
        <f>F37/'- 44 -'!$I37*100</f>
        <v>0.46826344501416495</v>
      </c>
      <c r="H37" s="361">
        <v>0</v>
      </c>
      <c r="I37" s="362">
        <f>H37/'- 44 -'!$I37*100</f>
        <v>0</v>
      </c>
    </row>
    <row r="38" spans="1:9" ht="14.1" customHeight="1">
      <c r="A38" s="23" t="s">
        <v>256</v>
      </c>
      <c r="B38" s="24">
        <v>6000</v>
      </c>
      <c r="C38" s="353">
        <f>B38/'- 44 -'!$I38*100</f>
        <v>4.9843135345877298E-3</v>
      </c>
      <c r="D38" s="24">
        <v>31407490</v>
      </c>
      <c r="E38" s="353">
        <f>D38/'- 44 -'!$I38*100</f>
        <v>26.090796249071463</v>
      </c>
      <c r="F38" s="24">
        <v>920000</v>
      </c>
      <c r="G38" s="353">
        <f>F38/'- 44 -'!$I38*100</f>
        <v>0.76426140863678527</v>
      </c>
      <c r="H38" s="24">
        <v>200000</v>
      </c>
      <c r="I38" s="353">
        <f>H38/'- 44 -'!$I38*100</f>
        <v>0.16614378448625766</v>
      </c>
    </row>
    <row r="39" spans="1:9" ht="14.1" customHeight="1">
      <c r="A39" s="360" t="s">
        <v>257</v>
      </c>
      <c r="B39" s="361">
        <v>0</v>
      </c>
      <c r="C39" s="362">
        <f>B39/'- 44 -'!$I39*100</f>
        <v>0</v>
      </c>
      <c r="D39" s="361">
        <v>8915524</v>
      </c>
      <c r="E39" s="362">
        <f>D39/'- 44 -'!$I39*100</f>
        <v>42.243709942499812</v>
      </c>
      <c r="F39" s="361">
        <v>100000</v>
      </c>
      <c r="G39" s="362">
        <f>F39/'- 44 -'!$I39*100</f>
        <v>0.47382195306187064</v>
      </c>
      <c r="H39" s="361">
        <v>0</v>
      </c>
      <c r="I39" s="362">
        <f>H39/'- 44 -'!$I39*100</f>
        <v>0</v>
      </c>
    </row>
    <row r="40" spans="1:9" ht="14.1" customHeight="1">
      <c r="A40" s="23" t="s">
        <v>258</v>
      </c>
      <c r="B40" s="24">
        <v>0</v>
      </c>
      <c r="C40" s="353">
        <f>B40/'- 44 -'!$I40*100</f>
        <v>0</v>
      </c>
      <c r="D40" s="24">
        <v>37076132</v>
      </c>
      <c r="E40" s="353">
        <f>D40/'- 44 -'!$I40*100</f>
        <v>37.599463516911854</v>
      </c>
      <c r="F40" s="24">
        <v>782300</v>
      </c>
      <c r="G40" s="353">
        <f>F40/'- 44 -'!$I40*100</f>
        <v>0.79334220487941254</v>
      </c>
      <c r="H40" s="24">
        <v>77000</v>
      </c>
      <c r="I40" s="353">
        <f>H40/'- 44 -'!$I40*100</f>
        <v>7.8086858974453235E-2</v>
      </c>
    </row>
    <row r="41" spans="1:9" ht="14.1" customHeight="1">
      <c r="A41" s="360" t="s">
        <v>259</v>
      </c>
      <c r="B41" s="361">
        <v>0</v>
      </c>
      <c r="C41" s="362">
        <f>B41/'- 44 -'!$I41*100</f>
        <v>0</v>
      </c>
      <c r="D41" s="361">
        <v>21853878</v>
      </c>
      <c r="E41" s="362">
        <f>D41/'- 44 -'!$I41*100</f>
        <v>36.544869487398742</v>
      </c>
      <c r="F41" s="361">
        <v>120950</v>
      </c>
      <c r="G41" s="362">
        <f>F41/'- 44 -'!$I41*100</f>
        <v>0.20225709892316948</v>
      </c>
      <c r="H41" s="361">
        <v>350968</v>
      </c>
      <c r="I41" s="362">
        <f>H41/'- 44 -'!$I41*100</f>
        <v>0.58690177341766803</v>
      </c>
    </row>
    <row r="42" spans="1:9" ht="14.1" customHeight="1">
      <c r="A42" s="23" t="s">
        <v>260</v>
      </c>
      <c r="B42" s="24">
        <v>0</v>
      </c>
      <c r="C42" s="353">
        <f>B42/'- 44 -'!$I42*100</f>
        <v>0</v>
      </c>
      <c r="D42" s="24">
        <v>5015205</v>
      </c>
      <c r="E42" s="353">
        <f>D42/'- 44 -'!$I42*100</f>
        <v>24.696777578980537</v>
      </c>
      <c r="F42" s="24">
        <v>25150</v>
      </c>
      <c r="G42" s="353">
        <f>F42/'- 44 -'!$I42*100</f>
        <v>0.12384816894052397</v>
      </c>
      <c r="H42" s="24">
        <v>196220</v>
      </c>
      <c r="I42" s="353">
        <f>H42/'- 44 -'!$I42*100</f>
        <v>0.96626193675982563</v>
      </c>
    </row>
    <row r="43" spans="1:9" ht="14.1" customHeight="1">
      <c r="A43" s="360" t="s">
        <v>261</v>
      </c>
      <c r="B43" s="361">
        <v>0</v>
      </c>
      <c r="C43" s="362">
        <f>B43/'- 44 -'!$I43*100</f>
        <v>0</v>
      </c>
      <c r="D43" s="361">
        <v>4598601</v>
      </c>
      <c r="E43" s="362">
        <f>D43/'- 44 -'!$I43*100</f>
        <v>37.454082393099185</v>
      </c>
      <c r="F43" s="361">
        <v>35000</v>
      </c>
      <c r="G43" s="362">
        <f>F43/'- 44 -'!$I43*100</f>
        <v>0.28506341031945837</v>
      </c>
      <c r="H43" s="361">
        <v>0</v>
      </c>
      <c r="I43" s="362">
        <f>H43/'- 44 -'!$I43*100</f>
        <v>0</v>
      </c>
    </row>
    <row r="44" spans="1:9" ht="14.1" customHeight="1">
      <c r="A44" s="23" t="s">
        <v>262</v>
      </c>
      <c r="B44" s="24">
        <v>0</v>
      </c>
      <c r="C44" s="353">
        <f>B44/'- 44 -'!$I44*100</f>
        <v>0</v>
      </c>
      <c r="D44" s="24">
        <v>2261720</v>
      </c>
      <c r="E44" s="353">
        <f>D44/'- 44 -'!$I44*100</f>
        <v>20.991907833559043</v>
      </c>
      <c r="F44" s="24">
        <v>19500</v>
      </c>
      <c r="G44" s="353">
        <f>F44/'- 44 -'!$I44*100</f>
        <v>0.18098712606087461</v>
      </c>
      <c r="H44" s="24">
        <v>0</v>
      </c>
      <c r="I44" s="353">
        <f>H44/'- 44 -'!$I44*100</f>
        <v>0</v>
      </c>
    </row>
    <row r="45" spans="1:9" ht="14.1" customHeight="1">
      <c r="A45" s="360" t="s">
        <v>263</v>
      </c>
      <c r="B45" s="361">
        <v>20000</v>
      </c>
      <c r="C45" s="362">
        <f>B45/'- 44 -'!$I45*100</f>
        <v>0.11308000998722649</v>
      </c>
      <c r="D45" s="361">
        <v>5597320</v>
      </c>
      <c r="E45" s="362">
        <f>D45/'- 44 -'!$I45*100</f>
        <v>31.647250075085125</v>
      </c>
      <c r="F45" s="361">
        <v>43550</v>
      </c>
      <c r="G45" s="362">
        <f>F45/'- 44 -'!$I45*100</f>
        <v>0.24623172174718569</v>
      </c>
      <c r="H45" s="361">
        <v>0</v>
      </c>
      <c r="I45" s="362">
        <f>H45/'- 44 -'!$I45*100</f>
        <v>0</v>
      </c>
    </row>
    <row r="46" spans="1:9" ht="14.1" customHeight="1">
      <c r="A46" s="23" t="s">
        <v>264</v>
      </c>
      <c r="B46" s="24">
        <v>0</v>
      </c>
      <c r="C46" s="353">
        <f>B46/'- 44 -'!$I46*100</f>
        <v>0</v>
      </c>
      <c r="D46" s="24">
        <v>125781108</v>
      </c>
      <c r="E46" s="353">
        <f>D46/'- 44 -'!$I46*100</f>
        <v>34.459529586908452</v>
      </c>
      <c r="F46" s="24">
        <v>2297500</v>
      </c>
      <c r="G46" s="353">
        <f>F46/'- 44 -'!$I46*100</f>
        <v>0.6294329131360662</v>
      </c>
      <c r="H46" s="24">
        <v>2400000</v>
      </c>
      <c r="I46" s="353">
        <f>H46/'- 44 -'!$I46*100</f>
        <v>0.65751425093647842</v>
      </c>
    </row>
    <row r="47" spans="1:9" ht="5.0999999999999996" customHeight="1">
      <c r="A47"/>
      <c r="B47"/>
      <c r="C47"/>
      <c r="D47"/>
      <c r="E47"/>
      <c r="F47"/>
      <c r="G47"/>
      <c r="H47"/>
      <c r="I47"/>
    </row>
    <row r="48" spans="1:9" ht="14.1" customHeight="1">
      <c r="A48" s="363" t="s">
        <v>265</v>
      </c>
      <c r="B48" s="364">
        <f>SUM(B11:B46)</f>
        <v>15130720</v>
      </c>
      <c r="C48" s="365">
        <f>B48/'- 44 -'!$I48*100</f>
        <v>0.71379148320065522</v>
      </c>
      <c r="D48" s="364">
        <f>SUM(D11:D46)</f>
        <v>647546796</v>
      </c>
      <c r="E48" s="365">
        <f>D48/'- 44 -'!$I48*100</f>
        <v>30.548010138226871</v>
      </c>
      <c r="F48" s="364">
        <f>SUM(F11:F46)</f>
        <v>10389059</v>
      </c>
      <c r="G48" s="365">
        <f>F48/'- 44 -'!$I48*100</f>
        <v>0.49010369848025176</v>
      </c>
      <c r="H48" s="364">
        <f>SUM(H11:H46)</f>
        <v>68381453</v>
      </c>
      <c r="I48" s="365">
        <f>H48/'- 44 -'!$I48*100</f>
        <v>3.22589399316661</v>
      </c>
    </row>
    <row r="49" spans="1:9" ht="5.0999999999999996" customHeight="1">
      <c r="A49" s="25" t="s">
        <v>3</v>
      </c>
      <c r="B49" s="26"/>
      <c r="C49" s="351"/>
      <c r="D49" s="26"/>
      <c r="E49" s="351"/>
      <c r="F49" s="26"/>
      <c r="G49" s="351"/>
      <c r="H49" s="26"/>
      <c r="I49" s="351"/>
    </row>
    <row r="50" spans="1:9" ht="14.1" customHeight="1">
      <c r="A50" s="23" t="s">
        <v>266</v>
      </c>
      <c r="B50" s="24">
        <v>0</v>
      </c>
      <c r="C50" s="353">
        <f>B50/'- 44 -'!$I50*100</f>
        <v>0</v>
      </c>
      <c r="D50" s="24">
        <v>1830040</v>
      </c>
      <c r="E50" s="353">
        <f>D50/'- 44 -'!$I50*100</f>
        <v>54.8039066245694</v>
      </c>
      <c r="F50" s="24">
        <v>29250</v>
      </c>
      <c r="G50" s="353">
        <f>F50/'- 44 -'!$I50*100</f>
        <v>0.8759449349569709</v>
      </c>
      <c r="H50" s="24">
        <v>0</v>
      </c>
      <c r="I50" s="353">
        <f>H50/'- 44 -'!$I50*100</f>
        <v>0</v>
      </c>
    </row>
    <row r="51" spans="1:9" ht="14.1" customHeight="1">
      <c r="A51" s="360" t="s">
        <v>267</v>
      </c>
      <c r="B51" s="361">
        <v>0</v>
      </c>
      <c r="C51" s="362">
        <f>B51/'- 44 -'!$I51*100</f>
        <v>0</v>
      </c>
      <c r="D51" s="361">
        <v>0</v>
      </c>
      <c r="E51" s="362">
        <f>D51/'- 44 -'!$I51*100</f>
        <v>0</v>
      </c>
      <c r="F51" s="361">
        <v>1454153</v>
      </c>
      <c r="G51" s="362">
        <f>F51/'- 44 -'!$I51*100</f>
        <v>6.5753901986259784</v>
      </c>
      <c r="H51" s="361">
        <v>0</v>
      </c>
      <c r="I51" s="362">
        <f>H51/'- 44 -'!$I51*100</f>
        <v>0</v>
      </c>
    </row>
    <row r="52" spans="1:9" ht="50.1" customHeight="1">
      <c r="A52" s="27"/>
      <c r="B52" s="27"/>
      <c r="C52" s="27"/>
      <c r="D52" s="27"/>
      <c r="E52" s="27"/>
      <c r="F52" s="27"/>
      <c r="G52" s="27"/>
      <c r="H52" s="27"/>
      <c r="I52" s="27"/>
    </row>
    <row r="53" spans="1:9" ht="14.45" customHeight="1">
      <c r="A53" s="329" t="str">
        <f>"(1)  Municipal Government revenue is net of "&amp;"$"&amp;TEXT('- 42 -'!C48,"00,0")&amp;" in Education Property Tax Credit (EPTC) revenue paid directly to school divisions. See"</f>
        <v>(1)  Municipal Government revenue is net of $195,848,389 in Education Property Tax Credit (EPTC) revenue paid directly to school divisions. See</v>
      </c>
      <c r="D53" s="39"/>
      <c r="E53" s="255"/>
      <c r="F53" s="255"/>
      <c r="G53" s="255"/>
      <c r="H53" s="255"/>
      <c r="I53" s="255"/>
    </row>
    <row r="54" spans="1:9" ht="12" customHeight="1">
      <c r="A54" s="1" t="s">
        <v>633</v>
      </c>
    </row>
    <row r="55" spans="1:9" ht="14.45" customHeight="1"/>
    <row r="56" spans="1:9" ht="14.45" customHeight="1"/>
    <row r="57" spans="1:9" ht="14.45" customHeight="1"/>
    <row r="58" spans="1:9" ht="14.45" customHeight="1"/>
    <row r="59" spans="1:9" ht="14.45" customHeight="1"/>
  </sheetData>
  <phoneticPr fontId="0" type="noConversion"/>
  <printOptions horizontalCentered="1"/>
  <pageMargins left="0.51181102362204722" right="0.51181102362204722" top="0.59055118110236227" bottom="0" header="0.31496062992125984" footer="0"/>
  <pageSetup scale="85" orientation="portrait" r:id="rId1"/>
  <headerFooter alignWithMargins="0">
    <oddHeader>&amp;C&amp;"Arial,Bold"&amp;10&amp;A</oddHeader>
  </headerFooter>
</worksheet>
</file>

<file path=xl/worksheets/sheet39.xml><?xml version="1.0" encoding="utf-8"?>
<worksheet xmlns="http://schemas.openxmlformats.org/spreadsheetml/2006/main" xmlns:r="http://schemas.openxmlformats.org/officeDocument/2006/relationships">
  <sheetPr codeName="Sheet38"/>
  <dimension ref="A1:I65536"/>
  <sheetViews>
    <sheetView showGridLines="0" showZeros="0" workbookViewId="0"/>
  </sheetViews>
  <sheetFormatPr defaultColWidth="15.83203125" defaultRowHeight="12"/>
  <cols>
    <col min="1" max="1" width="33.83203125" style="1" customWidth="1"/>
    <col min="2" max="2" width="16.83203125" style="1" customWidth="1"/>
    <col min="3" max="3" width="8.83203125" style="1" customWidth="1"/>
    <col min="4" max="4" width="15.83203125" style="1"/>
    <col min="5" max="5" width="8.83203125" style="1" customWidth="1"/>
    <col min="6" max="6" width="15.83203125" style="1"/>
    <col min="7" max="7" width="8.83203125" style="1" customWidth="1"/>
    <col min="8" max="8" width="4.83203125" style="1" customWidth="1"/>
    <col min="9" max="9" width="19.83203125" style="1" customWidth="1"/>
    <col min="10" max="16384" width="15.83203125" style="1"/>
  </cols>
  <sheetData>
    <row r="1" spans="1:9" ht="6.95" customHeight="1">
      <c r="A1" s="3"/>
    </row>
    <row r="2" spans="1:9" ht="15.95" customHeight="1">
      <c r="A2" s="248"/>
      <c r="B2" s="73" t="str">
        <f>REVYEAR</f>
        <v>ANALYSIS OF OPERATING FUND REVENUE: 2013/2014 BUDGET</v>
      </c>
      <c r="C2" s="129"/>
      <c r="D2" s="129"/>
      <c r="E2" s="129"/>
      <c r="F2" s="129"/>
      <c r="G2" s="256"/>
      <c r="H2" s="130"/>
      <c r="I2" s="250" t="s">
        <v>5</v>
      </c>
    </row>
    <row r="3" spans="1:9" ht="15.95" customHeight="1">
      <c r="A3" s="245"/>
    </row>
    <row r="4" spans="1:9" ht="15.95" customHeight="1">
      <c r="B4" s="75"/>
      <c r="C4" s="4"/>
      <c r="D4" s="4"/>
      <c r="E4" s="4"/>
      <c r="F4" s="4"/>
      <c r="G4" s="4"/>
      <c r="H4" s="4"/>
      <c r="I4" s="4"/>
    </row>
    <row r="5" spans="1:9" ht="15.95" customHeight="1">
      <c r="B5" s="4"/>
      <c r="C5" s="4"/>
      <c r="D5" s="4"/>
      <c r="E5" s="4"/>
      <c r="F5" s="4"/>
      <c r="G5" s="4"/>
      <c r="H5" s="4"/>
      <c r="I5" s="4"/>
    </row>
    <row r="6" spans="1:9" ht="15.95" customHeight="1">
      <c r="B6" s="354" t="s">
        <v>101</v>
      </c>
      <c r="C6" s="356"/>
      <c r="D6" s="367"/>
      <c r="E6" s="367"/>
      <c r="F6" s="354" t="s">
        <v>54</v>
      </c>
      <c r="G6" s="356"/>
      <c r="H6" s="4"/>
      <c r="I6" s="444" t="s">
        <v>54</v>
      </c>
    </row>
    <row r="7" spans="1:9" ht="15.95" customHeight="1">
      <c r="B7" s="433" t="s">
        <v>106</v>
      </c>
      <c r="C7" s="442"/>
      <c r="D7" s="443"/>
      <c r="E7" s="443"/>
      <c r="F7" s="433" t="s">
        <v>107</v>
      </c>
      <c r="G7" s="442"/>
      <c r="H7" s="4"/>
      <c r="I7" s="445" t="s">
        <v>108</v>
      </c>
    </row>
    <row r="8" spans="1:9" ht="15.95" customHeight="1">
      <c r="A8" s="102"/>
      <c r="B8" s="358" t="s">
        <v>125</v>
      </c>
      <c r="C8" s="359"/>
      <c r="D8" s="358" t="s">
        <v>44</v>
      </c>
      <c r="E8" s="358"/>
      <c r="F8" s="357" t="s">
        <v>126</v>
      </c>
      <c r="G8" s="359"/>
      <c r="H8" s="4"/>
      <c r="I8" s="446" t="s">
        <v>121</v>
      </c>
    </row>
    <row r="9" spans="1:9" ht="15.95" customHeight="1">
      <c r="A9" s="35" t="s">
        <v>81</v>
      </c>
      <c r="B9" s="194" t="s">
        <v>126</v>
      </c>
      <c r="C9" s="246" t="s">
        <v>83</v>
      </c>
      <c r="D9" s="257" t="s">
        <v>126</v>
      </c>
      <c r="E9" s="257" t="s">
        <v>83</v>
      </c>
      <c r="F9" s="246" t="s">
        <v>126</v>
      </c>
      <c r="G9" s="257" t="s">
        <v>83</v>
      </c>
      <c r="H9" s="4"/>
      <c r="I9" s="257" t="s">
        <v>126</v>
      </c>
    </row>
    <row r="10" spans="1:9" ht="5.0999999999999996" customHeight="1">
      <c r="A10" s="37"/>
      <c r="B10" s="247"/>
      <c r="C10" s="247"/>
      <c r="D10" s="247"/>
      <c r="E10" s="247"/>
      <c r="F10" s="247"/>
      <c r="G10" s="3"/>
      <c r="H10" s="3"/>
      <c r="I10" s="247"/>
    </row>
    <row r="11" spans="1:9" ht="14.1" customHeight="1">
      <c r="A11" s="360" t="s">
        <v>230</v>
      </c>
      <c r="B11" s="361">
        <v>32500</v>
      </c>
      <c r="C11" s="362">
        <f>B11/I11*100</f>
        <v>0.19180909081841752</v>
      </c>
      <c r="D11" s="361">
        <v>76500</v>
      </c>
      <c r="E11" s="362">
        <f>D11/I11*100</f>
        <v>0.45148909069565973</v>
      </c>
      <c r="F11" s="361">
        <f>SUM('- 43 -'!$B11,'- 43 -'!$D11,'- 43 -'!$F11,'- 43 -'!$H11,B11,D11)</f>
        <v>6032000</v>
      </c>
      <c r="G11" s="362">
        <f>F11/I11*100</f>
        <v>35.599767255898293</v>
      </c>
      <c r="I11" s="361">
        <f>SUM('- 42 -'!$H11,F11)</f>
        <v>16943931</v>
      </c>
    </row>
    <row r="12" spans="1:9" ht="14.1" customHeight="1">
      <c r="A12" s="23" t="s">
        <v>231</v>
      </c>
      <c r="B12" s="24">
        <v>152447</v>
      </c>
      <c r="C12" s="353">
        <f t="shared" ref="C12:C46" si="0">B12/I12*100</f>
        <v>0.48238215214831831</v>
      </c>
      <c r="D12" s="24">
        <v>110194</v>
      </c>
      <c r="E12" s="353">
        <f t="shared" ref="E12:E48" si="1">D12/I12*100</f>
        <v>0.3486826167378288</v>
      </c>
      <c r="F12" s="24">
        <f>SUM('- 43 -'!$B12,'- 43 -'!$D12,'- 43 -'!$F12,'- 43 -'!$H12,B12,D12)</f>
        <v>9955416</v>
      </c>
      <c r="G12" s="353">
        <f t="shared" ref="G12:G48" si="2">F12/I12*100</f>
        <v>31.501538210734235</v>
      </c>
      <c r="I12" s="24">
        <f>SUM('- 42 -'!$H12,F12)</f>
        <v>31602952</v>
      </c>
    </row>
    <row r="13" spans="1:9" ht="14.1" customHeight="1">
      <c r="A13" s="360" t="s">
        <v>232</v>
      </c>
      <c r="B13" s="361">
        <v>670600</v>
      </c>
      <c r="C13" s="362">
        <f t="shared" si="0"/>
        <v>0.77289407686066236</v>
      </c>
      <c r="D13" s="361">
        <v>73000</v>
      </c>
      <c r="E13" s="362">
        <f t="shared" si="1"/>
        <v>8.4135501954709743E-2</v>
      </c>
      <c r="F13" s="361">
        <f>SUM('- 43 -'!$B13,'- 43 -'!$D13,'- 43 -'!$F13,'- 43 -'!$H13,B13,D13)</f>
        <v>33553406</v>
      </c>
      <c r="G13" s="362">
        <f t="shared" si="2"/>
        <v>38.671680220550272</v>
      </c>
      <c r="I13" s="361">
        <f>SUM('- 42 -'!$H13,F13)</f>
        <v>86764800</v>
      </c>
    </row>
    <row r="14" spans="1:9" ht="14.1" customHeight="1">
      <c r="A14" s="23" t="s">
        <v>578</v>
      </c>
      <c r="B14" s="24">
        <v>70000</v>
      </c>
      <c r="C14" s="353">
        <f t="shared" si="0"/>
        <v>9.394527784195135E-2</v>
      </c>
      <c r="D14" s="24">
        <v>5000</v>
      </c>
      <c r="E14" s="353">
        <f t="shared" si="1"/>
        <v>6.7103769887108108E-3</v>
      </c>
      <c r="F14" s="24">
        <f>SUM('- 43 -'!$B14,'- 43 -'!$D14,'- 43 -'!$F14,'- 43 -'!$H14,B14,D14)</f>
        <v>18781818</v>
      </c>
      <c r="G14" s="353">
        <f t="shared" si="2"/>
        <v>25.206615862670901</v>
      </c>
      <c r="I14" s="24">
        <f>SUM('- 42 -'!$H14,F14)</f>
        <v>74511462</v>
      </c>
    </row>
    <row r="15" spans="1:9" ht="14.1" customHeight="1">
      <c r="A15" s="360" t="s">
        <v>233</v>
      </c>
      <c r="B15" s="361">
        <v>39000</v>
      </c>
      <c r="C15" s="362">
        <f t="shared" si="0"/>
        <v>0.19600416855634789</v>
      </c>
      <c r="D15" s="361">
        <v>15000</v>
      </c>
      <c r="E15" s="362">
        <f t="shared" si="1"/>
        <v>7.538621867551841E-2</v>
      </c>
      <c r="F15" s="361">
        <f>SUM('- 43 -'!$B15,'- 43 -'!$D15,'- 43 -'!$F15,'- 43 -'!$H15,B15,D15)</f>
        <v>7367283</v>
      </c>
      <c r="G15" s="362">
        <f t="shared" si="2"/>
        <v>37.026107152161956</v>
      </c>
      <c r="I15" s="361">
        <f>SUM('- 42 -'!$H15,F15)</f>
        <v>19897536</v>
      </c>
    </row>
    <row r="16" spans="1:9" ht="14.1" customHeight="1">
      <c r="A16" s="23" t="s">
        <v>234</v>
      </c>
      <c r="B16" s="24">
        <v>194893</v>
      </c>
      <c r="C16" s="353">
        <f t="shared" si="0"/>
        <v>1.464505652976942</v>
      </c>
      <c r="D16" s="24">
        <v>44055</v>
      </c>
      <c r="E16" s="353">
        <f t="shared" si="1"/>
        <v>0.33104727487338781</v>
      </c>
      <c r="F16" s="24">
        <f>SUM('- 43 -'!$B16,'- 43 -'!$D16,'- 43 -'!$F16,'- 43 -'!$H16,B16,D16)</f>
        <v>3334423</v>
      </c>
      <c r="G16" s="353">
        <f t="shared" si="2"/>
        <v>25.05621717001808</v>
      </c>
      <c r="I16" s="24">
        <f>SUM('- 42 -'!$H16,F16)</f>
        <v>13307767</v>
      </c>
    </row>
    <row r="17" spans="1:9" ht="14.1" customHeight="1">
      <c r="A17" s="360" t="s">
        <v>235</v>
      </c>
      <c r="B17" s="361">
        <v>0</v>
      </c>
      <c r="C17" s="362">
        <f t="shared" si="0"/>
        <v>0</v>
      </c>
      <c r="D17" s="361">
        <v>22600</v>
      </c>
      <c r="E17" s="362">
        <f t="shared" si="1"/>
        <v>0.13283511154093786</v>
      </c>
      <c r="F17" s="361">
        <f>SUM('- 43 -'!$B17,'- 43 -'!$D17,'- 43 -'!$F17,'- 43 -'!$H17,B17,D17)</f>
        <v>7351305</v>
      </c>
      <c r="G17" s="362">
        <f t="shared" si="2"/>
        <v>43.208469895860802</v>
      </c>
      <c r="I17" s="361">
        <f>SUM('- 42 -'!$H17,F17)</f>
        <v>17013574</v>
      </c>
    </row>
    <row r="18" spans="1:9" ht="14.1" customHeight="1">
      <c r="A18" s="23" t="s">
        <v>236</v>
      </c>
      <c r="B18" s="24">
        <v>4443991</v>
      </c>
      <c r="C18" s="353">
        <f t="shared" si="0"/>
        <v>3.5832312404664508</v>
      </c>
      <c r="D18" s="24">
        <v>923277</v>
      </c>
      <c r="E18" s="353">
        <f t="shared" si="1"/>
        <v>0.74444682493824665</v>
      </c>
      <c r="F18" s="24">
        <f>SUM('- 43 -'!$B18,'- 43 -'!$D18,'- 43 -'!$F18,'- 43 -'!$H18,B18,D18)</f>
        <v>75505932</v>
      </c>
      <c r="G18" s="353">
        <f t="shared" si="2"/>
        <v>60.881134633921505</v>
      </c>
      <c r="I18" s="24">
        <f>SUM('- 42 -'!$H18,F18)</f>
        <v>124021887</v>
      </c>
    </row>
    <row r="19" spans="1:9" ht="14.1" customHeight="1">
      <c r="A19" s="360" t="s">
        <v>237</v>
      </c>
      <c r="B19" s="361">
        <v>0</v>
      </c>
      <c r="C19" s="362">
        <f t="shared" si="0"/>
        <v>0</v>
      </c>
      <c r="D19" s="361">
        <v>212000</v>
      </c>
      <c r="E19" s="362">
        <f t="shared" si="1"/>
        <v>0.48400587738382306</v>
      </c>
      <c r="F19" s="361">
        <f>SUM('- 43 -'!$B19,'- 43 -'!$D19,'- 43 -'!$F19,'- 43 -'!$H19,B19,D19)</f>
        <v>14040483</v>
      </c>
      <c r="G19" s="362">
        <f t="shared" si="2"/>
        <v>32.055076855224776</v>
      </c>
      <c r="I19" s="361">
        <f>SUM('- 42 -'!$H19,F19)</f>
        <v>43801121</v>
      </c>
    </row>
    <row r="20" spans="1:9" ht="14.1" customHeight="1">
      <c r="A20" s="23" t="s">
        <v>238</v>
      </c>
      <c r="B20" s="24">
        <v>359000</v>
      </c>
      <c r="C20" s="353">
        <f t="shared" si="0"/>
        <v>0.48478530357822869</v>
      </c>
      <c r="D20" s="24">
        <v>66000</v>
      </c>
      <c r="E20" s="353">
        <f t="shared" si="1"/>
        <v>8.9124874752543437E-2</v>
      </c>
      <c r="F20" s="24">
        <f>SUM('- 43 -'!$B20,'- 43 -'!$D20,'- 43 -'!$F20,'- 43 -'!$H20,B20,D20)</f>
        <v>20966416</v>
      </c>
      <c r="G20" s="353">
        <f t="shared" si="2"/>
        <v>28.312563636510951</v>
      </c>
      <c r="I20" s="24">
        <f>SUM('- 42 -'!$H20,F20)</f>
        <v>74053400</v>
      </c>
    </row>
    <row r="21" spans="1:9" ht="14.1" customHeight="1">
      <c r="A21" s="360" t="s">
        <v>239</v>
      </c>
      <c r="B21" s="361">
        <v>211500</v>
      </c>
      <c r="C21" s="362">
        <f t="shared" si="0"/>
        <v>0.60943983402489632</v>
      </c>
      <c r="D21" s="361">
        <v>125720</v>
      </c>
      <c r="E21" s="362">
        <f t="shared" si="1"/>
        <v>0.36226371599815582</v>
      </c>
      <c r="F21" s="361">
        <f>SUM('- 43 -'!$B21,'- 43 -'!$D21,'- 43 -'!$F21,'- 43 -'!$H21,B21,D21)</f>
        <v>12077130</v>
      </c>
      <c r="G21" s="362">
        <f t="shared" si="2"/>
        <v>34.80039764868603</v>
      </c>
      <c r="I21" s="361">
        <f>SUM('- 42 -'!$H21,F21)</f>
        <v>34704000</v>
      </c>
    </row>
    <row r="22" spans="1:9" ht="14.1" customHeight="1">
      <c r="A22" s="23" t="s">
        <v>240</v>
      </c>
      <c r="B22" s="24">
        <v>75000</v>
      </c>
      <c r="C22" s="353">
        <f t="shared" si="0"/>
        <v>0.37343340950379067</v>
      </c>
      <c r="D22" s="24">
        <v>70500</v>
      </c>
      <c r="E22" s="353">
        <f t="shared" si="1"/>
        <v>0.35102740493356321</v>
      </c>
      <c r="F22" s="24">
        <f>SUM('- 43 -'!$B22,'- 43 -'!$D22,'- 43 -'!$F22,'- 43 -'!$H22,B22,D22)</f>
        <v>3657045</v>
      </c>
      <c r="G22" s="353">
        <f t="shared" si="2"/>
        <v>18.208837107450535</v>
      </c>
      <c r="I22" s="24">
        <f>SUM('- 42 -'!$H22,F22)</f>
        <v>20083902</v>
      </c>
    </row>
    <row r="23" spans="1:9" ht="14.1" customHeight="1">
      <c r="A23" s="360" t="s">
        <v>241</v>
      </c>
      <c r="B23" s="361">
        <v>236000</v>
      </c>
      <c r="C23" s="362">
        <f t="shared" si="0"/>
        <v>1.4514073731494557</v>
      </c>
      <c r="D23" s="361">
        <v>39000</v>
      </c>
      <c r="E23" s="362">
        <f t="shared" si="1"/>
        <v>0.23985121844418969</v>
      </c>
      <c r="F23" s="361">
        <f>SUM('- 43 -'!$B23,'- 43 -'!$D23,'- 43 -'!$F23,'- 43 -'!$H23,B23,D23)</f>
        <v>4706256</v>
      </c>
      <c r="G23" s="362">
        <f t="shared" si="2"/>
        <v>28.943621433596885</v>
      </c>
      <c r="I23" s="361">
        <f>SUM('- 42 -'!$H23,F23)</f>
        <v>16260080</v>
      </c>
    </row>
    <row r="24" spans="1:9" ht="14.1" customHeight="1">
      <c r="A24" s="23" t="s">
        <v>242</v>
      </c>
      <c r="B24" s="24">
        <v>395000</v>
      </c>
      <c r="C24" s="353">
        <f t="shared" si="0"/>
        <v>0.73949950486295812</v>
      </c>
      <c r="D24" s="24">
        <v>93500</v>
      </c>
      <c r="E24" s="353">
        <f t="shared" si="1"/>
        <v>0.17504608532832047</v>
      </c>
      <c r="F24" s="24">
        <f>SUM('- 43 -'!$B24,'- 43 -'!$D24,'- 43 -'!$F24,'- 43 -'!$H24,B24,D24)</f>
        <v>19788550</v>
      </c>
      <c r="G24" s="353">
        <f t="shared" si="2"/>
        <v>37.047146650521242</v>
      </c>
      <c r="I24" s="24">
        <f>SUM('- 42 -'!$H24,F24)</f>
        <v>53414505</v>
      </c>
    </row>
    <row r="25" spans="1:9" ht="14.1" customHeight="1">
      <c r="A25" s="360" t="s">
        <v>243</v>
      </c>
      <c r="B25" s="361">
        <v>1784506</v>
      </c>
      <c r="C25" s="362">
        <f t="shared" si="0"/>
        <v>1.1400146313630226</v>
      </c>
      <c r="D25" s="361">
        <v>100000</v>
      </c>
      <c r="E25" s="362">
        <f t="shared" si="1"/>
        <v>6.388404585711803E-2</v>
      </c>
      <c r="F25" s="361">
        <f>SUM('- 43 -'!$B25,'- 43 -'!$D25,'- 43 -'!$F25,'- 43 -'!$H25,B25,D25)</f>
        <v>53883998</v>
      </c>
      <c r="G25" s="362">
        <f t="shared" si="2"/>
        <v>34.423277991968561</v>
      </c>
      <c r="I25" s="361">
        <f>SUM('- 42 -'!$H25,F25)</f>
        <v>156533605</v>
      </c>
    </row>
    <row r="26" spans="1:9" ht="14.1" customHeight="1">
      <c r="A26" s="23" t="s">
        <v>244</v>
      </c>
      <c r="B26" s="24">
        <v>592850</v>
      </c>
      <c r="C26" s="353">
        <f t="shared" si="0"/>
        <v>1.5343333385698481</v>
      </c>
      <c r="D26" s="24">
        <v>178000</v>
      </c>
      <c r="E26" s="353">
        <f t="shared" si="1"/>
        <v>0.46067527075218512</v>
      </c>
      <c r="F26" s="24">
        <f>SUM('- 43 -'!$B26,'- 43 -'!$D26,'- 43 -'!$F26,'- 43 -'!$H26,B26,D26)</f>
        <v>11972420</v>
      </c>
      <c r="G26" s="353">
        <f t="shared" si="2"/>
        <v>30.985381039656613</v>
      </c>
      <c r="I26" s="24">
        <f>SUM('- 42 -'!$H26,F26)</f>
        <v>38638931</v>
      </c>
    </row>
    <row r="27" spans="1:9" ht="14.1" customHeight="1">
      <c r="A27" s="360" t="s">
        <v>245</v>
      </c>
      <c r="B27" s="361">
        <v>289700</v>
      </c>
      <c r="C27" s="362">
        <f t="shared" si="0"/>
        <v>0.75011810411468394</v>
      </c>
      <c r="D27" s="361">
        <v>68500</v>
      </c>
      <c r="E27" s="362">
        <f t="shared" si="1"/>
        <v>0.17736655206025492</v>
      </c>
      <c r="F27" s="361">
        <f>SUM('- 43 -'!$B27,'- 43 -'!$D27,'- 43 -'!$F27,'- 43 -'!$H27,B27,D27)</f>
        <v>8437203</v>
      </c>
      <c r="G27" s="362">
        <f t="shared" si="2"/>
        <v>21.846388396239984</v>
      </c>
      <c r="I27" s="361">
        <f>SUM('- 42 -'!$H27,F27)</f>
        <v>38620585</v>
      </c>
    </row>
    <row r="28" spans="1:9" ht="14.1" customHeight="1">
      <c r="A28" s="23" t="s">
        <v>246</v>
      </c>
      <c r="B28" s="24">
        <v>10000</v>
      </c>
      <c r="C28" s="353">
        <f t="shared" si="0"/>
        <v>3.8096611024534446E-2</v>
      </c>
      <c r="D28" s="24">
        <v>11000</v>
      </c>
      <c r="E28" s="353">
        <f t="shared" si="1"/>
        <v>4.1906272126987887E-2</v>
      </c>
      <c r="F28" s="24">
        <f>SUM('- 43 -'!$B28,'- 43 -'!$D28,'- 43 -'!$F28,'- 43 -'!$H28,B28,D28)</f>
        <v>12801913</v>
      </c>
      <c r="G28" s="353">
        <f t="shared" si="2"/>
        <v>48.770949993093083</v>
      </c>
      <c r="I28" s="24">
        <f>SUM('- 42 -'!$H28,F28)</f>
        <v>26249054</v>
      </c>
    </row>
    <row r="29" spans="1:9" ht="14.1" customHeight="1">
      <c r="A29" s="360" t="s">
        <v>247</v>
      </c>
      <c r="B29" s="361">
        <v>2266500</v>
      </c>
      <c r="C29" s="362">
        <f t="shared" si="0"/>
        <v>1.5637836078675682</v>
      </c>
      <c r="D29" s="361">
        <v>193500</v>
      </c>
      <c r="E29" s="362">
        <f t="shared" si="1"/>
        <v>0.13350634375573547</v>
      </c>
      <c r="F29" s="361">
        <f>SUM('- 43 -'!$B29,'- 43 -'!$D29,'- 43 -'!$F29,'- 43 -'!$H29,B29,D29)</f>
        <v>63212701</v>
      </c>
      <c r="G29" s="362">
        <f t="shared" si="2"/>
        <v>43.613935862710711</v>
      </c>
      <c r="I29" s="361">
        <f>SUM('- 42 -'!$H29,F29)</f>
        <v>144936933</v>
      </c>
    </row>
    <row r="30" spans="1:9" ht="14.1" customHeight="1">
      <c r="A30" s="23" t="s">
        <v>248</v>
      </c>
      <c r="B30" s="24">
        <v>8000</v>
      </c>
      <c r="C30" s="353">
        <f t="shared" si="0"/>
        <v>5.9061211704248912E-2</v>
      </c>
      <c r="D30" s="24">
        <v>41500</v>
      </c>
      <c r="E30" s="353">
        <f t="shared" si="1"/>
        <v>0.30638003571579125</v>
      </c>
      <c r="F30" s="24">
        <f>SUM('- 43 -'!$B30,'- 43 -'!$D30,'- 43 -'!$F30,'- 43 -'!$H30,B30,D30)</f>
        <v>4460559</v>
      </c>
      <c r="G30" s="353">
        <f t="shared" si="2"/>
        <v>32.930752427286606</v>
      </c>
      <c r="I30" s="24">
        <f>SUM('- 42 -'!$H30,F30)</f>
        <v>13545269</v>
      </c>
    </row>
    <row r="31" spans="1:9" ht="14.1" customHeight="1">
      <c r="A31" s="360" t="s">
        <v>249</v>
      </c>
      <c r="B31" s="361">
        <v>5000</v>
      </c>
      <c r="C31" s="362">
        <f t="shared" si="0"/>
        <v>1.4494294219620387E-2</v>
      </c>
      <c r="D31" s="361">
        <v>28000</v>
      </c>
      <c r="E31" s="362">
        <f t="shared" si="1"/>
        <v>8.1168047629874174E-2</v>
      </c>
      <c r="F31" s="361">
        <f>SUM('- 43 -'!$B31,'- 43 -'!$D31,'- 43 -'!$F31,'- 43 -'!$H31,B31,D31)</f>
        <v>12629180</v>
      </c>
      <c r="G31" s="362">
        <f t="shared" si="2"/>
        <v>36.610210134509082</v>
      </c>
      <c r="I31" s="361">
        <f>SUM('- 42 -'!$H31,F31)</f>
        <v>34496333</v>
      </c>
    </row>
    <row r="32" spans="1:9" ht="14.1" customHeight="1">
      <c r="A32" s="23" t="s">
        <v>250</v>
      </c>
      <c r="B32" s="24">
        <v>17550</v>
      </c>
      <c r="C32" s="353">
        <f t="shared" si="0"/>
        <v>6.7189589266020922E-2</v>
      </c>
      <c r="D32" s="24">
        <v>76000</v>
      </c>
      <c r="E32" s="353">
        <f t="shared" si="1"/>
        <v>0.29096346348818181</v>
      </c>
      <c r="F32" s="24">
        <f>SUM('- 43 -'!$B32,'- 43 -'!$D32,'- 43 -'!$F32,'- 43 -'!$H32,B32,D32)</f>
        <v>9473526</v>
      </c>
      <c r="G32" s="353">
        <f t="shared" si="2"/>
        <v>36.269078110596595</v>
      </c>
      <c r="I32" s="24">
        <f>SUM('- 42 -'!$H32,F32)</f>
        <v>26120118</v>
      </c>
    </row>
    <row r="33" spans="1:9" ht="14.1" customHeight="1">
      <c r="A33" s="360" t="s">
        <v>251</v>
      </c>
      <c r="B33" s="361">
        <v>25000</v>
      </c>
      <c r="C33" s="362">
        <f t="shared" si="0"/>
        <v>9.1913494842255847E-2</v>
      </c>
      <c r="D33" s="361">
        <v>50000</v>
      </c>
      <c r="E33" s="362">
        <f t="shared" si="1"/>
        <v>0.18382698968451169</v>
      </c>
      <c r="F33" s="361">
        <f>SUM('- 43 -'!$B33,'- 43 -'!$D33,'- 43 -'!$F33,'- 43 -'!$H33,B33,D33)</f>
        <v>9948389</v>
      </c>
      <c r="G33" s="362">
        <f t="shared" si="2"/>
        <v>36.575648041610194</v>
      </c>
      <c r="I33" s="361">
        <f>SUM('- 42 -'!$H33,F33)</f>
        <v>27199488</v>
      </c>
    </row>
    <row r="34" spans="1:9" ht="14.1" customHeight="1">
      <c r="A34" s="23" t="s">
        <v>252</v>
      </c>
      <c r="B34" s="24">
        <v>149000</v>
      </c>
      <c r="C34" s="353">
        <f t="shared" si="0"/>
        <v>0.57312627806679206</v>
      </c>
      <c r="D34" s="24">
        <v>34500</v>
      </c>
      <c r="E34" s="353">
        <f t="shared" si="1"/>
        <v>0.13270373552553238</v>
      </c>
      <c r="F34" s="24">
        <f>SUM('- 43 -'!$B34,'- 43 -'!$D34,'- 43 -'!$F34,'- 43 -'!$H34,B34,D34)</f>
        <v>10498537</v>
      </c>
      <c r="G34" s="353">
        <f t="shared" si="2"/>
        <v>40.382466013130902</v>
      </c>
      <c r="I34" s="24">
        <f>SUM('- 42 -'!$H34,F34)</f>
        <v>25997761</v>
      </c>
    </row>
    <row r="35" spans="1:9" ht="14.1" customHeight="1">
      <c r="A35" s="360" t="s">
        <v>253</v>
      </c>
      <c r="B35" s="361">
        <v>735000</v>
      </c>
      <c r="C35" s="362">
        <f t="shared" si="0"/>
        <v>0.43219290268691679</v>
      </c>
      <c r="D35" s="361">
        <v>20000</v>
      </c>
      <c r="E35" s="362">
        <f t="shared" si="1"/>
        <v>1.1760351093521547E-2</v>
      </c>
      <c r="F35" s="361">
        <f>SUM('- 43 -'!$B35,'- 43 -'!$D35,'- 43 -'!$F35,'- 43 -'!$H35,B35,D35)</f>
        <v>52031713</v>
      </c>
      <c r="G35" s="362">
        <f t="shared" si="2"/>
        <v>30.595560643867465</v>
      </c>
      <c r="I35" s="361">
        <f>SUM('- 42 -'!$H35,F35)</f>
        <v>170062950</v>
      </c>
    </row>
    <row r="36" spans="1:9" ht="14.1" customHeight="1">
      <c r="A36" s="23" t="s">
        <v>254</v>
      </c>
      <c r="B36" s="24">
        <v>33850</v>
      </c>
      <c r="C36" s="353">
        <f t="shared" si="0"/>
        <v>0.15161260270242186</v>
      </c>
      <c r="D36" s="24">
        <v>50550</v>
      </c>
      <c r="E36" s="353">
        <f t="shared" si="1"/>
        <v>0.22641113933847637</v>
      </c>
      <c r="F36" s="24">
        <f>SUM('- 43 -'!$B36,'- 43 -'!$D36,'- 43 -'!$F36,'- 43 -'!$H36,B36,D36)</f>
        <v>8964484</v>
      </c>
      <c r="G36" s="353">
        <f t="shared" si="2"/>
        <v>40.151514065708049</v>
      </c>
      <c r="I36" s="24">
        <f>SUM('- 42 -'!$H36,F36)</f>
        <v>22326640</v>
      </c>
    </row>
    <row r="37" spans="1:9" ht="14.1" customHeight="1">
      <c r="A37" s="360" t="s">
        <v>255</v>
      </c>
      <c r="B37" s="361">
        <v>0</v>
      </c>
      <c r="C37" s="362">
        <f t="shared" si="0"/>
        <v>0</v>
      </c>
      <c r="D37" s="361">
        <v>56000</v>
      </c>
      <c r="E37" s="362">
        <f t="shared" si="1"/>
        <v>0.13111376460396618</v>
      </c>
      <c r="F37" s="361">
        <f>SUM('- 43 -'!$B37,'- 43 -'!$D37,'- 43 -'!$F37,'- 43 -'!$H37,B37,D37)</f>
        <v>11495609</v>
      </c>
      <c r="G37" s="362">
        <f t="shared" si="2"/>
        <v>26.914867364379202</v>
      </c>
      <c r="I37" s="361">
        <f>SUM('- 42 -'!$H37,F37)</f>
        <v>42711000</v>
      </c>
    </row>
    <row r="38" spans="1:9" ht="14.1" customHeight="1">
      <c r="A38" s="23" t="s">
        <v>256</v>
      </c>
      <c r="B38" s="24">
        <v>892600</v>
      </c>
      <c r="C38" s="353">
        <f t="shared" si="0"/>
        <v>0.74149971016216798</v>
      </c>
      <c r="D38" s="24">
        <v>53000</v>
      </c>
      <c r="E38" s="353">
        <f t="shared" si="1"/>
        <v>4.4028102888858285E-2</v>
      </c>
      <c r="F38" s="24">
        <f>SUM('- 43 -'!$B38,'- 43 -'!$D38,'- 43 -'!$F38,'- 43 -'!$H38,B38,D38)</f>
        <v>33479090</v>
      </c>
      <c r="G38" s="353">
        <f t="shared" si="2"/>
        <v>27.811713568780121</v>
      </c>
      <c r="I38" s="24">
        <f>SUM('- 42 -'!$H38,F38)</f>
        <v>120377660</v>
      </c>
    </row>
    <row r="39" spans="1:9" ht="14.1" customHeight="1">
      <c r="A39" s="360" t="s">
        <v>257</v>
      </c>
      <c r="B39" s="361">
        <v>0</v>
      </c>
      <c r="C39" s="362">
        <f t="shared" si="0"/>
        <v>0</v>
      </c>
      <c r="D39" s="361">
        <v>68320</v>
      </c>
      <c r="E39" s="362">
        <f t="shared" si="1"/>
        <v>0.32371515833186998</v>
      </c>
      <c r="F39" s="361">
        <f>SUM('- 43 -'!$B39,'- 43 -'!$D39,'- 43 -'!$F39,'- 43 -'!$H39,B39,D39)</f>
        <v>9083844</v>
      </c>
      <c r="G39" s="362">
        <f t="shared" si="2"/>
        <v>43.041247053893549</v>
      </c>
      <c r="I39" s="361">
        <f>SUM('- 42 -'!$H39,F39)</f>
        <v>21104974</v>
      </c>
    </row>
    <row r="40" spans="1:9" ht="14.1" customHeight="1">
      <c r="A40" s="23" t="s">
        <v>258</v>
      </c>
      <c r="B40" s="24">
        <v>2531900</v>
      </c>
      <c r="C40" s="353">
        <f t="shared" si="0"/>
        <v>2.5676378991872486</v>
      </c>
      <c r="D40" s="24">
        <v>847467</v>
      </c>
      <c r="E40" s="353">
        <f t="shared" si="1"/>
        <v>0.85942904044809043</v>
      </c>
      <c r="F40" s="24">
        <f>SUM('- 43 -'!$B40,'- 43 -'!$D40,'- 43 -'!$F40,'- 43 -'!$H40,B40,D40)</f>
        <v>41314799</v>
      </c>
      <c r="G40" s="353">
        <f t="shared" si="2"/>
        <v>41.897959520401059</v>
      </c>
      <c r="I40" s="24">
        <f>SUM('- 42 -'!$H40,F40)</f>
        <v>98608141</v>
      </c>
    </row>
    <row r="41" spans="1:9" ht="14.1" customHeight="1">
      <c r="A41" s="360" t="s">
        <v>259</v>
      </c>
      <c r="B41" s="361">
        <v>64584</v>
      </c>
      <c r="C41" s="362">
        <f t="shared" si="0"/>
        <v>0.10799977244195104</v>
      </c>
      <c r="D41" s="361">
        <v>60920</v>
      </c>
      <c r="E41" s="362">
        <f t="shared" si="1"/>
        <v>0.10187269505084322</v>
      </c>
      <c r="F41" s="361">
        <f>SUM('- 43 -'!$B41,'- 43 -'!$D41,'- 43 -'!$F41,'- 43 -'!$H41,B41,D41)</f>
        <v>22451300</v>
      </c>
      <c r="G41" s="362">
        <f t="shared" si="2"/>
        <v>37.54390082723237</v>
      </c>
      <c r="I41" s="361">
        <f>SUM('- 42 -'!$H41,F41)</f>
        <v>59800126</v>
      </c>
    </row>
    <row r="42" spans="1:9" ht="14.1" customHeight="1">
      <c r="A42" s="23" t="s">
        <v>260</v>
      </c>
      <c r="B42" s="24">
        <v>213800</v>
      </c>
      <c r="C42" s="353">
        <f t="shared" si="0"/>
        <v>1.052832545506323</v>
      </c>
      <c r="D42" s="24">
        <v>84150</v>
      </c>
      <c r="E42" s="353">
        <f t="shared" si="1"/>
        <v>0.41438661695209117</v>
      </c>
      <c r="F42" s="24">
        <f>SUM('- 43 -'!$B42,'- 43 -'!$D42,'- 43 -'!$F42,'- 43 -'!$H42,B42,D42)</f>
        <v>5534525</v>
      </c>
      <c r="G42" s="353">
        <f t="shared" si="2"/>
        <v>27.254106847139305</v>
      </c>
      <c r="I42" s="24">
        <f>SUM('- 42 -'!$H42,F42)</f>
        <v>20307123</v>
      </c>
    </row>
    <row r="43" spans="1:9" ht="14.1" customHeight="1">
      <c r="A43" s="360" t="s">
        <v>261</v>
      </c>
      <c r="B43" s="361">
        <v>14525</v>
      </c>
      <c r="C43" s="362">
        <f t="shared" si="0"/>
        <v>0.11830131528257522</v>
      </c>
      <c r="D43" s="361">
        <v>19600</v>
      </c>
      <c r="E43" s="362">
        <f t="shared" si="1"/>
        <v>0.15963550977889668</v>
      </c>
      <c r="F43" s="361">
        <f>SUM('- 43 -'!$B43,'- 43 -'!$D43,'- 43 -'!$F43,'- 43 -'!$H43,B43,D43)</f>
        <v>4667726</v>
      </c>
      <c r="G43" s="362">
        <f t="shared" si="2"/>
        <v>38.017082628480111</v>
      </c>
      <c r="I43" s="361">
        <f>SUM('- 42 -'!$H43,F43)</f>
        <v>12277970</v>
      </c>
    </row>
    <row r="44" spans="1:9" ht="14.1" customHeight="1">
      <c r="A44" s="23" t="s">
        <v>262</v>
      </c>
      <c r="B44" s="24">
        <v>0</v>
      </c>
      <c r="C44" s="353">
        <f t="shared" si="0"/>
        <v>0</v>
      </c>
      <c r="D44" s="24">
        <v>11200</v>
      </c>
      <c r="E44" s="353">
        <f t="shared" si="1"/>
        <v>0.10395158009650235</v>
      </c>
      <c r="F44" s="24">
        <f>SUM('- 43 -'!$B44,'- 43 -'!$D44,'- 43 -'!$F44,'- 43 -'!$H44,B44,D44)</f>
        <v>2292420</v>
      </c>
      <c r="G44" s="353">
        <f t="shared" si="2"/>
        <v>21.276846539716416</v>
      </c>
      <c r="I44" s="24">
        <f>SUM('- 42 -'!$H44,F44)</f>
        <v>10774247</v>
      </c>
    </row>
    <row r="45" spans="1:9" ht="14.1" customHeight="1">
      <c r="A45" s="360" t="s">
        <v>263</v>
      </c>
      <c r="B45" s="361">
        <v>276100</v>
      </c>
      <c r="C45" s="362">
        <f t="shared" si="0"/>
        <v>1.5610695378736617</v>
      </c>
      <c r="D45" s="361">
        <v>10600</v>
      </c>
      <c r="E45" s="362">
        <f t="shared" si="1"/>
        <v>5.9932405293230039E-2</v>
      </c>
      <c r="F45" s="361">
        <f>SUM('- 43 -'!$B45,'- 43 -'!$D45,'- 43 -'!$F45,'- 43 -'!$H45,B45,D45)</f>
        <v>5947570</v>
      </c>
      <c r="G45" s="362">
        <f t="shared" si="2"/>
        <v>33.627563749986429</v>
      </c>
      <c r="I45" s="361">
        <f>SUM('- 42 -'!$H45,F45)</f>
        <v>17686592</v>
      </c>
    </row>
    <row r="46" spans="1:9" ht="14.1" customHeight="1">
      <c r="A46" s="23" t="s">
        <v>264</v>
      </c>
      <c r="B46" s="24">
        <v>655000</v>
      </c>
      <c r="C46" s="353">
        <f t="shared" si="0"/>
        <v>0.17944659765141391</v>
      </c>
      <c r="D46" s="24">
        <v>585000</v>
      </c>
      <c r="E46" s="353">
        <f t="shared" si="1"/>
        <v>0.16026909866576661</v>
      </c>
      <c r="F46" s="24">
        <f>SUM('- 43 -'!$B46,'- 43 -'!$D46,'- 43 -'!$F46,'- 43 -'!$H46,B46,D46)</f>
        <v>131718608</v>
      </c>
      <c r="G46" s="353">
        <f t="shared" si="2"/>
        <v>36.086192447298174</v>
      </c>
      <c r="I46" s="24">
        <f>SUM('- 42 -'!$H46,F46)</f>
        <v>365011100</v>
      </c>
    </row>
    <row r="47" spans="1:9" ht="5.0999999999999996" customHeight="1">
      <c r="A47"/>
      <c r="B47"/>
      <c r="C47"/>
      <c r="D47"/>
      <c r="E47"/>
      <c r="F47"/>
      <c r="G47"/>
      <c r="I47"/>
    </row>
    <row r="48" spans="1:9" ht="14.1" customHeight="1">
      <c r="A48" s="363" t="s">
        <v>265</v>
      </c>
      <c r="B48" s="364">
        <f>SUM(B11:B46)</f>
        <v>17445396</v>
      </c>
      <c r="C48" s="365">
        <f>B48/I48*100</f>
        <v>0.82298628788734285</v>
      </c>
      <c r="D48" s="364">
        <f>SUM(D11:D46)</f>
        <v>4524153</v>
      </c>
      <c r="E48" s="365">
        <f t="shared" si="1"/>
        <v>0.21342684816695398</v>
      </c>
      <c r="F48" s="364">
        <f>SUM(F11:F46)</f>
        <v>763417577</v>
      </c>
      <c r="G48" s="365">
        <f t="shared" si="2"/>
        <v>36.014212449128685</v>
      </c>
      <c r="I48" s="364">
        <f>SUM(I11:I46)</f>
        <v>2119767517</v>
      </c>
    </row>
    <row r="49" spans="1:9" ht="5.0999999999999996" customHeight="1">
      <c r="A49" s="25" t="s">
        <v>3</v>
      </c>
      <c r="B49" s="26"/>
      <c r="C49" s="351"/>
      <c r="D49" s="26"/>
      <c r="E49" s="351"/>
      <c r="F49" s="26"/>
      <c r="G49" s="351"/>
      <c r="I49" s="26"/>
    </row>
    <row r="50" spans="1:9" ht="14.1" customHeight="1">
      <c r="A50" s="23" t="s">
        <v>266</v>
      </c>
      <c r="B50" s="24">
        <v>5000</v>
      </c>
      <c r="C50" s="353">
        <f>B50/I50*100</f>
        <v>0.14973417691572152</v>
      </c>
      <c r="D50" s="24">
        <v>57500</v>
      </c>
      <c r="E50" s="353">
        <f>D50/I50*100</f>
        <v>1.7219430345307973</v>
      </c>
      <c r="F50" s="24">
        <f>SUM('- 43 -'!$B50,'- 43 -'!$D50,'- 43 -'!$F50,'- 43 -'!$H50,B50,D50)</f>
        <v>1921790</v>
      </c>
      <c r="G50" s="353">
        <f>F50/I50*100</f>
        <v>57.551528770972894</v>
      </c>
      <c r="I50" s="24">
        <f>SUM('- 42 -'!$H50,F50)</f>
        <v>3339251</v>
      </c>
    </row>
    <row r="51" spans="1:9" ht="14.1" customHeight="1">
      <c r="A51" s="360" t="s">
        <v>267</v>
      </c>
      <c r="B51" s="361">
        <v>7397353</v>
      </c>
      <c r="C51" s="362">
        <f>B51/I51*100</f>
        <v>33.449356712791896</v>
      </c>
      <c r="D51" s="361">
        <v>880000</v>
      </c>
      <c r="E51" s="362">
        <f>D51/I51*100</f>
        <v>3.979184703941649</v>
      </c>
      <c r="F51" s="361">
        <f>SUM('- 43 -'!$B51,'- 43 -'!$D51,'- 43 -'!$F51,'- 43 -'!$H51,B51,D51)</f>
        <v>9731506</v>
      </c>
      <c r="G51" s="362">
        <f>F51/I51*100</f>
        <v>44.003931615359527</v>
      </c>
      <c r="I51" s="361">
        <f>SUM('- 42 -'!$H51,F51)</f>
        <v>22115083</v>
      </c>
    </row>
    <row r="52" spans="1:9" ht="50.1" customHeight="1"/>
    <row r="53" spans="1:9" ht="14.45" customHeight="1">
      <c r="I53" s="92"/>
    </row>
    <row r="54" spans="1:9" ht="14.45" customHeight="1"/>
    <row r="55" spans="1:9" ht="14.45" customHeight="1"/>
    <row r="56" spans="1:9" ht="14.45" customHeight="1"/>
    <row r="57" spans="1:9" ht="14.45" customHeight="1"/>
    <row r="58" spans="1:9" ht="14.45" customHeight="1"/>
    <row r="59" spans="1:9" ht="14.45" customHeight="1"/>
    <row r="65536" spans="9:9">
      <c r="I65536" s="1">
        <v>0</v>
      </c>
    </row>
  </sheetData>
  <phoneticPr fontId="0" type="noConversion"/>
  <printOptions horizontalCentered="1"/>
  <pageMargins left="0.51181102362204722" right="0.51181102362204722" top="0.59055118110236227" bottom="0" header="0.31496062992125984" footer="0"/>
  <pageSetup scale="85" orientation="portrait" r:id="rId1"/>
  <headerFooter alignWithMargins="0">
    <oddHeader>&amp;C&amp;"Arial,Bold"&amp;10&amp;A</oddHeader>
  </headerFooter>
</worksheet>
</file>

<file path=xl/worksheets/sheet4.xml><?xml version="1.0" encoding="utf-8"?>
<worksheet xmlns="http://schemas.openxmlformats.org/spreadsheetml/2006/main" xmlns:r="http://schemas.openxmlformats.org/officeDocument/2006/relationships">
  <sheetPr codeName="Sheet3">
    <pageSetUpPr fitToPage="1"/>
  </sheetPr>
  <dimension ref="A1:I59"/>
  <sheetViews>
    <sheetView showGridLines="0" showZeros="0" workbookViewId="0"/>
  </sheetViews>
  <sheetFormatPr defaultColWidth="12.83203125" defaultRowHeight="12"/>
  <cols>
    <col min="1" max="1" width="29.83203125" style="1" customWidth="1"/>
    <col min="2" max="8" width="14.83203125" style="1" customWidth="1"/>
    <col min="9" max="9" width="15.83203125" style="1" customWidth="1"/>
    <col min="10" max="16384" width="12.83203125" style="1"/>
  </cols>
  <sheetData>
    <row r="1" spans="1:9" ht="6.95" customHeight="1">
      <c r="A1" s="3"/>
      <c r="B1" s="40"/>
      <c r="C1" s="40"/>
      <c r="D1" s="40"/>
      <c r="E1" s="40"/>
      <c r="F1" s="40"/>
      <c r="G1" s="40"/>
      <c r="H1" s="40"/>
      <c r="I1" s="40"/>
    </row>
    <row r="2" spans="1:9" ht="15.95" customHeight="1">
      <c r="A2" s="41"/>
      <c r="B2" s="42" t="s">
        <v>163</v>
      </c>
      <c r="C2" s="43"/>
      <c r="D2" s="43"/>
      <c r="E2" s="43"/>
      <c r="F2" s="43"/>
      <c r="G2" s="43"/>
      <c r="H2" s="44" t="s">
        <v>164</v>
      </c>
    </row>
    <row r="3" spans="1:9" ht="15.95" customHeight="1">
      <c r="A3" s="45"/>
      <c r="B3" s="46" t="str">
        <f>"ESTIMATE SEPTEMBER 30, "&amp;YEAR</f>
        <v>ESTIMATE SEPTEMBER 30, 2013</v>
      </c>
      <c r="C3" s="47"/>
      <c r="D3" s="48"/>
      <c r="E3" s="47"/>
      <c r="F3" s="48"/>
      <c r="G3" s="47"/>
      <c r="H3" s="49"/>
    </row>
    <row r="4" spans="1:9" ht="15.95" customHeight="1">
      <c r="B4" s="40"/>
      <c r="C4" s="40"/>
      <c r="D4" s="40"/>
      <c r="E4" s="40"/>
      <c r="F4" s="40"/>
      <c r="G4" s="50"/>
      <c r="H4" s="40"/>
      <c r="I4" s="40"/>
    </row>
    <row r="5" spans="1:9" ht="15.95" customHeight="1">
      <c r="B5" s="40"/>
      <c r="C5" s="40"/>
      <c r="D5" s="40"/>
      <c r="E5" s="40"/>
      <c r="F5" s="40"/>
      <c r="G5" s="40"/>
      <c r="H5" s="40"/>
      <c r="I5" s="40"/>
    </row>
    <row r="6" spans="1:9" ht="15.95" customHeight="1">
      <c r="B6" s="393" t="s">
        <v>49</v>
      </c>
      <c r="C6" s="392"/>
      <c r="D6" s="392"/>
      <c r="E6" s="392"/>
      <c r="F6" s="392"/>
      <c r="G6" s="392"/>
      <c r="H6" s="394"/>
    </row>
    <row r="7" spans="1:9" ht="15.95" customHeight="1">
      <c r="B7" s="51" t="s">
        <v>388</v>
      </c>
      <c r="C7" s="52"/>
      <c r="D7" s="52"/>
      <c r="E7" s="53" t="s">
        <v>389</v>
      </c>
      <c r="F7" s="52"/>
      <c r="G7" s="52"/>
      <c r="H7" s="54"/>
    </row>
    <row r="8" spans="1:9" ht="15.95" customHeight="1">
      <c r="A8" s="55"/>
      <c r="B8" s="56" t="s">
        <v>69</v>
      </c>
      <c r="C8" s="57" t="s">
        <v>3</v>
      </c>
      <c r="D8" s="58" t="s">
        <v>70</v>
      </c>
      <c r="E8" s="59" t="s">
        <v>69</v>
      </c>
      <c r="F8" s="57" t="s">
        <v>3</v>
      </c>
      <c r="G8" s="58" t="s">
        <v>70</v>
      </c>
      <c r="H8" s="60" t="s">
        <v>44</v>
      </c>
    </row>
    <row r="9" spans="1:9" ht="15.95" customHeight="1">
      <c r="A9" s="61" t="s">
        <v>81</v>
      </c>
      <c r="B9" s="62" t="s">
        <v>85</v>
      </c>
      <c r="C9" s="63" t="s">
        <v>32</v>
      </c>
      <c r="D9" s="63" t="s">
        <v>86</v>
      </c>
      <c r="E9" s="64" t="s">
        <v>85</v>
      </c>
      <c r="F9" s="63" t="s">
        <v>32</v>
      </c>
      <c r="G9" s="63" t="s">
        <v>86</v>
      </c>
      <c r="H9" s="65" t="s">
        <v>87</v>
      </c>
    </row>
    <row r="10" spans="1:9" ht="5.0999999999999996" customHeight="1">
      <c r="A10" s="37"/>
      <c r="B10" s="66"/>
      <c r="C10" s="66"/>
      <c r="D10" s="66"/>
      <c r="E10" s="66"/>
      <c r="F10" s="66"/>
      <c r="G10" s="66"/>
      <c r="H10" s="66"/>
    </row>
    <row r="11" spans="1:9" ht="14.1" customHeight="1">
      <c r="A11" s="360" t="s">
        <v>230</v>
      </c>
      <c r="B11" s="387">
        <v>1531.5</v>
      </c>
      <c r="C11" s="387">
        <v>0</v>
      </c>
      <c r="D11" s="395">
        <v>0</v>
      </c>
      <c r="E11" s="396">
        <v>0</v>
      </c>
      <c r="F11" s="387">
        <v>0</v>
      </c>
      <c r="G11" s="387">
        <v>0</v>
      </c>
      <c r="H11" s="387">
        <v>0</v>
      </c>
    </row>
    <row r="12" spans="1:9" ht="14.1" customHeight="1">
      <c r="A12" s="23" t="s">
        <v>231</v>
      </c>
      <c r="B12" s="67">
        <v>2112.8000000000002</v>
      </c>
      <c r="C12" s="67">
        <v>0</v>
      </c>
      <c r="D12" s="68">
        <v>0</v>
      </c>
      <c r="E12" s="69">
        <v>0</v>
      </c>
      <c r="F12" s="67">
        <v>0</v>
      </c>
      <c r="G12" s="67">
        <v>0</v>
      </c>
      <c r="H12" s="67">
        <v>0</v>
      </c>
    </row>
    <row r="13" spans="1:9" ht="14.1" customHeight="1">
      <c r="A13" s="360" t="s">
        <v>232</v>
      </c>
      <c r="B13" s="387">
        <v>5874.3</v>
      </c>
      <c r="C13" s="387">
        <v>0</v>
      </c>
      <c r="D13" s="395">
        <v>322</v>
      </c>
      <c r="E13" s="396">
        <v>1146</v>
      </c>
      <c r="F13" s="387">
        <v>0</v>
      </c>
      <c r="G13" s="387">
        <v>362</v>
      </c>
      <c r="H13" s="387">
        <v>0</v>
      </c>
    </row>
    <row r="14" spans="1:9" ht="14.1" customHeight="1">
      <c r="A14" s="23" t="s">
        <v>578</v>
      </c>
      <c r="B14" s="67">
        <v>0</v>
      </c>
      <c r="C14" s="67">
        <v>5215</v>
      </c>
      <c r="D14" s="68">
        <v>0</v>
      </c>
      <c r="E14" s="69">
        <v>0</v>
      </c>
      <c r="F14" s="67">
        <v>0</v>
      </c>
      <c r="G14" s="67">
        <v>0</v>
      </c>
      <c r="H14" s="67">
        <v>0</v>
      </c>
    </row>
    <row r="15" spans="1:9" ht="14.1" customHeight="1">
      <c r="A15" s="360" t="s">
        <v>233</v>
      </c>
      <c r="B15" s="387">
        <v>1500</v>
      </c>
      <c r="C15" s="387">
        <v>0</v>
      </c>
      <c r="D15" s="395">
        <v>0</v>
      </c>
      <c r="E15" s="396">
        <v>0</v>
      </c>
      <c r="F15" s="387">
        <v>0</v>
      </c>
      <c r="G15" s="387">
        <v>0</v>
      </c>
      <c r="H15" s="387">
        <v>0</v>
      </c>
    </row>
    <row r="16" spans="1:9" ht="14.1" customHeight="1">
      <c r="A16" s="23" t="s">
        <v>234</v>
      </c>
      <c r="B16" s="67">
        <v>586.5</v>
      </c>
      <c r="C16" s="67">
        <v>0</v>
      </c>
      <c r="D16" s="68">
        <v>0</v>
      </c>
      <c r="E16" s="69">
        <v>303</v>
      </c>
      <c r="F16" s="67">
        <v>0</v>
      </c>
      <c r="G16" s="67">
        <v>92.5</v>
      </c>
      <c r="H16" s="67">
        <v>0</v>
      </c>
    </row>
    <row r="17" spans="1:8" ht="14.1" customHeight="1">
      <c r="A17" s="360" t="s">
        <v>235</v>
      </c>
      <c r="B17" s="387">
        <v>1265.5</v>
      </c>
      <c r="C17" s="387">
        <v>0</v>
      </c>
      <c r="D17" s="395">
        <v>0</v>
      </c>
      <c r="E17" s="396">
        <v>0</v>
      </c>
      <c r="F17" s="387">
        <v>0</v>
      </c>
      <c r="G17" s="387">
        <v>0</v>
      </c>
      <c r="H17" s="387">
        <v>0</v>
      </c>
    </row>
    <row r="18" spans="1:8" ht="14.1" customHeight="1">
      <c r="A18" s="23" t="s">
        <v>236</v>
      </c>
      <c r="B18" s="67">
        <v>6232.5</v>
      </c>
      <c r="C18" s="67">
        <v>0</v>
      </c>
      <c r="D18" s="68">
        <v>0</v>
      </c>
      <c r="E18" s="69">
        <v>0</v>
      </c>
      <c r="F18" s="67">
        <v>0</v>
      </c>
      <c r="G18" s="67">
        <v>0</v>
      </c>
      <c r="H18" s="67">
        <v>0</v>
      </c>
    </row>
    <row r="19" spans="1:8" ht="14.1" customHeight="1">
      <c r="A19" s="360" t="s">
        <v>237</v>
      </c>
      <c r="B19" s="387">
        <v>4104</v>
      </c>
      <c r="C19" s="387">
        <v>0</v>
      </c>
      <c r="D19" s="395">
        <v>0</v>
      </c>
      <c r="E19" s="396">
        <v>0</v>
      </c>
      <c r="F19" s="387">
        <v>0</v>
      </c>
      <c r="G19" s="387">
        <v>0</v>
      </c>
      <c r="H19" s="387">
        <v>0</v>
      </c>
    </row>
    <row r="20" spans="1:8" ht="14.1" customHeight="1">
      <c r="A20" s="23" t="s">
        <v>238</v>
      </c>
      <c r="B20" s="67">
        <v>7092.36</v>
      </c>
      <c r="C20" s="67">
        <v>0</v>
      </c>
      <c r="D20" s="68">
        <v>0</v>
      </c>
      <c r="E20" s="69">
        <v>0</v>
      </c>
      <c r="F20" s="67">
        <v>0</v>
      </c>
      <c r="G20" s="67">
        <v>0</v>
      </c>
      <c r="H20" s="67">
        <v>0</v>
      </c>
    </row>
    <row r="21" spans="1:8" ht="14.1" customHeight="1">
      <c r="A21" s="360" t="s">
        <v>239</v>
      </c>
      <c r="B21" s="387">
        <v>2356.5</v>
      </c>
      <c r="C21" s="387">
        <v>0</v>
      </c>
      <c r="D21" s="395">
        <v>0</v>
      </c>
      <c r="E21" s="396">
        <v>208</v>
      </c>
      <c r="F21" s="387">
        <v>0</v>
      </c>
      <c r="G21" s="387">
        <v>125.5</v>
      </c>
      <c r="H21" s="387">
        <v>0</v>
      </c>
    </row>
    <row r="22" spans="1:8" ht="14.1" customHeight="1">
      <c r="A22" s="23" t="s">
        <v>240</v>
      </c>
      <c r="B22" s="67">
        <v>912</v>
      </c>
      <c r="C22" s="67">
        <v>0</v>
      </c>
      <c r="D22" s="68">
        <v>0</v>
      </c>
      <c r="E22" s="69">
        <v>543</v>
      </c>
      <c r="F22" s="67">
        <v>0</v>
      </c>
      <c r="G22" s="67">
        <v>164</v>
      </c>
      <c r="H22" s="67">
        <v>0</v>
      </c>
    </row>
    <row r="23" spans="1:8" ht="14.1" customHeight="1">
      <c r="A23" s="360" t="s">
        <v>241</v>
      </c>
      <c r="B23" s="387">
        <v>1160</v>
      </c>
      <c r="C23" s="387">
        <v>0</v>
      </c>
      <c r="D23" s="395">
        <v>0</v>
      </c>
      <c r="E23" s="396">
        <v>0</v>
      </c>
      <c r="F23" s="387">
        <v>0</v>
      </c>
      <c r="G23" s="387">
        <v>0</v>
      </c>
      <c r="H23" s="387">
        <v>0</v>
      </c>
    </row>
    <row r="24" spans="1:8" ht="14.1" customHeight="1">
      <c r="A24" s="23" t="s">
        <v>242</v>
      </c>
      <c r="B24" s="67">
        <v>2932.5</v>
      </c>
      <c r="C24" s="67">
        <v>0</v>
      </c>
      <c r="D24" s="68">
        <v>265</v>
      </c>
      <c r="E24" s="69">
        <v>491.5</v>
      </c>
      <c r="F24" s="67">
        <v>0</v>
      </c>
      <c r="G24" s="67">
        <v>106</v>
      </c>
      <c r="H24" s="67">
        <v>59.5</v>
      </c>
    </row>
    <row r="25" spans="1:8" ht="14.1" customHeight="1">
      <c r="A25" s="360" t="s">
        <v>243</v>
      </c>
      <c r="B25" s="387">
        <v>9507.5</v>
      </c>
      <c r="C25" s="387">
        <v>0</v>
      </c>
      <c r="D25" s="395">
        <v>4002</v>
      </c>
      <c r="E25" s="396">
        <v>0</v>
      </c>
      <c r="F25" s="387">
        <v>25</v>
      </c>
      <c r="G25" s="387">
        <v>118.5</v>
      </c>
      <c r="H25" s="387">
        <v>0</v>
      </c>
    </row>
    <row r="26" spans="1:8" ht="14.1" customHeight="1">
      <c r="A26" s="23" t="s">
        <v>244</v>
      </c>
      <c r="B26" s="67">
        <v>2411.8000000000002</v>
      </c>
      <c r="C26" s="67">
        <v>0</v>
      </c>
      <c r="D26" s="68">
        <v>211</v>
      </c>
      <c r="E26" s="69">
        <v>203</v>
      </c>
      <c r="F26" s="67">
        <v>0</v>
      </c>
      <c r="G26" s="67">
        <v>35</v>
      </c>
      <c r="H26" s="67">
        <v>74</v>
      </c>
    </row>
    <row r="27" spans="1:8" ht="14.1" customHeight="1">
      <c r="A27" s="360" t="s">
        <v>245</v>
      </c>
      <c r="B27" s="387">
        <v>2227</v>
      </c>
      <c r="C27" s="387">
        <v>0</v>
      </c>
      <c r="D27" s="395">
        <v>0</v>
      </c>
      <c r="E27" s="396">
        <v>88</v>
      </c>
      <c r="F27" s="387">
        <v>0</v>
      </c>
      <c r="G27" s="387">
        <v>221</v>
      </c>
      <c r="H27" s="387">
        <v>0</v>
      </c>
    </row>
    <row r="28" spans="1:8" ht="14.1" customHeight="1">
      <c r="A28" s="23" t="s">
        <v>246</v>
      </c>
      <c r="B28" s="67">
        <v>1975</v>
      </c>
      <c r="C28" s="67">
        <v>0</v>
      </c>
      <c r="D28" s="68">
        <v>0</v>
      </c>
      <c r="E28" s="69">
        <v>0</v>
      </c>
      <c r="F28" s="67">
        <v>0</v>
      </c>
      <c r="G28" s="67">
        <v>0</v>
      </c>
      <c r="H28" s="67">
        <v>0</v>
      </c>
    </row>
    <row r="29" spans="1:8" ht="14.1" customHeight="1">
      <c r="A29" s="360" t="s">
        <v>247</v>
      </c>
      <c r="B29" s="387">
        <v>7895</v>
      </c>
      <c r="C29" s="387">
        <v>0</v>
      </c>
      <c r="D29" s="395">
        <v>1279</v>
      </c>
      <c r="E29" s="396">
        <v>1962.5</v>
      </c>
      <c r="F29" s="387">
        <v>0</v>
      </c>
      <c r="G29" s="387">
        <v>951</v>
      </c>
      <c r="H29" s="387">
        <v>0</v>
      </c>
    </row>
    <row r="30" spans="1:8" ht="14.1" customHeight="1">
      <c r="A30" s="23" t="s">
        <v>248</v>
      </c>
      <c r="B30" s="67">
        <v>1070</v>
      </c>
      <c r="C30" s="67">
        <v>0</v>
      </c>
      <c r="D30" s="68">
        <v>0</v>
      </c>
      <c r="E30" s="69">
        <v>0</v>
      </c>
      <c r="F30" s="67">
        <v>0</v>
      </c>
      <c r="G30" s="67">
        <v>0</v>
      </c>
      <c r="H30" s="67">
        <v>0</v>
      </c>
    </row>
    <row r="31" spans="1:8" ht="14.1" customHeight="1">
      <c r="A31" s="360" t="s">
        <v>249</v>
      </c>
      <c r="B31" s="387">
        <v>2379</v>
      </c>
      <c r="C31" s="387">
        <v>0</v>
      </c>
      <c r="D31" s="395">
        <v>0</v>
      </c>
      <c r="E31" s="396">
        <v>490</v>
      </c>
      <c r="F31" s="387">
        <v>0</v>
      </c>
      <c r="G31" s="387">
        <v>238</v>
      </c>
      <c r="H31" s="387">
        <v>0</v>
      </c>
    </row>
    <row r="32" spans="1:8" ht="14.1" customHeight="1">
      <c r="A32" s="23" t="s">
        <v>250</v>
      </c>
      <c r="B32" s="67">
        <v>1726</v>
      </c>
      <c r="C32" s="67">
        <v>0</v>
      </c>
      <c r="D32" s="68">
        <v>98.5</v>
      </c>
      <c r="E32" s="69">
        <v>118</v>
      </c>
      <c r="F32" s="67">
        <v>0</v>
      </c>
      <c r="G32" s="67">
        <v>60</v>
      </c>
      <c r="H32" s="67">
        <v>0</v>
      </c>
    </row>
    <row r="33" spans="1:9" ht="14.1" customHeight="1">
      <c r="A33" s="360" t="s">
        <v>251</v>
      </c>
      <c r="B33" s="387">
        <v>1663</v>
      </c>
      <c r="C33" s="387">
        <v>0</v>
      </c>
      <c r="D33" s="395">
        <v>0</v>
      </c>
      <c r="E33" s="396">
        <v>145</v>
      </c>
      <c r="F33" s="387">
        <v>97.5</v>
      </c>
      <c r="G33" s="387">
        <v>70.5</v>
      </c>
      <c r="H33" s="387">
        <v>0</v>
      </c>
    </row>
    <row r="34" spans="1:9" ht="14.1" customHeight="1">
      <c r="A34" s="23" t="s">
        <v>252</v>
      </c>
      <c r="B34" s="67">
        <v>1667.59</v>
      </c>
      <c r="C34" s="67">
        <v>0</v>
      </c>
      <c r="D34" s="68">
        <v>179.81</v>
      </c>
      <c r="E34" s="69">
        <v>47.5</v>
      </c>
      <c r="F34" s="67">
        <v>97</v>
      </c>
      <c r="G34" s="67">
        <v>0</v>
      </c>
      <c r="H34" s="67">
        <v>0</v>
      </c>
    </row>
    <row r="35" spans="1:9" ht="14.1" customHeight="1">
      <c r="A35" s="360" t="s">
        <v>253</v>
      </c>
      <c r="B35" s="387">
        <v>9450.5</v>
      </c>
      <c r="C35" s="387">
        <v>0</v>
      </c>
      <c r="D35" s="395">
        <v>1154.5</v>
      </c>
      <c r="E35" s="396">
        <v>2633</v>
      </c>
      <c r="F35" s="387">
        <v>0</v>
      </c>
      <c r="G35" s="387">
        <v>1598.5</v>
      </c>
      <c r="H35" s="387">
        <v>435</v>
      </c>
    </row>
    <row r="36" spans="1:9" ht="14.1" customHeight="1">
      <c r="A36" s="23" t="s">
        <v>254</v>
      </c>
      <c r="B36" s="67">
        <v>1669.8</v>
      </c>
      <c r="C36" s="67">
        <v>0</v>
      </c>
      <c r="D36" s="68">
        <v>0</v>
      </c>
      <c r="E36" s="69">
        <v>0</v>
      </c>
      <c r="F36" s="67">
        <v>0</v>
      </c>
      <c r="G36" s="67">
        <v>0</v>
      </c>
      <c r="H36" s="67">
        <v>0</v>
      </c>
    </row>
    <row r="37" spans="1:9" ht="14.1" customHeight="1">
      <c r="A37" s="360" t="s">
        <v>255</v>
      </c>
      <c r="B37" s="387">
        <v>1896</v>
      </c>
      <c r="C37" s="387">
        <v>0</v>
      </c>
      <c r="D37" s="395">
        <v>662.5</v>
      </c>
      <c r="E37" s="396">
        <v>719.5</v>
      </c>
      <c r="F37" s="387">
        <v>0</v>
      </c>
      <c r="G37" s="387">
        <v>450.5</v>
      </c>
      <c r="H37" s="387">
        <v>0</v>
      </c>
    </row>
    <row r="38" spans="1:9" ht="14.1" customHeight="1">
      <c r="A38" s="23" t="s">
        <v>256</v>
      </c>
      <c r="B38" s="67">
        <v>5672</v>
      </c>
      <c r="C38" s="67">
        <v>0</v>
      </c>
      <c r="D38" s="68">
        <v>294</v>
      </c>
      <c r="E38" s="69">
        <v>3107.5</v>
      </c>
      <c r="F38" s="67">
        <v>0</v>
      </c>
      <c r="G38" s="67">
        <v>1192.5</v>
      </c>
      <c r="H38" s="67">
        <v>114</v>
      </c>
    </row>
    <row r="39" spans="1:9" ht="14.1" customHeight="1">
      <c r="A39" s="360" t="s">
        <v>257</v>
      </c>
      <c r="B39" s="387">
        <v>1559</v>
      </c>
      <c r="C39" s="387">
        <v>0</v>
      </c>
      <c r="D39" s="395">
        <v>0</v>
      </c>
      <c r="E39" s="396">
        <v>0</v>
      </c>
      <c r="F39" s="387">
        <v>0</v>
      </c>
      <c r="G39" s="387">
        <v>0</v>
      </c>
      <c r="H39" s="387">
        <v>0</v>
      </c>
    </row>
    <row r="40" spans="1:9" ht="14.1" customHeight="1">
      <c r="A40" s="23" t="s">
        <v>258</v>
      </c>
      <c r="B40" s="67">
        <v>5459.7</v>
      </c>
      <c r="C40" s="67">
        <v>0</v>
      </c>
      <c r="D40" s="68">
        <v>736.5</v>
      </c>
      <c r="E40" s="69">
        <v>926.7</v>
      </c>
      <c r="F40" s="67">
        <v>0</v>
      </c>
      <c r="G40" s="67">
        <v>562.4</v>
      </c>
      <c r="H40" s="67">
        <v>0</v>
      </c>
    </row>
    <row r="41" spans="1:9" ht="14.1" customHeight="1">
      <c r="A41" s="360" t="s">
        <v>259</v>
      </c>
      <c r="B41" s="387">
        <v>2116</v>
      </c>
      <c r="C41" s="387">
        <v>0</v>
      </c>
      <c r="D41" s="395">
        <v>0</v>
      </c>
      <c r="E41" s="396">
        <v>1637</v>
      </c>
      <c r="F41" s="387">
        <v>0</v>
      </c>
      <c r="G41" s="387">
        <v>632</v>
      </c>
      <c r="H41" s="387">
        <v>62</v>
      </c>
    </row>
    <row r="42" spans="1:9" ht="14.1" customHeight="1">
      <c r="A42" s="23" t="s">
        <v>260</v>
      </c>
      <c r="B42" s="67">
        <v>1037.7</v>
      </c>
      <c r="C42" s="67">
        <v>0</v>
      </c>
      <c r="D42" s="68">
        <v>0</v>
      </c>
      <c r="E42" s="69">
        <v>162</v>
      </c>
      <c r="F42" s="67">
        <v>0</v>
      </c>
      <c r="G42" s="67">
        <v>72</v>
      </c>
      <c r="H42" s="67">
        <v>0</v>
      </c>
    </row>
    <row r="43" spans="1:9" ht="14.1" customHeight="1">
      <c r="A43" s="360" t="s">
        <v>261</v>
      </c>
      <c r="B43" s="387">
        <v>955.5</v>
      </c>
      <c r="C43" s="387">
        <v>0</v>
      </c>
      <c r="D43" s="395">
        <v>0</v>
      </c>
      <c r="E43" s="396">
        <v>0</v>
      </c>
      <c r="F43" s="387">
        <v>0</v>
      </c>
      <c r="G43" s="387">
        <v>0</v>
      </c>
      <c r="H43" s="387">
        <v>0</v>
      </c>
    </row>
    <row r="44" spans="1:9" ht="14.1" customHeight="1">
      <c r="A44" s="23" t="s">
        <v>262</v>
      </c>
      <c r="B44" s="67">
        <v>707</v>
      </c>
      <c r="C44" s="67">
        <v>46</v>
      </c>
      <c r="D44" s="68">
        <v>0</v>
      </c>
      <c r="E44" s="69">
        <v>0</v>
      </c>
      <c r="F44" s="67">
        <v>0</v>
      </c>
      <c r="G44" s="67">
        <v>0</v>
      </c>
      <c r="H44" s="67">
        <v>0</v>
      </c>
    </row>
    <row r="45" spans="1:9" ht="14.1" customHeight="1">
      <c r="A45" s="360" t="s">
        <v>263</v>
      </c>
      <c r="B45" s="387">
        <v>757</v>
      </c>
      <c r="C45" s="387">
        <v>0</v>
      </c>
      <c r="D45" s="395">
        <v>0</v>
      </c>
      <c r="E45" s="396">
        <v>687</v>
      </c>
      <c r="F45" s="387">
        <v>0</v>
      </c>
      <c r="G45" s="387">
        <v>201</v>
      </c>
      <c r="H45" s="387">
        <v>0</v>
      </c>
    </row>
    <row r="46" spans="1:9" ht="14.1" customHeight="1">
      <c r="A46" s="23" t="s">
        <v>264</v>
      </c>
      <c r="B46" s="67">
        <v>22937.9</v>
      </c>
      <c r="C46" s="67">
        <v>0</v>
      </c>
      <c r="D46" s="68">
        <v>1119.5</v>
      </c>
      <c r="E46" s="69">
        <v>3249</v>
      </c>
      <c r="F46" s="67">
        <v>0</v>
      </c>
      <c r="G46" s="67">
        <v>2245</v>
      </c>
      <c r="H46" s="67">
        <v>166</v>
      </c>
    </row>
    <row r="47" spans="1:9" ht="5.0999999999999996" customHeight="1">
      <c r="A47"/>
      <c r="B47"/>
      <c r="C47"/>
      <c r="D47"/>
      <c r="E47"/>
      <c r="F47"/>
      <c r="G47"/>
      <c r="H47"/>
      <c r="I47"/>
    </row>
    <row r="48" spans="1:9" ht="14.1" customHeight="1">
      <c r="A48" s="363" t="s">
        <v>265</v>
      </c>
      <c r="B48" s="388">
        <f>SUM(B11:B46)</f>
        <v>124400.45000000001</v>
      </c>
      <c r="C48" s="388">
        <f t="shared" ref="C48:H48" si="0">SUM(C11:C46)</f>
        <v>5261</v>
      </c>
      <c r="D48" s="510">
        <f t="shared" si="0"/>
        <v>10324.310000000001</v>
      </c>
      <c r="E48" s="509">
        <f t="shared" si="0"/>
        <v>18867.2</v>
      </c>
      <c r="F48" s="388">
        <f t="shared" si="0"/>
        <v>219.5</v>
      </c>
      <c r="G48" s="388">
        <f t="shared" si="0"/>
        <v>9497.9</v>
      </c>
      <c r="H48" s="388">
        <f t="shared" si="0"/>
        <v>910.5</v>
      </c>
    </row>
    <row r="49" spans="1:9" ht="5.0999999999999996" customHeight="1">
      <c r="A49" s="25" t="s">
        <v>3</v>
      </c>
      <c r="B49" s="70"/>
      <c r="C49" s="70"/>
      <c r="D49" s="70"/>
      <c r="E49" s="70"/>
      <c r="F49" s="70"/>
      <c r="G49" s="70"/>
      <c r="H49" s="70"/>
    </row>
    <row r="50" spans="1:9" ht="14.1" customHeight="1">
      <c r="A50" s="23" t="s">
        <v>266</v>
      </c>
      <c r="B50" s="67">
        <v>167</v>
      </c>
      <c r="C50" s="67">
        <v>0</v>
      </c>
      <c r="D50" s="68">
        <v>0</v>
      </c>
      <c r="E50" s="69">
        <v>0</v>
      </c>
      <c r="F50" s="67">
        <v>0</v>
      </c>
      <c r="G50" s="67">
        <v>0</v>
      </c>
      <c r="H50" s="67">
        <v>0</v>
      </c>
    </row>
    <row r="51" spans="1:9" ht="14.1" customHeight="1">
      <c r="A51" s="360" t="s">
        <v>267</v>
      </c>
      <c r="B51" s="387">
        <v>56</v>
      </c>
      <c r="C51" s="387">
        <v>0</v>
      </c>
      <c r="D51" s="395">
        <v>0</v>
      </c>
      <c r="E51" s="396">
        <v>0</v>
      </c>
      <c r="F51" s="387">
        <v>0</v>
      </c>
      <c r="G51" s="387">
        <v>0</v>
      </c>
      <c r="H51" s="387">
        <v>0</v>
      </c>
    </row>
    <row r="52" spans="1:9" ht="50.1" customHeight="1">
      <c r="A52" s="27"/>
      <c r="B52" s="71"/>
      <c r="C52" s="71"/>
      <c r="D52" s="71"/>
      <c r="E52" s="71"/>
      <c r="F52" s="71"/>
      <c r="G52" s="71"/>
      <c r="H52" s="71"/>
      <c r="I52" s="66"/>
    </row>
    <row r="53" spans="1:9" ht="15" customHeight="1">
      <c r="A53" s="66" t="s">
        <v>612</v>
      </c>
      <c r="C53" s="66"/>
      <c r="D53" s="66"/>
      <c r="E53" s="66"/>
      <c r="F53" s="66"/>
      <c r="G53" s="66"/>
      <c r="H53" s="66"/>
      <c r="I53" s="66"/>
    </row>
    <row r="54" spans="1:9" ht="12" customHeight="1">
      <c r="A54" s="66" t="s">
        <v>613</v>
      </c>
      <c r="C54" s="66"/>
      <c r="D54" s="66"/>
      <c r="E54" s="66"/>
      <c r="F54" s="66"/>
      <c r="G54" s="66"/>
      <c r="H54" s="66"/>
      <c r="I54" s="66"/>
    </row>
    <row r="55" spans="1:9" ht="14.45" customHeight="1"/>
    <row r="56" spans="1:9" ht="14.45" customHeight="1"/>
    <row r="57" spans="1:9" ht="14.45" customHeight="1"/>
    <row r="58" spans="1:9" ht="14.45" customHeight="1"/>
    <row r="59" spans="1:9"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40.xml><?xml version="1.0" encoding="utf-8"?>
<worksheet xmlns="http://schemas.openxmlformats.org/spreadsheetml/2006/main" xmlns:r="http://schemas.openxmlformats.org/officeDocument/2006/relationships">
  <sheetPr codeName="Sheet41">
    <pageSetUpPr fitToPage="1"/>
  </sheetPr>
  <dimension ref="A1:C60"/>
  <sheetViews>
    <sheetView showGridLines="0" showZeros="0" workbookViewId="0"/>
  </sheetViews>
  <sheetFormatPr defaultColWidth="19.83203125" defaultRowHeight="12"/>
  <cols>
    <col min="1" max="1" width="38.83203125" style="1" customWidth="1"/>
    <col min="2" max="2" width="40.83203125" style="1" customWidth="1"/>
    <col min="3" max="3" width="53.83203125" style="1" customWidth="1"/>
    <col min="4" max="16384" width="19.83203125" style="1"/>
  </cols>
  <sheetData>
    <row r="1" spans="1:3" ht="6.95" customHeight="1">
      <c r="A1" s="3"/>
    </row>
    <row r="2" spans="1:3" ht="15.95" customHeight="1">
      <c r="A2" s="261" t="s">
        <v>580</v>
      </c>
      <c r="B2" s="261"/>
      <c r="C2" s="262"/>
    </row>
    <row r="3" spans="1:3" ht="15.95" customHeight="1">
      <c r="A3" s="263" t="str">
        <f>REPLACE(REVYEAR,1,36,"")</f>
        <v>2013/2014 BUDGET</v>
      </c>
      <c r="B3" s="263"/>
      <c r="C3" s="264"/>
    </row>
    <row r="4" spans="1:3" ht="15.95" customHeight="1">
      <c r="B4" s="4"/>
    </row>
    <row r="5" spans="1:3" ht="15.95" customHeight="1">
      <c r="A5"/>
      <c r="B5"/>
      <c r="C5"/>
    </row>
    <row r="6" spans="1:3" ht="15.95" customHeight="1">
      <c r="A6"/>
      <c r="B6"/>
      <c r="C6"/>
    </row>
    <row r="7" spans="1:3" ht="15.95" customHeight="1">
      <c r="B7" s="376" t="s">
        <v>490</v>
      </c>
      <c r="C7"/>
    </row>
    <row r="8" spans="1:3" ht="15.95" customHeight="1">
      <c r="A8" s="332"/>
      <c r="B8" s="435" t="s">
        <v>579</v>
      </c>
      <c r="C8"/>
    </row>
    <row r="9" spans="1:3" ht="15.95" customHeight="1">
      <c r="A9" s="333" t="s">
        <v>81</v>
      </c>
      <c r="B9" s="379" t="s">
        <v>491</v>
      </c>
      <c r="C9"/>
    </row>
    <row r="10" spans="1:3" ht="5.0999999999999996" customHeight="1">
      <c r="A10" s="37"/>
      <c r="B10" s="247"/>
      <c r="C10"/>
    </row>
    <row r="11" spans="1:3" ht="14.1" customHeight="1">
      <c r="A11" s="360" t="s">
        <v>230</v>
      </c>
      <c r="B11" s="525">
        <v>140000</v>
      </c>
      <c r="C11"/>
    </row>
    <row r="12" spans="1:3" ht="14.1" customHeight="1">
      <c r="A12" s="23" t="s">
        <v>231</v>
      </c>
      <c r="B12" s="526">
        <v>350000</v>
      </c>
      <c r="C12"/>
    </row>
    <row r="13" spans="1:3" ht="14.1" customHeight="1">
      <c r="A13" s="360" t="s">
        <v>232</v>
      </c>
      <c r="B13" s="525">
        <v>254500</v>
      </c>
      <c r="C13"/>
    </row>
    <row r="14" spans="1:3" ht="14.1" customHeight="1">
      <c r="A14" s="23" t="s">
        <v>578</v>
      </c>
      <c r="B14" s="526">
        <v>400865</v>
      </c>
      <c r="C14"/>
    </row>
    <row r="15" spans="1:3" ht="14.1" customHeight="1">
      <c r="A15" s="360" t="s">
        <v>233</v>
      </c>
      <c r="B15" s="525">
        <v>329810</v>
      </c>
      <c r="C15"/>
    </row>
    <row r="16" spans="1:3" ht="14.1" customHeight="1">
      <c r="A16" s="23" t="s">
        <v>234</v>
      </c>
      <c r="B16" s="526">
        <v>200000</v>
      </c>
      <c r="C16"/>
    </row>
    <row r="17" spans="1:3" ht="14.1" customHeight="1">
      <c r="A17" s="360" t="s">
        <v>235</v>
      </c>
      <c r="B17" s="525">
        <v>300000</v>
      </c>
      <c r="C17"/>
    </row>
    <row r="18" spans="1:3" ht="14.1" customHeight="1">
      <c r="A18" s="23" t="s">
        <v>236</v>
      </c>
      <c r="B18" s="526">
        <v>500000</v>
      </c>
      <c r="C18"/>
    </row>
    <row r="19" spans="1:3" ht="14.1" customHeight="1">
      <c r="A19" s="360" t="s">
        <v>237</v>
      </c>
      <c r="B19" s="525">
        <v>1146900</v>
      </c>
      <c r="C19"/>
    </row>
    <row r="20" spans="1:3" ht="14.1" customHeight="1">
      <c r="A20" s="23" t="s">
        <v>238</v>
      </c>
      <c r="B20" s="526">
        <v>1982500</v>
      </c>
      <c r="C20"/>
    </row>
    <row r="21" spans="1:3" ht="14.1" customHeight="1">
      <c r="A21" s="360" t="s">
        <v>239</v>
      </c>
      <c r="B21" s="525">
        <v>279500</v>
      </c>
      <c r="C21"/>
    </row>
    <row r="22" spans="1:3" ht="14.1" customHeight="1">
      <c r="A22" s="23" t="s">
        <v>240</v>
      </c>
      <c r="B22" s="526">
        <v>143400</v>
      </c>
      <c r="C22"/>
    </row>
    <row r="23" spans="1:3" ht="14.1" customHeight="1">
      <c r="A23" s="360" t="s">
        <v>241</v>
      </c>
      <c r="B23" s="525">
        <v>200000</v>
      </c>
      <c r="C23"/>
    </row>
    <row r="24" spans="1:3" ht="14.1" customHeight="1">
      <c r="A24" s="23" t="s">
        <v>242</v>
      </c>
      <c r="B24" s="526">
        <v>492250</v>
      </c>
      <c r="C24"/>
    </row>
    <row r="25" spans="1:3" ht="14.1" customHeight="1">
      <c r="A25" s="360" t="s">
        <v>243</v>
      </c>
      <c r="B25" s="525">
        <v>508740</v>
      </c>
      <c r="C25"/>
    </row>
    <row r="26" spans="1:3" ht="14.1" customHeight="1">
      <c r="A26" s="23" t="s">
        <v>244</v>
      </c>
      <c r="B26" s="526">
        <v>688472</v>
      </c>
      <c r="C26"/>
    </row>
    <row r="27" spans="1:3" ht="14.1" customHeight="1">
      <c r="A27" s="360" t="s">
        <v>245</v>
      </c>
      <c r="B27" s="525">
        <v>125000</v>
      </c>
      <c r="C27"/>
    </row>
    <row r="28" spans="1:3" ht="14.1" customHeight="1">
      <c r="A28" s="23" t="s">
        <v>246</v>
      </c>
      <c r="B28" s="526">
        <v>81000</v>
      </c>
      <c r="C28"/>
    </row>
    <row r="29" spans="1:3" ht="14.1" customHeight="1">
      <c r="A29" s="360" t="s">
        <v>247</v>
      </c>
      <c r="B29" s="525">
        <v>1025000</v>
      </c>
      <c r="C29"/>
    </row>
    <row r="30" spans="1:3" ht="14.1" customHeight="1">
      <c r="A30" s="23" t="s">
        <v>248</v>
      </c>
      <c r="B30" s="526">
        <v>186000</v>
      </c>
      <c r="C30"/>
    </row>
    <row r="31" spans="1:3" ht="14.1" customHeight="1">
      <c r="A31" s="360" t="s">
        <v>249</v>
      </c>
      <c r="B31" s="525">
        <v>586000</v>
      </c>
      <c r="C31"/>
    </row>
    <row r="32" spans="1:3" ht="14.1" customHeight="1">
      <c r="A32" s="23" t="s">
        <v>250</v>
      </c>
      <c r="B32" s="526">
        <v>375100</v>
      </c>
      <c r="C32"/>
    </row>
    <row r="33" spans="1:3" ht="14.1" customHeight="1">
      <c r="A33" s="360" t="s">
        <v>251</v>
      </c>
      <c r="B33" s="525">
        <v>810188</v>
      </c>
      <c r="C33"/>
    </row>
    <row r="34" spans="1:3" ht="14.1" customHeight="1">
      <c r="A34" s="23" t="s">
        <v>252</v>
      </c>
      <c r="B34" s="526">
        <v>387543</v>
      </c>
      <c r="C34"/>
    </row>
    <row r="35" spans="1:3" ht="14.1" customHeight="1">
      <c r="A35" s="360" t="s">
        <v>253</v>
      </c>
      <c r="B35" s="525">
        <v>2477984</v>
      </c>
      <c r="C35"/>
    </row>
    <row r="36" spans="1:3" ht="14.1" customHeight="1">
      <c r="A36" s="23" t="s">
        <v>254</v>
      </c>
      <c r="B36" s="526">
        <v>465000</v>
      </c>
      <c r="C36"/>
    </row>
    <row r="37" spans="1:3" ht="14.1" customHeight="1">
      <c r="A37" s="360" t="s">
        <v>255</v>
      </c>
      <c r="B37" s="525">
        <v>495000</v>
      </c>
      <c r="C37"/>
    </row>
    <row r="38" spans="1:3" ht="14.1" customHeight="1">
      <c r="A38" s="23" t="s">
        <v>256</v>
      </c>
      <c r="B38" s="526">
        <v>1796000</v>
      </c>
      <c r="C38"/>
    </row>
    <row r="39" spans="1:3" ht="14.1" customHeight="1">
      <c r="A39" s="360" t="s">
        <v>257</v>
      </c>
      <c r="B39" s="525">
        <v>449000</v>
      </c>
      <c r="C39"/>
    </row>
    <row r="40" spans="1:3" ht="14.1" customHeight="1">
      <c r="A40" s="23" t="s">
        <v>258</v>
      </c>
      <c r="B40" s="526">
        <v>760956</v>
      </c>
      <c r="C40"/>
    </row>
    <row r="41" spans="1:3" ht="14.1" customHeight="1">
      <c r="A41" s="360" t="s">
        <v>259</v>
      </c>
      <c r="B41" s="525">
        <v>1450916</v>
      </c>
      <c r="C41"/>
    </row>
    <row r="42" spans="1:3" ht="14.1" customHeight="1">
      <c r="A42" s="23" t="s">
        <v>260</v>
      </c>
      <c r="B42" s="526">
        <v>198000</v>
      </c>
      <c r="C42"/>
    </row>
    <row r="43" spans="1:3" ht="14.1" customHeight="1">
      <c r="A43" s="360" t="s">
        <v>261</v>
      </c>
      <c r="B43" s="525">
        <v>296000</v>
      </c>
      <c r="C43"/>
    </row>
    <row r="44" spans="1:3" ht="14.1" customHeight="1">
      <c r="A44" s="23" t="s">
        <v>262</v>
      </c>
      <c r="B44" s="526">
        <v>100000</v>
      </c>
      <c r="C44"/>
    </row>
    <row r="45" spans="1:3" ht="14.1" customHeight="1">
      <c r="A45" s="360" t="s">
        <v>263</v>
      </c>
      <c r="B45" s="525">
        <v>466100</v>
      </c>
      <c r="C45"/>
    </row>
    <row r="46" spans="1:3" ht="14.1" customHeight="1">
      <c r="A46" s="23" t="s">
        <v>264</v>
      </c>
      <c r="B46" s="526">
        <v>2034200</v>
      </c>
      <c r="C46"/>
    </row>
    <row r="47" spans="1:3" ht="5.0999999999999996" customHeight="1">
      <c r="A47"/>
      <c r="B47" s="527"/>
      <c r="C47"/>
    </row>
    <row r="48" spans="1:3" ht="14.1" customHeight="1">
      <c r="A48" s="363" t="s">
        <v>265</v>
      </c>
      <c r="B48" s="528">
        <f>SUM(B11:B46)</f>
        <v>22481924</v>
      </c>
      <c r="C48"/>
    </row>
    <row r="49" spans="1:3" ht="5.0999999999999996" customHeight="1">
      <c r="A49" s="25" t="s">
        <v>3</v>
      </c>
      <c r="B49" s="529"/>
      <c r="C49"/>
    </row>
    <row r="50" spans="1:3" ht="14.1" customHeight="1">
      <c r="A50" s="23" t="s">
        <v>266</v>
      </c>
      <c r="B50" s="526">
        <v>45500</v>
      </c>
      <c r="C50"/>
    </row>
    <row r="51" spans="1:3" ht="14.1" customHeight="1">
      <c r="A51" s="360" t="s">
        <v>267</v>
      </c>
      <c r="B51" s="525">
        <v>738049</v>
      </c>
      <c r="C51"/>
    </row>
    <row r="52" spans="1:3" ht="14.1" customHeight="1">
      <c r="A52" s="321"/>
      <c r="B52" s="322"/>
      <c r="C52"/>
    </row>
    <row r="53" spans="1:3" ht="50.1" customHeight="1">
      <c r="A53" s="27"/>
      <c r="B53" s="27"/>
      <c r="C53" s="609"/>
    </row>
    <row r="54" spans="1:3" ht="14.45" customHeight="1">
      <c r="A54" s="155" t="s">
        <v>599</v>
      </c>
    </row>
    <row r="55" spans="1:3" ht="14.45" customHeight="1"/>
    <row r="56" spans="1:3" ht="14.45" customHeight="1"/>
    <row r="57" spans="1:3" ht="14.45" customHeight="1"/>
    <row r="58" spans="1:3" ht="14.45" customHeight="1"/>
    <row r="59" spans="1:3" ht="14.45" customHeight="1"/>
    <row r="60" spans="1:3"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41.xml><?xml version="1.0" encoding="utf-8"?>
<worksheet xmlns="http://schemas.openxmlformats.org/spreadsheetml/2006/main" xmlns:r="http://schemas.openxmlformats.org/officeDocument/2006/relationships">
  <sheetPr codeName="Sheet42">
    <pageSetUpPr fitToPage="1"/>
  </sheetPr>
  <dimension ref="A1:D59"/>
  <sheetViews>
    <sheetView showGridLines="0" showZeros="0" workbookViewId="0"/>
  </sheetViews>
  <sheetFormatPr defaultColWidth="15.83203125" defaultRowHeight="12"/>
  <cols>
    <col min="1" max="1" width="35.83203125" style="1" customWidth="1"/>
    <col min="2" max="3" width="25.83203125" style="1" customWidth="1"/>
    <col min="4" max="4" width="45.83203125" style="1" customWidth="1"/>
    <col min="5" max="16384" width="15.83203125" style="1"/>
  </cols>
  <sheetData>
    <row r="1" spans="1:4" ht="6.95" customHeight="1">
      <c r="A1" s="3"/>
    </row>
    <row r="2" spans="1:4" ht="17.100000000000001" customHeight="1">
      <c r="A2" s="323"/>
      <c r="B2" s="324" t="s">
        <v>550</v>
      </c>
      <c r="C2" s="162"/>
      <c r="D2" s="173"/>
    </row>
    <row r="3" spans="1:4" ht="15" customHeight="1">
      <c r="A3" s="325"/>
      <c r="B3" s="263" t="s">
        <v>680</v>
      </c>
      <c r="C3" s="177"/>
      <c r="D3" s="326"/>
    </row>
    <row r="4" spans="1:4" ht="15.95" customHeight="1">
      <c r="A4" s="160"/>
      <c r="B4" s="4"/>
      <c r="C4" s="75"/>
    </row>
    <row r="5" spans="1:4" ht="15.95" customHeight="1">
      <c r="A5" s="1" t="str">
        <f>REPLACE(A4,5,5,"")</f>
        <v/>
      </c>
      <c r="B5" s="4"/>
      <c r="C5" s="4"/>
    </row>
    <row r="6" spans="1:4" ht="15.95" customHeight="1">
      <c r="B6"/>
      <c r="C6"/>
    </row>
    <row r="7" spans="1:4" ht="15.95" customHeight="1">
      <c r="B7" s="450" t="s">
        <v>451</v>
      </c>
      <c r="C7" s="450"/>
    </row>
    <row r="8" spans="1:4" ht="15.95" customHeight="1">
      <c r="A8" s="102"/>
      <c r="B8" s="451" t="s">
        <v>113</v>
      </c>
      <c r="C8" s="451" t="s">
        <v>77</v>
      </c>
    </row>
    <row r="9" spans="1:4" ht="15.95" customHeight="1">
      <c r="A9" s="35" t="s">
        <v>81</v>
      </c>
      <c r="B9" s="452" t="s">
        <v>146</v>
      </c>
      <c r="C9" s="452" t="s">
        <v>452</v>
      </c>
    </row>
    <row r="10" spans="1:4" ht="5.0999999999999996" customHeight="1">
      <c r="A10" s="37"/>
      <c r="B10" s="247"/>
      <c r="C10" s="602">
        <v>1.183E-2</v>
      </c>
    </row>
    <row r="11" spans="1:4" ht="14.1" customHeight="1">
      <c r="A11" s="360" t="s">
        <v>230</v>
      </c>
      <c r="B11" s="361">
        <f>'- 48 -'!D11</f>
        <v>122594300</v>
      </c>
      <c r="C11" s="361">
        <f t="shared" ref="C11:C46" si="0">B11*C$10</f>
        <v>1450290.5690000001</v>
      </c>
    </row>
    <row r="12" spans="1:4" ht="14.1" customHeight="1">
      <c r="A12" s="23" t="s">
        <v>231</v>
      </c>
      <c r="B12" s="24">
        <f>'- 48 -'!D12</f>
        <v>153022030</v>
      </c>
      <c r="C12" s="24">
        <f t="shared" si="0"/>
        <v>1810250.6148999999</v>
      </c>
    </row>
    <row r="13" spans="1:4" ht="14.1" customHeight="1">
      <c r="A13" s="360" t="s">
        <v>232</v>
      </c>
      <c r="B13" s="361">
        <f>'- 48 -'!D13</f>
        <v>732255690</v>
      </c>
      <c r="C13" s="361">
        <f t="shared" si="0"/>
        <v>8662584.8126999997</v>
      </c>
    </row>
    <row r="14" spans="1:4" ht="14.1" customHeight="1">
      <c r="A14" s="23" t="s">
        <v>578</v>
      </c>
      <c r="B14" s="24">
        <f>'- 48 -'!D14</f>
        <v>0</v>
      </c>
      <c r="C14" s="24">
        <f t="shared" si="0"/>
        <v>0</v>
      </c>
    </row>
    <row r="15" spans="1:4" ht="14.1" customHeight="1">
      <c r="A15" s="360" t="s">
        <v>233</v>
      </c>
      <c r="B15" s="361">
        <f>'- 48 -'!D15</f>
        <v>104008650</v>
      </c>
      <c r="C15" s="361">
        <f t="shared" si="0"/>
        <v>1230422.3295</v>
      </c>
    </row>
    <row r="16" spans="1:4" ht="14.1" customHeight="1">
      <c r="A16" s="23" t="s">
        <v>234</v>
      </c>
      <c r="B16" s="24">
        <f>'- 48 -'!D16</f>
        <v>32981180</v>
      </c>
      <c r="C16" s="24">
        <f t="shared" si="0"/>
        <v>390167.35940000002</v>
      </c>
    </row>
    <row r="17" spans="1:3" ht="14.1" customHeight="1">
      <c r="A17" s="360" t="s">
        <v>235</v>
      </c>
      <c r="B17" s="361">
        <f>'- 48 -'!D17</f>
        <v>330407730</v>
      </c>
      <c r="C17" s="361">
        <f t="shared" si="0"/>
        <v>3908723.4459000002</v>
      </c>
    </row>
    <row r="18" spans="1:3" ht="14.1" customHeight="1">
      <c r="A18" s="23" t="s">
        <v>236</v>
      </c>
      <c r="B18" s="24">
        <f>'- 48 -'!D18</f>
        <v>62604890</v>
      </c>
      <c r="C18" s="24">
        <f t="shared" si="0"/>
        <v>740615.84869999997</v>
      </c>
    </row>
    <row r="19" spans="1:3" ht="14.1" customHeight="1">
      <c r="A19" s="360" t="s">
        <v>237</v>
      </c>
      <c r="B19" s="361">
        <f>'- 48 -'!D19</f>
        <v>215601760</v>
      </c>
      <c r="C19" s="361">
        <f t="shared" si="0"/>
        <v>2550568.8207999999</v>
      </c>
    </row>
    <row r="20" spans="1:3" ht="14.1" customHeight="1">
      <c r="A20" s="23" t="s">
        <v>238</v>
      </c>
      <c r="B20" s="24">
        <f>'- 48 -'!D20</f>
        <v>302294780</v>
      </c>
      <c r="C20" s="24">
        <f t="shared" si="0"/>
        <v>3576147.2474000002</v>
      </c>
    </row>
    <row r="21" spans="1:3" ht="14.1" customHeight="1">
      <c r="A21" s="360" t="s">
        <v>239</v>
      </c>
      <c r="B21" s="361">
        <f>'- 48 -'!D21</f>
        <v>208600130</v>
      </c>
      <c r="C21" s="361">
        <f t="shared" si="0"/>
        <v>2467739.5378999999</v>
      </c>
    </row>
    <row r="22" spans="1:3" ht="14.1" customHeight="1">
      <c r="A22" s="23" t="s">
        <v>240</v>
      </c>
      <c r="B22" s="24">
        <f>'- 48 -'!D22</f>
        <v>57613370</v>
      </c>
      <c r="C22" s="24">
        <f t="shared" si="0"/>
        <v>681566.16709999996</v>
      </c>
    </row>
    <row r="23" spans="1:3" ht="14.1" customHeight="1">
      <c r="A23" s="360" t="s">
        <v>241</v>
      </c>
      <c r="B23" s="361">
        <f>'- 48 -'!D23</f>
        <v>26059950</v>
      </c>
      <c r="C23" s="361">
        <f t="shared" si="0"/>
        <v>308289.20850000001</v>
      </c>
    </row>
    <row r="24" spans="1:3" ht="14.1" customHeight="1">
      <c r="A24" s="23" t="s">
        <v>242</v>
      </c>
      <c r="B24" s="24">
        <f>'- 48 -'!D24</f>
        <v>200137560</v>
      </c>
      <c r="C24" s="24">
        <f t="shared" si="0"/>
        <v>2367627.3347999998</v>
      </c>
    </row>
    <row r="25" spans="1:3" ht="14.1" customHeight="1">
      <c r="A25" s="360" t="s">
        <v>243</v>
      </c>
      <c r="B25" s="361">
        <f>'- 48 -'!D25</f>
        <v>977802630</v>
      </c>
      <c r="C25" s="361">
        <f t="shared" si="0"/>
        <v>11567405.1129</v>
      </c>
    </row>
    <row r="26" spans="1:3" ht="14.1" customHeight="1">
      <c r="A26" s="23" t="s">
        <v>244</v>
      </c>
      <c r="B26" s="24">
        <f>'- 48 -'!D26</f>
        <v>115886550</v>
      </c>
      <c r="C26" s="24">
        <f t="shared" si="0"/>
        <v>1370937.8865</v>
      </c>
    </row>
    <row r="27" spans="1:3" ht="14.1" customHeight="1">
      <c r="A27" s="360" t="s">
        <v>245</v>
      </c>
      <c r="B27" s="361">
        <f>'- 48 -'!D27</f>
        <v>113488920</v>
      </c>
      <c r="C27" s="361">
        <f t="shared" si="0"/>
        <v>1342573.9236000001</v>
      </c>
    </row>
    <row r="28" spans="1:3" ht="14.1" customHeight="1">
      <c r="A28" s="23" t="s">
        <v>246</v>
      </c>
      <c r="B28" s="24">
        <f>'- 48 -'!D28</f>
        <v>157667910</v>
      </c>
      <c r="C28" s="24">
        <f t="shared" si="0"/>
        <v>1865211.3753</v>
      </c>
    </row>
    <row r="29" spans="1:3" ht="14.1" customHeight="1">
      <c r="A29" s="360" t="s">
        <v>247</v>
      </c>
      <c r="B29" s="361">
        <f>'- 48 -'!D29</f>
        <v>1015907570</v>
      </c>
      <c r="C29" s="361">
        <f t="shared" si="0"/>
        <v>12018186.553100001</v>
      </c>
    </row>
    <row r="30" spans="1:3" ht="14.1" customHeight="1">
      <c r="A30" s="23" t="s">
        <v>248</v>
      </c>
      <c r="B30" s="24">
        <f>'- 48 -'!D30</f>
        <v>80255200</v>
      </c>
      <c r="C30" s="24">
        <f t="shared" si="0"/>
        <v>949419.01600000006</v>
      </c>
    </row>
    <row r="31" spans="1:3" ht="14.1" customHeight="1">
      <c r="A31" s="360" t="s">
        <v>249</v>
      </c>
      <c r="B31" s="361">
        <f>'- 48 -'!D31</f>
        <v>288272540</v>
      </c>
      <c r="C31" s="361">
        <f t="shared" si="0"/>
        <v>3410264.1482000002</v>
      </c>
    </row>
    <row r="32" spans="1:3" ht="14.1" customHeight="1">
      <c r="A32" s="23" t="s">
        <v>250</v>
      </c>
      <c r="B32" s="24">
        <f>'- 48 -'!D32</f>
        <v>116654570</v>
      </c>
      <c r="C32" s="24">
        <f t="shared" si="0"/>
        <v>1380023.5630999999</v>
      </c>
    </row>
    <row r="33" spans="1:4" ht="14.1" customHeight="1">
      <c r="A33" s="360" t="s">
        <v>251</v>
      </c>
      <c r="B33" s="361">
        <f>'- 48 -'!D33</f>
        <v>142600120</v>
      </c>
      <c r="C33" s="361">
        <f t="shared" si="0"/>
        <v>1686959.4196000001</v>
      </c>
    </row>
    <row r="34" spans="1:4" ht="14.1" customHeight="1">
      <c r="A34" s="23" t="s">
        <v>252</v>
      </c>
      <c r="B34" s="24">
        <f>'- 48 -'!D34</f>
        <v>187854690</v>
      </c>
      <c r="C34" s="24">
        <f t="shared" si="0"/>
        <v>2222320.9827000001</v>
      </c>
    </row>
    <row r="35" spans="1:4" ht="14.1" customHeight="1">
      <c r="A35" s="360" t="s">
        <v>253</v>
      </c>
      <c r="B35" s="361">
        <f>'- 48 -'!D35</f>
        <v>755584080</v>
      </c>
      <c r="C35" s="361">
        <f t="shared" si="0"/>
        <v>8938559.6664000005</v>
      </c>
    </row>
    <row r="36" spans="1:4" ht="14.1" customHeight="1">
      <c r="A36" s="23" t="s">
        <v>254</v>
      </c>
      <c r="B36" s="24">
        <f>'- 48 -'!D36</f>
        <v>155998800</v>
      </c>
      <c r="C36" s="24">
        <f t="shared" si="0"/>
        <v>1845465.804</v>
      </c>
    </row>
    <row r="37" spans="1:4" ht="14.1" customHeight="1">
      <c r="A37" s="360" t="s">
        <v>255</v>
      </c>
      <c r="B37" s="361">
        <f>'- 48 -'!D37</f>
        <v>145623880</v>
      </c>
      <c r="C37" s="361">
        <f t="shared" si="0"/>
        <v>1722730.5004</v>
      </c>
    </row>
    <row r="38" spans="1:4" ht="14.1" customHeight="1">
      <c r="A38" s="23" t="s">
        <v>256</v>
      </c>
      <c r="B38" s="24">
        <f>'- 48 -'!D38</f>
        <v>293218060</v>
      </c>
      <c r="C38" s="24">
        <f t="shared" si="0"/>
        <v>3468769.6498000002</v>
      </c>
    </row>
    <row r="39" spans="1:4" ht="14.1" customHeight="1">
      <c r="A39" s="360" t="s">
        <v>257</v>
      </c>
      <c r="B39" s="361">
        <f>'- 48 -'!D39</f>
        <v>222490260</v>
      </c>
      <c r="C39" s="361">
        <f t="shared" si="0"/>
        <v>2632059.7757999999</v>
      </c>
    </row>
    <row r="40" spans="1:4" ht="14.1" customHeight="1">
      <c r="A40" s="23" t="s">
        <v>258</v>
      </c>
      <c r="B40" s="24">
        <f>'- 48 -'!D40</f>
        <v>1241125740</v>
      </c>
      <c r="C40" s="24">
        <f t="shared" si="0"/>
        <v>14682517.5042</v>
      </c>
    </row>
    <row r="41" spans="1:4" ht="14.1" customHeight="1">
      <c r="A41" s="360" t="s">
        <v>259</v>
      </c>
      <c r="B41" s="361">
        <f>'- 48 -'!D41</f>
        <v>301579400</v>
      </c>
      <c r="C41" s="361">
        <f t="shared" si="0"/>
        <v>3567684.3020000001</v>
      </c>
    </row>
    <row r="42" spans="1:4" ht="14.1" customHeight="1">
      <c r="A42" s="23" t="s">
        <v>260</v>
      </c>
      <c r="B42" s="24">
        <f>'- 48 -'!D42</f>
        <v>66372020</v>
      </c>
      <c r="C42" s="24">
        <f t="shared" si="0"/>
        <v>785180.99660000007</v>
      </c>
    </row>
    <row r="43" spans="1:4" ht="14.1" customHeight="1">
      <c r="A43" s="360" t="s">
        <v>261</v>
      </c>
      <c r="B43" s="361">
        <f>'- 48 -'!D43</f>
        <v>51228180</v>
      </c>
      <c r="C43" s="361">
        <f t="shared" si="0"/>
        <v>606029.36939999997</v>
      </c>
    </row>
    <row r="44" spans="1:4" ht="14.1" customHeight="1">
      <c r="A44" s="23" t="s">
        <v>262</v>
      </c>
      <c r="B44" s="24">
        <f>'- 48 -'!D44</f>
        <v>13319810</v>
      </c>
      <c r="C44" s="24">
        <f t="shared" si="0"/>
        <v>157573.3523</v>
      </c>
    </row>
    <row r="45" spans="1:4" ht="14.1" customHeight="1">
      <c r="A45" s="360" t="s">
        <v>263</v>
      </c>
      <c r="B45" s="361">
        <f>'- 48 -'!D45</f>
        <v>82459460</v>
      </c>
      <c r="C45" s="361">
        <f t="shared" si="0"/>
        <v>975495.4118</v>
      </c>
    </row>
    <row r="46" spans="1:4" ht="14.1" customHeight="1">
      <c r="A46" s="23" t="s">
        <v>264</v>
      </c>
      <c r="B46" s="24">
        <f>'- 48 -'!D46</f>
        <v>3685355810</v>
      </c>
      <c r="C46" s="24">
        <f t="shared" si="0"/>
        <v>43597759.232299998</v>
      </c>
      <c r="D46"/>
    </row>
    <row r="47" spans="1:4" ht="6" customHeight="1">
      <c r="A47"/>
      <c r="B47"/>
      <c r="C47"/>
      <c r="D47"/>
    </row>
    <row r="48" spans="1:4" ht="14.1" customHeight="1">
      <c r="A48" s="363" t="s">
        <v>271</v>
      </c>
      <c r="B48" s="364">
        <f>SUM(B11:B46)</f>
        <v>12758928220</v>
      </c>
      <c r="C48" s="364">
        <f>SUM(C11:C46)</f>
        <v>150938120.84260002</v>
      </c>
      <c r="D48"/>
    </row>
    <row r="49" spans="1:4" ht="6" customHeight="1">
      <c r="A49" s="25"/>
      <c r="B49" s="26"/>
      <c r="C49" s="26"/>
      <c r="D49"/>
    </row>
    <row r="50" spans="1:4" ht="14.1" customHeight="1">
      <c r="A50" s="23" t="s">
        <v>269</v>
      </c>
      <c r="B50" s="24">
        <f>'- 48 -'!D50</f>
        <v>3411570</v>
      </c>
      <c r="C50" s="24">
        <v>0</v>
      </c>
      <c r="D50"/>
    </row>
    <row r="51" spans="1:4" ht="14.1" customHeight="1">
      <c r="A51" s="360" t="s">
        <v>270</v>
      </c>
      <c r="B51" s="361">
        <f>'- 48 -'!D51</f>
        <v>45824040</v>
      </c>
      <c r="C51" s="361">
        <f>B51*C$10</f>
        <v>542098.39320000005</v>
      </c>
      <c r="D51"/>
    </row>
    <row r="52" spans="1:4" ht="6" customHeight="1">
      <c r="A52" s="155"/>
      <c r="B52" s="172"/>
      <c r="C52" s="172"/>
      <c r="D52"/>
    </row>
    <row r="53" spans="1:4" ht="14.45" customHeight="1">
      <c r="A53" s="363" t="s">
        <v>265</v>
      </c>
      <c r="B53" s="364">
        <f>SUM(B48,B50:B51)</f>
        <v>12808163830</v>
      </c>
      <c r="C53" s="364">
        <f>SUM(C48,C50:C51)</f>
        <v>151480219.23580003</v>
      </c>
      <c r="D53" s="608"/>
    </row>
    <row r="54" spans="1:4" ht="29.1" customHeight="1">
      <c r="A54" s="327"/>
      <c r="B54" s="327"/>
      <c r="C54" s="327"/>
      <c r="D54" s="27"/>
    </row>
    <row r="55" spans="1:4" ht="14.45" customHeight="1">
      <c r="A55" s="29" t="s">
        <v>679</v>
      </c>
      <c r="B55" s="39"/>
      <c r="C55" s="39"/>
      <c r="D55" s="39"/>
    </row>
    <row r="56" spans="1:4" ht="14.45" customHeight="1">
      <c r="A56" s="28"/>
      <c r="B56" s="39"/>
      <c r="C56" s="39"/>
      <c r="D56" s="39"/>
    </row>
    <row r="57" spans="1:4" ht="14.45" customHeight="1">
      <c r="A57" s="29"/>
      <c r="B57" s="39"/>
      <c r="C57" s="39"/>
      <c r="D57" s="39"/>
    </row>
    <row r="58" spans="1:4" ht="14.45" customHeight="1">
      <c r="B58" s="115"/>
      <c r="C58" s="115"/>
    </row>
    <row r="59" spans="1:4" ht="14.45" customHeight="1"/>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42.xml><?xml version="1.0" encoding="utf-8"?>
<worksheet xmlns="http://schemas.openxmlformats.org/spreadsheetml/2006/main" xmlns:r="http://schemas.openxmlformats.org/officeDocument/2006/relationships">
  <sheetPr codeName="Sheet43">
    <pageSetUpPr fitToPage="1"/>
  </sheetPr>
  <dimension ref="A1:L57"/>
  <sheetViews>
    <sheetView showGridLines="0" showZeros="0" workbookViewId="0"/>
  </sheetViews>
  <sheetFormatPr defaultColWidth="15.83203125" defaultRowHeight="12"/>
  <cols>
    <col min="1" max="1" width="30.83203125" style="1" customWidth="1"/>
    <col min="2" max="2" width="18.83203125" style="1" customWidth="1"/>
    <col min="3" max="3" width="15.83203125" style="1"/>
    <col min="4" max="4" width="16.83203125" style="1" customWidth="1"/>
    <col min="5" max="5" width="17.83203125" style="1" customWidth="1"/>
    <col min="6" max="6" width="15.83203125" style="1"/>
    <col min="7" max="7" width="17.83203125" style="1" customWidth="1"/>
    <col min="8" max="8" width="15.83203125" style="1"/>
    <col min="9" max="9" width="21" style="1" hidden="1" customWidth="1"/>
    <col min="10" max="10" width="0" style="1" hidden="1" customWidth="1"/>
    <col min="11" max="16384" width="15.83203125" style="1"/>
  </cols>
  <sheetData>
    <row r="1" spans="1:12" ht="6.95" customHeight="1">
      <c r="A1" s="3"/>
    </row>
    <row r="2" spans="1:12" ht="15.95" customHeight="1">
      <c r="A2" s="261" t="s">
        <v>96</v>
      </c>
      <c r="B2" s="262"/>
      <c r="C2" s="262"/>
      <c r="D2" s="262"/>
      <c r="E2" s="262"/>
      <c r="F2" s="262"/>
      <c r="G2" s="262"/>
    </row>
    <row r="3" spans="1:12" ht="15.95" customHeight="1">
      <c r="A3" s="263" t="str">
        <f>TAXYEAR</f>
        <v>FOR THE 2013 TAXATION YEAR</v>
      </c>
      <c r="B3" s="264"/>
      <c r="C3" s="264"/>
      <c r="D3" s="264"/>
      <c r="E3" s="265"/>
      <c r="F3" s="265"/>
      <c r="G3" s="264"/>
    </row>
    <row r="4" spans="1:12" ht="15.95" customHeight="1">
      <c r="B4" s="4"/>
      <c r="C4" s="4"/>
      <c r="D4" s="4"/>
      <c r="E4" s="75"/>
      <c r="F4" s="75"/>
      <c r="G4" s="75"/>
    </row>
    <row r="5" spans="1:12" ht="15.95" customHeight="1">
      <c r="B5" s="4"/>
      <c r="C5" s="4"/>
      <c r="D5" s="4"/>
      <c r="E5" s="4"/>
      <c r="F5" s="4"/>
      <c r="G5" s="4"/>
    </row>
    <row r="6" spans="1:12" ht="15.95" customHeight="1">
      <c r="B6" s="246" t="s">
        <v>551</v>
      </c>
      <c r="C6" s="194"/>
      <c r="D6" s="194"/>
      <c r="E6" s="192"/>
      <c r="F6" s="4"/>
      <c r="G6" s="4"/>
      <c r="H6" s="157" t="s">
        <v>135</v>
      </c>
    </row>
    <row r="7" spans="1:12" ht="15.95" customHeight="1">
      <c r="B7" s="449" t="s">
        <v>110</v>
      </c>
      <c r="C7" s="449" t="s">
        <v>111</v>
      </c>
      <c r="D7" s="450"/>
      <c r="E7" s="376"/>
      <c r="F7" s="447"/>
      <c r="G7" s="376" t="s">
        <v>112</v>
      </c>
      <c r="H7" s="157" t="s">
        <v>126</v>
      </c>
    </row>
    <row r="8" spans="1:12" ht="15.95" customHeight="1">
      <c r="A8" s="32"/>
      <c r="B8" s="453" t="s">
        <v>132</v>
      </c>
      <c r="C8" s="453" t="s">
        <v>133</v>
      </c>
      <c r="D8" s="454" t="s">
        <v>3</v>
      </c>
      <c r="E8" s="455"/>
      <c r="F8" s="435" t="s">
        <v>112</v>
      </c>
      <c r="G8" s="435" t="s">
        <v>134</v>
      </c>
      <c r="H8" s="157" t="s">
        <v>208</v>
      </c>
    </row>
    <row r="9" spans="1:12" ht="15.95" customHeight="1">
      <c r="A9" s="266" t="s">
        <v>81</v>
      </c>
      <c r="B9" s="452" t="s">
        <v>145</v>
      </c>
      <c r="C9" s="452" t="s">
        <v>143</v>
      </c>
      <c r="D9" s="452" t="s">
        <v>146</v>
      </c>
      <c r="E9" s="379" t="s">
        <v>54</v>
      </c>
      <c r="F9" s="379" t="s">
        <v>421</v>
      </c>
      <c r="G9" s="379" t="s">
        <v>420</v>
      </c>
      <c r="H9" s="157" t="s">
        <v>209</v>
      </c>
    </row>
    <row r="10" spans="1:12" ht="5.0999999999999996" customHeight="1">
      <c r="A10" s="22"/>
      <c r="B10" s="247"/>
      <c r="C10" s="3"/>
      <c r="D10" s="247"/>
      <c r="E10" s="247"/>
      <c r="F10" s="3"/>
      <c r="G10" s="3"/>
    </row>
    <row r="11" spans="1:12" ht="14.1" customHeight="1">
      <c r="A11" s="360" t="s">
        <v>230</v>
      </c>
      <c r="B11" s="361">
        <v>202827920</v>
      </c>
      <c r="C11" s="361">
        <v>168902780</v>
      </c>
      <c r="D11" s="361">
        <v>122594300</v>
      </c>
      <c r="E11" s="361">
        <v>494325000</v>
      </c>
      <c r="F11" s="361">
        <f>'- 51 -'!C11</f>
        <v>7302868</v>
      </c>
      <c r="G11" s="362">
        <f t="shared" ref="G11:G46" si="0">F11/E11*1000</f>
        <v>14.773414251757448</v>
      </c>
      <c r="I11" s="260" t="str">
        <f>A11</f>
        <v xml:space="preserve"> BEAUTIFUL PLAINS</v>
      </c>
      <c r="J11" s="267">
        <f>G11</f>
        <v>14.773414251757448</v>
      </c>
      <c r="K11" s="1">
        <f>F11-'- 51 -'!C11</f>
        <v>0</v>
      </c>
    </row>
    <row r="12" spans="1:12" ht="14.1" customHeight="1">
      <c r="A12" s="23" t="s">
        <v>231</v>
      </c>
      <c r="B12" s="24">
        <v>256171240</v>
      </c>
      <c r="C12" s="24">
        <v>188281920</v>
      </c>
      <c r="D12" s="24">
        <v>153022030</v>
      </c>
      <c r="E12" s="24">
        <v>597475190</v>
      </c>
      <c r="F12" s="24">
        <f>'- 51 -'!C12</f>
        <v>10844168</v>
      </c>
      <c r="G12" s="353">
        <f t="shared" si="0"/>
        <v>18.149988788655811</v>
      </c>
      <c r="I12" s="260" t="str">
        <f>A12</f>
        <v xml:space="preserve"> BORDER LAND</v>
      </c>
      <c r="J12" s="267">
        <f>G12</f>
        <v>18.149988788655811</v>
      </c>
      <c r="K12" s="99">
        <f>F12-'- 51 -'!C12</f>
        <v>0</v>
      </c>
    </row>
    <row r="13" spans="1:12" ht="14.1" customHeight="1">
      <c r="A13" s="360" t="s">
        <v>232</v>
      </c>
      <c r="B13" s="361">
        <v>1512122710</v>
      </c>
      <c r="C13" s="361">
        <v>49654350</v>
      </c>
      <c r="D13" s="361">
        <v>732255690</v>
      </c>
      <c r="E13" s="361">
        <v>2294032750</v>
      </c>
      <c r="F13" s="361">
        <f>'- 51 -'!C13</f>
        <v>38029913</v>
      </c>
      <c r="G13" s="362">
        <f t="shared" si="0"/>
        <v>16.577755047306972</v>
      </c>
      <c r="I13" s="260" t="str">
        <f>A13</f>
        <v xml:space="preserve"> BRANDON</v>
      </c>
      <c r="J13" s="267">
        <f>G13</f>
        <v>16.577755047306972</v>
      </c>
      <c r="K13" s="1">
        <f>F13-'- 51 -'!C13</f>
        <v>0</v>
      </c>
    </row>
    <row r="14" spans="1:12" ht="14.1" customHeight="1">
      <c r="A14" s="23" t="s">
        <v>578</v>
      </c>
      <c r="B14" s="24"/>
      <c r="C14" s="24"/>
      <c r="D14" s="24"/>
      <c r="E14" s="24"/>
      <c r="F14" s="24">
        <f>'- 51 -'!C14</f>
        <v>0</v>
      </c>
      <c r="G14" s="353"/>
      <c r="I14" s="260" t="str">
        <f>A15</f>
        <v xml:space="preserve"> EVERGREEN</v>
      </c>
      <c r="J14" s="267">
        <f>G15</f>
        <v>11.506448245555587</v>
      </c>
      <c r="K14" s="1">
        <f>F14-'- 51 -'!C14</f>
        <v>0</v>
      </c>
      <c r="L14" s="628"/>
    </row>
    <row r="15" spans="1:12" ht="14.1" customHeight="1">
      <c r="A15" s="360" t="s">
        <v>233</v>
      </c>
      <c r="B15" s="361">
        <v>619385200</v>
      </c>
      <c r="C15" s="361">
        <v>64533650</v>
      </c>
      <c r="D15" s="361">
        <v>104008650</v>
      </c>
      <c r="E15" s="361">
        <v>787927500</v>
      </c>
      <c r="F15" s="361">
        <f>'- 51 -'!C15</f>
        <v>9066247</v>
      </c>
      <c r="G15" s="362">
        <f t="shared" si="0"/>
        <v>11.506448245555587</v>
      </c>
      <c r="I15" s="260" t="str">
        <f t="shared" ref="I15:I45" si="1">A16</f>
        <v xml:space="preserve"> FLIN FLON</v>
      </c>
      <c r="J15" s="267">
        <f t="shared" ref="J15:J45" si="2">G16</f>
        <v>17.976861937571606</v>
      </c>
      <c r="K15" s="1">
        <f>F15-'- 51 -'!C15</f>
        <v>0</v>
      </c>
    </row>
    <row r="16" spans="1:12" ht="14.1" customHeight="1">
      <c r="A16" s="23" t="s">
        <v>234</v>
      </c>
      <c r="B16" s="24">
        <v>82000790</v>
      </c>
      <c r="C16" s="24">
        <v>0</v>
      </c>
      <c r="D16" s="24">
        <v>32981180</v>
      </c>
      <c r="E16" s="24">
        <v>114981970</v>
      </c>
      <c r="F16" s="24">
        <f>'- 51 -'!C16</f>
        <v>3758439</v>
      </c>
      <c r="G16" s="353">
        <f>(F16-H16)/E16*1000</f>
        <v>17.976861937571606</v>
      </c>
      <c r="H16" s="1">
        <v>1691424</v>
      </c>
      <c r="I16" s="260" t="str">
        <f t="shared" si="1"/>
        <v xml:space="preserve"> FORT LA BOSSE</v>
      </c>
      <c r="J16" s="267">
        <f t="shared" si="2"/>
        <v>11.830673908994086</v>
      </c>
      <c r="K16" s="1">
        <f>F16-'- 51 -'!C16</f>
        <v>0</v>
      </c>
    </row>
    <row r="17" spans="1:11" ht="14.1" customHeight="1">
      <c r="A17" s="360" t="s">
        <v>235</v>
      </c>
      <c r="B17" s="361">
        <v>189852540</v>
      </c>
      <c r="C17" s="361">
        <v>120147120</v>
      </c>
      <c r="D17" s="361">
        <v>330407730</v>
      </c>
      <c r="E17" s="361">
        <v>640407390</v>
      </c>
      <c r="F17" s="361">
        <f>'- 51 -'!C17</f>
        <v>7576451</v>
      </c>
      <c r="G17" s="362">
        <f t="shared" si="0"/>
        <v>11.830673908994086</v>
      </c>
      <c r="I17" s="260" t="str">
        <f t="shared" si="1"/>
        <v xml:space="preserve"> FRONTIER</v>
      </c>
      <c r="J17" s="267">
        <f t="shared" si="2"/>
        <v>16.500003201250781</v>
      </c>
      <c r="K17" s="1">
        <f>F17-'- 51 -'!C17</f>
        <v>0</v>
      </c>
    </row>
    <row r="18" spans="1:11" ht="14.1" customHeight="1">
      <c r="A18" s="23" t="s">
        <v>236</v>
      </c>
      <c r="B18" s="24">
        <v>109305500</v>
      </c>
      <c r="C18" s="24">
        <v>17078240</v>
      </c>
      <c r="D18" s="24">
        <v>62604890</v>
      </c>
      <c r="E18" s="24">
        <v>188988630</v>
      </c>
      <c r="F18" s="24">
        <f>'- 51 -'!C18</f>
        <v>3118313</v>
      </c>
      <c r="G18" s="353">
        <f>(F18-H18)/E18*1000</f>
        <v>16.500003201250781</v>
      </c>
      <c r="I18" s="260" t="str">
        <f t="shared" si="1"/>
        <v xml:space="preserve"> GARDEN VALLEY</v>
      </c>
      <c r="J18" s="267">
        <f t="shared" si="2"/>
        <v>19.810443430881755</v>
      </c>
      <c r="K18" s="1">
        <f>F18-'- 51 -'!C18</f>
        <v>0</v>
      </c>
    </row>
    <row r="19" spans="1:11" ht="14.1" customHeight="1">
      <c r="A19" s="360" t="s">
        <v>237</v>
      </c>
      <c r="B19" s="361">
        <v>451679000</v>
      </c>
      <c r="C19" s="361">
        <v>129707710</v>
      </c>
      <c r="D19" s="361">
        <v>215601760</v>
      </c>
      <c r="E19" s="361">
        <v>796988470</v>
      </c>
      <c r="F19" s="361">
        <f>'- 51 -'!C19</f>
        <v>15788695</v>
      </c>
      <c r="G19" s="362">
        <f t="shared" si="0"/>
        <v>19.810443430881755</v>
      </c>
      <c r="I19" s="260" t="str">
        <f t="shared" si="1"/>
        <v xml:space="preserve"> HANOVER</v>
      </c>
      <c r="J19" s="267">
        <f t="shared" si="2"/>
        <v>16.786458600169674</v>
      </c>
      <c r="K19" s="1">
        <f>F19-'- 51 -'!C19</f>
        <v>0</v>
      </c>
    </row>
    <row r="20" spans="1:11" ht="14.1" customHeight="1">
      <c r="A20" s="23" t="s">
        <v>238</v>
      </c>
      <c r="B20" s="24">
        <v>1053773980</v>
      </c>
      <c r="C20" s="24">
        <v>170498970</v>
      </c>
      <c r="D20" s="24">
        <v>302294780</v>
      </c>
      <c r="E20" s="24">
        <v>1526567730</v>
      </c>
      <c r="F20" s="24">
        <f>'- 51 -'!C20</f>
        <v>25625666</v>
      </c>
      <c r="G20" s="353">
        <f t="shared" si="0"/>
        <v>16.786458600169674</v>
      </c>
      <c r="I20" s="260" t="str">
        <f t="shared" si="1"/>
        <v xml:space="preserve"> INTERLAKE</v>
      </c>
      <c r="J20" s="267">
        <f t="shared" si="2"/>
        <v>15.034367295845755</v>
      </c>
      <c r="K20" s="1">
        <f>F20-'- 51 -'!C20</f>
        <v>0</v>
      </c>
    </row>
    <row r="21" spans="1:11" ht="14.1" customHeight="1">
      <c r="A21" s="360" t="s">
        <v>239</v>
      </c>
      <c r="B21" s="361">
        <v>595727860</v>
      </c>
      <c r="C21" s="361">
        <v>145743850</v>
      </c>
      <c r="D21" s="361">
        <v>208600130</v>
      </c>
      <c r="E21" s="361">
        <v>950071840</v>
      </c>
      <c r="F21" s="361">
        <f>'- 51 -'!C21</f>
        <v>14283729</v>
      </c>
      <c r="G21" s="362">
        <f t="shared" si="0"/>
        <v>15.034367295845755</v>
      </c>
      <c r="I21" s="260" t="str">
        <f t="shared" si="1"/>
        <v xml:space="preserve"> KELSEY</v>
      </c>
      <c r="J21" s="267">
        <f t="shared" si="2"/>
        <v>22.353353273156841</v>
      </c>
      <c r="K21" s="1">
        <f>F21-'- 51 -'!C21</f>
        <v>0</v>
      </c>
    </row>
    <row r="22" spans="1:11" ht="14.1" customHeight="1">
      <c r="A22" s="23" t="s">
        <v>240</v>
      </c>
      <c r="B22" s="24">
        <v>116554050</v>
      </c>
      <c r="C22" s="24">
        <v>13310000</v>
      </c>
      <c r="D22" s="24">
        <v>57613370</v>
      </c>
      <c r="E22" s="24">
        <v>187477420</v>
      </c>
      <c r="F22" s="24">
        <f>'- 51 -'!C22</f>
        <v>4190749</v>
      </c>
      <c r="G22" s="353">
        <f t="shared" si="0"/>
        <v>22.353353273156841</v>
      </c>
      <c r="I22" s="260" t="str">
        <f t="shared" si="1"/>
        <v xml:space="preserve"> LAKESHORE</v>
      </c>
      <c r="J22" s="267">
        <f t="shared" si="2"/>
        <v>19.995764725935832</v>
      </c>
      <c r="K22" s="1">
        <f>F22-'- 51 -'!C22</f>
        <v>0</v>
      </c>
    </row>
    <row r="23" spans="1:11" ht="14.1" customHeight="1">
      <c r="A23" s="360" t="s">
        <v>241</v>
      </c>
      <c r="B23" s="361">
        <v>107669420</v>
      </c>
      <c r="C23" s="361">
        <v>73246610</v>
      </c>
      <c r="D23" s="361">
        <v>26059950</v>
      </c>
      <c r="E23" s="361">
        <v>206975980</v>
      </c>
      <c r="F23" s="361">
        <f>'- 51 -'!C23</f>
        <v>4138643</v>
      </c>
      <c r="G23" s="362">
        <f t="shared" si="0"/>
        <v>19.995764725935832</v>
      </c>
      <c r="H23" s="269"/>
      <c r="I23" s="260" t="str">
        <f t="shared" si="1"/>
        <v xml:space="preserve"> LORD SELKIRK</v>
      </c>
      <c r="J23" s="267">
        <f t="shared" si="2"/>
        <v>14.466649987853678</v>
      </c>
      <c r="K23" s="1">
        <f>H23*E23</f>
        <v>0</v>
      </c>
    </row>
    <row r="24" spans="1:11" ht="14.1" customHeight="1">
      <c r="A24" s="23" t="s">
        <v>242</v>
      </c>
      <c r="B24" s="24">
        <v>1361416310</v>
      </c>
      <c r="C24" s="24">
        <v>53708960</v>
      </c>
      <c r="D24" s="24">
        <v>200137560</v>
      </c>
      <c r="E24" s="24">
        <v>1615262830</v>
      </c>
      <c r="F24" s="24">
        <f>'- 51 -'!C24</f>
        <v>23367442</v>
      </c>
      <c r="G24" s="353">
        <f t="shared" si="0"/>
        <v>14.466649987853678</v>
      </c>
      <c r="I24" s="260" t="str">
        <f t="shared" si="1"/>
        <v xml:space="preserve"> LOUIS RIEL</v>
      </c>
      <c r="J24" s="267">
        <f t="shared" si="2"/>
        <v>13.283493527850837</v>
      </c>
      <c r="K24" s="1">
        <f>F24-'- 51 -'!C24</f>
        <v>0</v>
      </c>
    </row>
    <row r="25" spans="1:11" ht="14.1" customHeight="1">
      <c r="A25" s="360" t="s">
        <v>243</v>
      </c>
      <c r="B25" s="361">
        <v>4952113440</v>
      </c>
      <c r="C25" s="361">
        <v>11114340</v>
      </c>
      <c r="D25" s="361">
        <v>977802630</v>
      </c>
      <c r="E25" s="361">
        <v>5941030410</v>
      </c>
      <c r="F25" s="361">
        <f>'- 51 -'!C25</f>
        <v>78917639</v>
      </c>
      <c r="G25" s="362">
        <f t="shared" si="0"/>
        <v>13.283493527850837</v>
      </c>
      <c r="I25" s="260" t="str">
        <f t="shared" si="1"/>
        <v xml:space="preserve"> MOUNTAIN VIEW</v>
      </c>
      <c r="J25" s="267">
        <f t="shared" si="2"/>
        <v>19.090216824236443</v>
      </c>
      <c r="K25" s="1">
        <f>F25-'- 51 -'!C25</f>
        <v>0</v>
      </c>
    </row>
    <row r="26" spans="1:11" ht="14.1" customHeight="1">
      <c r="A26" s="23" t="s">
        <v>244</v>
      </c>
      <c r="B26" s="24">
        <v>382686680</v>
      </c>
      <c r="C26" s="24">
        <v>194197110</v>
      </c>
      <c r="D26" s="24">
        <v>115886550</v>
      </c>
      <c r="E26" s="24">
        <v>692770340</v>
      </c>
      <c r="F26" s="24">
        <f>'- 51 -'!C26</f>
        <v>13225136</v>
      </c>
      <c r="G26" s="353">
        <f t="shared" si="0"/>
        <v>19.090216824236443</v>
      </c>
      <c r="I26" s="260" t="str">
        <f t="shared" si="1"/>
        <v xml:space="preserve"> MYSTERY LAKE</v>
      </c>
      <c r="J26" s="267">
        <f t="shared" si="2"/>
        <v>18.635027696905503</v>
      </c>
      <c r="K26" s="1">
        <f>F26-'- 51 -'!C26</f>
        <v>0</v>
      </c>
    </row>
    <row r="27" spans="1:11" ht="14.1" customHeight="1">
      <c r="A27" s="360" t="s">
        <v>245</v>
      </c>
      <c r="B27" s="361">
        <v>305814240</v>
      </c>
      <c r="C27" s="361">
        <v>0</v>
      </c>
      <c r="D27" s="361">
        <v>113488920</v>
      </c>
      <c r="E27" s="361">
        <v>419303160</v>
      </c>
      <c r="F27" s="361">
        <f>'- 51 -'!C27</f>
        <v>7813726</v>
      </c>
      <c r="G27" s="362">
        <f t="shared" si="0"/>
        <v>18.635027696905503</v>
      </c>
      <c r="I27" s="260" t="str">
        <f t="shared" si="1"/>
        <v xml:space="preserve"> PARK WEST</v>
      </c>
      <c r="J27" s="267">
        <f t="shared" si="2"/>
        <v>15.160461091796163</v>
      </c>
      <c r="K27" s="1">
        <f>F27-'- 51 -'!C27</f>
        <v>0</v>
      </c>
    </row>
    <row r="28" spans="1:11" ht="14.1" customHeight="1">
      <c r="A28" s="23" t="s">
        <v>246</v>
      </c>
      <c r="B28" s="24">
        <v>173075890</v>
      </c>
      <c r="C28" s="24">
        <v>203295630</v>
      </c>
      <c r="D28" s="24">
        <v>157667910</v>
      </c>
      <c r="E28" s="24">
        <v>534039430</v>
      </c>
      <c r="F28" s="24">
        <f>'- 51 -'!C28</f>
        <v>8096284</v>
      </c>
      <c r="G28" s="353">
        <f t="shared" si="0"/>
        <v>15.160461091796163</v>
      </c>
      <c r="I28" s="260" t="str">
        <f t="shared" si="1"/>
        <v xml:space="preserve"> PEMBINA TRAILS</v>
      </c>
      <c r="J28" s="267">
        <f t="shared" si="2"/>
        <v>13.227617198353357</v>
      </c>
      <c r="K28" s="1">
        <f>F28-'- 51 -'!C28</f>
        <v>0</v>
      </c>
    </row>
    <row r="29" spans="1:11" ht="14.1" customHeight="1">
      <c r="A29" s="360" t="s">
        <v>247</v>
      </c>
      <c r="B29" s="361">
        <v>4823313810</v>
      </c>
      <c r="C29" s="361">
        <v>11574560</v>
      </c>
      <c r="D29" s="361">
        <v>1015907570</v>
      </c>
      <c r="E29" s="361">
        <v>5850795940</v>
      </c>
      <c r="F29" s="361">
        <f>'- 51 -'!C29</f>
        <v>77392089</v>
      </c>
      <c r="G29" s="362">
        <f t="shared" si="0"/>
        <v>13.227617198353357</v>
      </c>
      <c r="I29" s="260" t="str">
        <f t="shared" si="1"/>
        <v xml:space="preserve"> PINE CREEK</v>
      </c>
      <c r="J29" s="267">
        <f t="shared" si="2"/>
        <v>17.092347782855803</v>
      </c>
    </row>
    <row r="30" spans="1:11" ht="14.1" customHeight="1">
      <c r="A30" s="23" t="s">
        <v>248</v>
      </c>
      <c r="B30" s="24">
        <v>98535430</v>
      </c>
      <c r="C30" s="24">
        <v>129883700</v>
      </c>
      <c r="D30" s="24">
        <v>80255200</v>
      </c>
      <c r="E30" s="24">
        <v>308674330</v>
      </c>
      <c r="F30" s="24">
        <f>'- 51 -'!C30</f>
        <v>5275969</v>
      </c>
      <c r="G30" s="353">
        <f t="shared" si="0"/>
        <v>17.092347782855803</v>
      </c>
      <c r="I30" s="260" t="str">
        <f t="shared" si="1"/>
        <v xml:space="preserve"> PORTAGE LA PRAIRIE</v>
      </c>
      <c r="J30" s="267">
        <f t="shared" si="2"/>
        <v>15.729658604768465</v>
      </c>
      <c r="K30" s="1">
        <f>F30-'- 51 -'!C30</f>
        <v>0</v>
      </c>
    </row>
    <row r="31" spans="1:11" ht="14.1" customHeight="1">
      <c r="A31" s="360" t="s">
        <v>249</v>
      </c>
      <c r="B31" s="361">
        <v>425735150</v>
      </c>
      <c r="C31" s="361">
        <v>181872720</v>
      </c>
      <c r="D31" s="361">
        <v>288272540</v>
      </c>
      <c r="E31" s="361">
        <v>895880410</v>
      </c>
      <c r="F31" s="361">
        <f>'- 51 -'!C31</f>
        <v>14091893</v>
      </c>
      <c r="G31" s="362">
        <f t="shared" si="0"/>
        <v>15.729658604768465</v>
      </c>
      <c r="I31" s="260" t="str">
        <f t="shared" si="1"/>
        <v xml:space="preserve"> PRAIRIE ROSE</v>
      </c>
      <c r="J31" s="267">
        <f t="shared" si="2"/>
        <v>14.473853859252268</v>
      </c>
      <c r="K31" s="1">
        <f>F31-'- 51 -'!C31</f>
        <v>0</v>
      </c>
    </row>
    <row r="32" spans="1:11" ht="14.1" customHeight="1">
      <c r="A32" s="23" t="s">
        <v>250</v>
      </c>
      <c r="B32" s="24">
        <v>363581140</v>
      </c>
      <c r="C32" s="24">
        <v>320800290</v>
      </c>
      <c r="D32" s="24">
        <v>116654570</v>
      </c>
      <c r="E32" s="24">
        <v>801036000</v>
      </c>
      <c r="F32" s="24">
        <f>'- 51 -'!C32</f>
        <v>11594078</v>
      </c>
      <c r="G32" s="353">
        <f t="shared" si="0"/>
        <v>14.473853859252268</v>
      </c>
      <c r="I32" s="260" t="str">
        <f t="shared" si="1"/>
        <v xml:space="preserve"> PRAIRIE SPIRIT</v>
      </c>
      <c r="J32" s="267">
        <f t="shared" si="2"/>
        <v>15.888112386483442</v>
      </c>
      <c r="K32" s="1">
        <f>F32-'- 51 -'!C32</f>
        <v>0</v>
      </c>
    </row>
    <row r="33" spans="1:11" ht="14.1" customHeight="1">
      <c r="A33" s="360" t="s">
        <v>251</v>
      </c>
      <c r="B33" s="361">
        <v>217742320</v>
      </c>
      <c r="C33" s="361">
        <v>401860250</v>
      </c>
      <c r="D33" s="361">
        <v>142600120</v>
      </c>
      <c r="E33" s="361">
        <v>762202690</v>
      </c>
      <c r="F33" s="361">
        <f>'- 51 -'!C33</f>
        <v>12109962</v>
      </c>
      <c r="G33" s="362">
        <f t="shared" si="0"/>
        <v>15.888112386483442</v>
      </c>
      <c r="I33" s="260" t="str">
        <f t="shared" si="1"/>
        <v xml:space="preserve"> RED RIVER VALLEY</v>
      </c>
      <c r="J33" s="267">
        <f t="shared" si="2"/>
        <v>16.799831080446435</v>
      </c>
      <c r="K33" s="1">
        <f>F33-'- 51 -'!C33</f>
        <v>0</v>
      </c>
    </row>
    <row r="34" spans="1:11" ht="14.1" customHeight="1">
      <c r="A34" s="23" t="s">
        <v>252</v>
      </c>
      <c r="B34" s="24">
        <v>366487260</v>
      </c>
      <c r="C34" s="24">
        <v>257452760</v>
      </c>
      <c r="D34" s="24">
        <v>187854690</v>
      </c>
      <c r="E34" s="24">
        <v>811794710</v>
      </c>
      <c r="F34" s="24">
        <f>'- 51 -'!C34</f>
        <v>13638014</v>
      </c>
      <c r="G34" s="353">
        <f t="shared" si="0"/>
        <v>16.799831080446435</v>
      </c>
      <c r="I34" s="260" t="str">
        <f t="shared" si="1"/>
        <v xml:space="preserve"> RIVER EAST TRANSCONA</v>
      </c>
      <c r="J34" s="267">
        <f t="shared" si="2"/>
        <v>14.638837452834139</v>
      </c>
      <c r="K34" s="1">
        <f>F34-'- 51 -'!C34</f>
        <v>0</v>
      </c>
    </row>
    <row r="35" spans="1:11" ht="14.1" customHeight="1">
      <c r="A35" s="360" t="s">
        <v>253</v>
      </c>
      <c r="B35" s="361">
        <v>4235433390</v>
      </c>
      <c r="C35" s="361">
        <v>12492900</v>
      </c>
      <c r="D35" s="361">
        <v>755584080</v>
      </c>
      <c r="E35" s="361">
        <v>5003510370</v>
      </c>
      <c r="F35" s="361">
        <f>'- 51 -'!C35</f>
        <v>73245575</v>
      </c>
      <c r="G35" s="362">
        <f t="shared" si="0"/>
        <v>14.638837452834139</v>
      </c>
      <c r="I35" s="260" t="str">
        <f t="shared" si="1"/>
        <v xml:space="preserve"> ROLLING RIVER</v>
      </c>
      <c r="J35" s="267">
        <f t="shared" si="2"/>
        <v>15.18739967854483</v>
      </c>
      <c r="K35" s="1">
        <f>F35-'- 51 -'!C35</f>
        <v>0</v>
      </c>
    </row>
    <row r="36" spans="1:11" ht="14.1" customHeight="1">
      <c r="A36" s="23" t="s">
        <v>254</v>
      </c>
      <c r="B36" s="24">
        <v>332170730</v>
      </c>
      <c r="C36" s="24">
        <v>130803250</v>
      </c>
      <c r="D36" s="24">
        <v>155998800</v>
      </c>
      <c r="E36" s="24">
        <v>618972780</v>
      </c>
      <c r="F36" s="24">
        <f>'- 51 -'!C36</f>
        <v>9400587</v>
      </c>
      <c r="G36" s="353">
        <f t="shared" si="0"/>
        <v>15.18739967854483</v>
      </c>
      <c r="I36" s="260" t="str">
        <f t="shared" si="1"/>
        <v xml:space="preserve"> SEINE RIVER</v>
      </c>
      <c r="J36" s="267">
        <f t="shared" si="2"/>
        <v>15.536429544550314</v>
      </c>
      <c r="K36" s="1">
        <f>F36-'- 51 -'!C36</f>
        <v>0</v>
      </c>
    </row>
    <row r="37" spans="1:11" ht="14.1" customHeight="1">
      <c r="A37" s="360" t="s">
        <v>255</v>
      </c>
      <c r="B37" s="361">
        <v>993218090</v>
      </c>
      <c r="C37" s="361">
        <v>102619200</v>
      </c>
      <c r="D37" s="361">
        <v>145623880</v>
      </c>
      <c r="E37" s="361">
        <v>1241461170</v>
      </c>
      <c r="F37" s="361">
        <f>'- 51 -'!C37</f>
        <v>19287874</v>
      </c>
      <c r="G37" s="362">
        <f t="shared" si="0"/>
        <v>15.536429544550314</v>
      </c>
      <c r="I37" s="260" t="str">
        <f t="shared" si="1"/>
        <v xml:space="preserve"> SEVEN OAKS</v>
      </c>
      <c r="J37" s="267">
        <f t="shared" si="2"/>
        <v>16.958346909368956</v>
      </c>
      <c r="K37" s="1">
        <f>F37-'- 51 -'!C37</f>
        <v>0</v>
      </c>
    </row>
    <row r="38" spans="1:11" ht="14.1" customHeight="1">
      <c r="A38" s="23" t="s">
        <v>256</v>
      </c>
      <c r="B38" s="24">
        <v>2209875550</v>
      </c>
      <c r="C38" s="24">
        <v>10680240</v>
      </c>
      <c r="D38" s="24">
        <v>293218060</v>
      </c>
      <c r="E38" s="24">
        <v>2513773850</v>
      </c>
      <c r="F38" s="24">
        <f>'- 51 -'!C38</f>
        <v>42629449</v>
      </c>
      <c r="G38" s="353">
        <f t="shared" si="0"/>
        <v>16.958346909368956</v>
      </c>
      <c r="I38" s="260" t="str">
        <f t="shared" si="1"/>
        <v xml:space="preserve"> SOUTHWEST HORIZON</v>
      </c>
      <c r="J38" s="267">
        <f t="shared" si="2"/>
        <v>14.968209923612523</v>
      </c>
      <c r="K38" s="1">
        <f>F38-'- 51 -'!C38</f>
        <v>0</v>
      </c>
    </row>
    <row r="39" spans="1:11" ht="14.1" customHeight="1">
      <c r="A39" s="360" t="s">
        <v>257</v>
      </c>
      <c r="B39" s="361">
        <v>195290520</v>
      </c>
      <c r="C39" s="361">
        <v>262002110</v>
      </c>
      <c r="D39" s="361">
        <v>222490260</v>
      </c>
      <c r="E39" s="361">
        <v>679782890</v>
      </c>
      <c r="F39" s="361">
        <f>'- 51 -'!C39</f>
        <v>10175133</v>
      </c>
      <c r="G39" s="362">
        <f t="shared" si="0"/>
        <v>14.968209923612523</v>
      </c>
      <c r="I39" s="260" t="str">
        <f t="shared" si="1"/>
        <v xml:space="preserve"> ST. JAMES-ASSINIBOIA</v>
      </c>
      <c r="J39" s="267">
        <f t="shared" si="2"/>
        <v>13.398505086892365</v>
      </c>
      <c r="K39" s="1">
        <f>F39-'- 51 -'!C39</f>
        <v>0</v>
      </c>
    </row>
    <row r="40" spans="1:11" ht="14.1" customHeight="1">
      <c r="A40" s="23" t="s">
        <v>258</v>
      </c>
      <c r="B40" s="24">
        <v>2389078310</v>
      </c>
      <c r="C40" s="24">
        <v>13190320</v>
      </c>
      <c r="D40" s="24">
        <v>1241125740</v>
      </c>
      <c r="E40" s="24">
        <v>3643394370</v>
      </c>
      <c r="F40" s="24">
        <f>'- 51 -'!C40</f>
        <v>48816038</v>
      </c>
      <c r="G40" s="353">
        <f t="shared" si="0"/>
        <v>13.398505086892365</v>
      </c>
      <c r="I40" s="260" t="str">
        <f t="shared" si="1"/>
        <v xml:space="preserve"> SUNRISE</v>
      </c>
      <c r="J40" s="267">
        <f t="shared" si="2"/>
        <v>14.857944819805915</v>
      </c>
      <c r="K40" s="1">
        <f>F40-'- 51 -'!C40</f>
        <v>0</v>
      </c>
    </row>
    <row r="41" spans="1:11" ht="14.1" customHeight="1">
      <c r="A41" s="360" t="s">
        <v>259</v>
      </c>
      <c r="B41" s="361">
        <v>1432232680</v>
      </c>
      <c r="C41" s="361">
        <v>161481000</v>
      </c>
      <c r="D41" s="361">
        <v>301579400</v>
      </c>
      <c r="E41" s="361">
        <v>1895293080</v>
      </c>
      <c r="F41" s="361">
        <f>'- 51 -'!C41</f>
        <v>28160160</v>
      </c>
      <c r="G41" s="362">
        <f t="shared" si="0"/>
        <v>14.857944819805915</v>
      </c>
      <c r="I41" s="260" t="str">
        <f t="shared" si="1"/>
        <v xml:space="preserve"> SWAN VALLEY</v>
      </c>
      <c r="J41" s="267">
        <f t="shared" si="2"/>
        <v>18.678137856399569</v>
      </c>
      <c r="K41" s="1">
        <f>F41-'- 51 -'!C41</f>
        <v>0</v>
      </c>
    </row>
    <row r="42" spans="1:11" ht="14.1" customHeight="1">
      <c r="A42" s="23" t="s">
        <v>260</v>
      </c>
      <c r="B42" s="24">
        <v>169131770</v>
      </c>
      <c r="C42" s="24">
        <v>110622470</v>
      </c>
      <c r="D42" s="24">
        <v>66372020</v>
      </c>
      <c r="E42" s="24">
        <v>346126260</v>
      </c>
      <c r="F42" s="24">
        <f>'- 51 -'!C42</f>
        <v>6464994</v>
      </c>
      <c r="G42" s="353">
        <f t="shared" si="0"/>
        <v>18.678137856399569</v>
      </c>
      <c r="I42" s="260" t="str">
        <f t="shared" si="1"/>
        <v xml:space="preserve"> TURTLE MOUNTAIN</v>
      </c>
      <c r="J42" s="267">
        <f t="shared" si="2"/>
        <v>16.366904290057438</v>
      </c>
      <c r="K42" s="1">
        <f>F42-'- 51 -'!C42</f>
        <v>0</v>
      </c>
    </row>
    <row r="43" spans="1:11" ht="14.1" customHeight="1">
      <c r="A43" s="360" t="s">
        <v>261</v>
      </c>
      <c r="B43" s="361">
        <v>159255500</v>
      </c>
      <c r="C43" s="361">
        <v>131979800</v>
      </c>
      <c r="D43" s="361">
        <v>51228180</v>
      </c>
      <c r="E43" s="361">
        <v>342463480</v>
      </c>
      <c r="F43" s="361">
        <f>'- 51 -'!C43</f>
        <v>5605067</v>
      </c>
      <c r="G43" s="362">
        <f t="shared" si="0"/>
        <v>16.366904290057438</v>
      </c>
      <c r="I43" s="260" t="str">
        <f t="shared" si="1"/>
        <v xml:space="preserve"> TURTLE RIVER</v>
      </c>
      <c r="J43" s="267">
        <f t="shared" si="2"/>
        <v>19.320924401324479</v>
      </c>
      <c r="K43" s="1">
        <f>F43-'- 51 -'!C43</f>
        <v>0</v>
      </c>
    </row>
    <row r="44" spans="1:11" ht="14.1" customHeight="1">
      <c r="A44" s="23" t="s">
        <v>262</v>
      </c>
      <c r="B44" s="24">
        <v>68300430</v>
      </c>
      <c r="C44" s="24">
        <v>65574270</v>
      </c>
      <c r="D44" s="24">
        <v>13319810</v>
      </c>
      <c r="E44" s="24">
        <v>147194510</v>
      </c>
      <c r="F44" s="24">
        <f>'- 51 -'!C44</f>
        <v>2843934</v>
      </c>
      <c r="G44" s="353">
        <f t="shared" si="0"/>
        <v>19.320924401324479</v>
      </c>
      <c r="I44" s="260" t="str">
        <f t="shared" si="1"/>
        <v xml:space="preserve"> WESTERN</v>
      </c>
      <c r="J44" s="267">
        <f t="shared" si="2"/>
        <v>18.381702655581645</v>
      </c>
      <c r="K44" s="1">
        <f>F44-'- 51 -'!C44</f>
        <v>0</v>
      </c>
    </row>
    <row r="45" spans="1:11" ht="14.1" customHeight="1">
      <c r="A45" s="360" t="s">
        <v>263</v>
      </c>
      <c r="B45" s="361">
        <v>254866620</v>
      </c>
      <c r="C45" s="361">
        <v>50851780</v>
      </c>
      <c r="D45" s="361">
        <v>82459460</v>
      </c>
      <c r="E45" s="361">
        <v>388177860</v>
      </c>
      <c r="F45" s="361">
        <f>'- 51 -'!C45</f>
        <v>7135370</v>
      </c>
      <c r="G45" s="362">
        <f t="shared" si="0"/>
        <v>18.381702655581645</v>
      </c>
      <c r="I45" s="260" t="str">
        <f t="shared" si="1"/>
        <v xml:space="preserve"> WINNIPEG</v>
      </c>
      <c r="J45" s="267">
        <f t="shared" si="2"/>
        <v>16.733323868677022</v>
      </c>
      <c r="K45" s="1">
        <f>F45-'- 51 -'!C45</f>
        <v>0</v>
      </c>
    </row>
    <row r="46" spans="1:11" ht="14.1" customHeight="1">
      <c r="A46" s="23" t="s">
        <v>264</v>
      </c>
      <c r="B46" s="24">
        <v>5468955990</v>
      </c>
      <c r="C46" s="24">
        <v>2703220</v>
      </c>
      <c r="D46" s="24">
        <v>3685355810</v>
      </c>
      <c r="E46" s="24">
        <v>9157015020</v>
      </c>
      <c r="F46" s="24">
        <f>'- 51 -'!C46</f>
        <v>153227298</v>
      </c>
      <c r="G46" s="353">
        <f t="shared" si="0"/>
        <v>16.733323868677022</v>
      </c>
      <c r="K46" s="1">
        <f>F46-'- 51 -'!C46</f>
        <v>0</v>
      </c>
    </row>
    <row r="47" spans="1:11" ht="5.0999999999999996" customHeight="1">
      <c r="A47"/>
      <c r="B47"/>
      <c r="C47"/>
      <c r="D47"/>
      <c r="E47"/>
      <c r="F47"/>
      <c r="G47"/>
      <c r="K47" s="1">
        <f>F47-'- 51 -'!C47</f>
        <v>0</v>
      </c>
    </row>
    <row r="48" spans="1:11" ht="14.1" customHeight="1">
      <c r="A48" s="363" t="s">
        <v>271</v>
      </c>
      <c r="B48" s="364">
        <f>SUM(B11:B46)</f>
        <v>36675381460</v>
      </c>
      <c r="C48" s="364">
        <f>SUM(C11:C46)</f>
        <v>3961866080</v>
      </c>
      <c r="D48" s="364">
        <f>SUM(D11:D46)</f>
        <v>12758928220</v>
      </c>
      <c r="E48" s="364">
        <f>SUM(E11:E46)</f>
        <v>53396175760</v>
      </c>
      <c r="F48" s="364">
        <f>SUM(F11:F46)</f>
        <v>816237592</v>
      </c>
      <c r="G48" s="365">
        <f>F48/E48*1000</f>
        <v>15.286442903116251</v>
      </c>
      <c r="K48" s="1">
        <f>F48-'- 51 -'!C48</f>
        <v>0</v>
      </c>
    </row>
    <row r="49" spans="1:10" ht="5.0999999999999996" customHeight="1">
      <c r="A49" s="155"/>
      <c r="B49" s="172"/>
      <c r="C49" s="172"/>
      <c r="D49" s="172"/>
      <c r="E49" s="172"/>
      <c r="F49" s="172"/>
      <c r="G49"/>
    </row>
    <row r="50" spans="1:10" ht="14.1" customHeight="1">
      <c r="A50" s="23" t="s">
        <v>269</v>
      </c>
      <c r="B50" s="24">
        <v>59447420</v>
      </c>
      <c r="C50" s="24">
        <v>704860</v>
      </c>
      <c r="D50" s="24">
        <v>3411570</v>
      </c>
      <c r="E50" s="24">
        <v>63563850</v>
      </c>
      <c r="F50"/>
      <c r="G50"/>
    </row>
    <row r="51" spans="1:10" ht="14.1" customHeight="1">
      <c r="A51" s="360" t="s">
        <v>270</v>
      </c>
      <c r="B51" s="361">
        <v>15368390</v>
      </c>
      <c r="C51" s="361">
        <v>12571110</v>
      </c>
      <c r="D51" s="361">
        <v>45824040</v>
      </c>
      <c r="E51" s="361">
        <v>73763540</v>
      </c>
      <c r="F51"/>
      <c r="G51"/>
    </row>
    <row r="52" spans="1:10" ht="5.0999999999999996" customHeight="1">
      <c r="A52" s="155"/>
      <c r="B52" s="172"/>
      <c r="C52" s="172"/>
      <c r="D52" s="172"/>
      <c r="E52" s="172"/>
      <c r="F52"/>
      <c r="G52"/>
    </row>
    <row r="53" spans="1:10" ht="14.1" customHeight="1">
      <c r="A53" s="363" t="s">
        <v>265</v>
      </c>
      <c r="B53" s="364">
        <f>SUM(B48,B50:B51)</f>
        <v>36750197270</v>
      </c>
      <c r="C53" s="364">
        <f>SUM(C48,C50:C51)</f>
        <v>3975142050</v>
      </c>
      <c r="D53" s="364">
        <f>SUM(D48,D50:D51)</f>
        <v>12808163830</v>
      </c>
      <c r="E53" s="364">
        <f>SUM(E48,E50:E51)</f>
        <v>53533503150</v>
      </c>
      <c r="F53" s="608"/>
      <c r="G53" s="608"/>
    </row>
    <row r="54" spans="1:10" ht="30" customHeight="1">
      <c r="A54" s="27"/>
      <c r="B54" s="27"/>
      <c r="C54" s="27"/>
      <c r="D54" s="27"/>
      <c r="E54" s="27"/>
      <c r="F54" s="27"/>
      <c r="G54" s="27"/>
    </row>
    <row r="55" spans="1:10" ht="15" customHeight="1">
      <c r="A55" s="160" t="s">
        <v>686</v>
      </c>
      <c r="B55" s="39"/>
      <c r="C55" s="39"/>
      <c r="D55" s="39"/>
      <c r="E55" s="39"/>
      <c r="F55" s="39"/>
      <c r="G55" s="39"/>
      <c r="H55" s="39"/>
      <c r="I55" s="39"/>
      <c r="J55" s="39"/>
    </row>
    <row r="56" spans="1:10" ht="12" customHeight="1">
      <c r="A56" s="1" t="s">
        <v>670</v>
      </c>
      <c r="B56" s="39"/>
      <c r="C56" s="39"/>
      <c r="D56" s="39"/>
      <c r="E56" s="39"/>
      <c r="F56" s="39"/>
      <c r="G56" s="39"/>
      <c r="H56" s="39"/>
      <c r="I56" s="39"/>
      <c r="J56" s="39"/>
    </row>
    <row r="57" spans="1:10" ht="12" customHeight="1">
      <c r="A57" s="1" t="s">
        <v>598</v>
      </c>
      <c r="B57" s="39"/>
      <c r="C57" s="39"/>
      <c r="D57" s="39"/>
      <c r="E57" s="39"/>
      <c r="F57" s="39"/>
      <c r="G57" s="39"/>
      <c r="H57" s="39"/>
      <c r="I57" s="39"/>
      <c r="J57" s="39"/>
    </row>
  </sheetData>
  <phoneticPr fontId="0" type="noConversion"/>
  <printOptions horizontalCentered="1"/>
  <pageMargins left="0.5" right="0.5" top="0.6" bottom="0" header="0.3" footer="0"/>
  <pageSetup scale="88" orientation="portrait" r:id="rId1"/>
  <headerFooter alignWithMargins="0">
    <oddHeader>&amp;C&amp;"Arial,Bold"&amp;10&amp;A</oddHeader>
  </headerFooter>
  <legacyDrawing r:id="rId2"/>
</worksheet>
</file>

<file path=xl/worksheets/sheet43.xml><?xml version="1.0" encoding="utf-8"?>
<worksheet xmlns="http://schemas.openxmlformats.org/spreadsheetml/2006/main" xmlns:r="http://schemas.openxmlformats.org/officeDocument/2006/relationships">
  <sheetPr codeName="Sheet55"/>
  <dimension ref="A1:F56"/>
  <sheetViews>
    <sheetView showGridLines="0" showZeros="0" topLeftCell="A19" workbookViewId="0"/>
  </sheetViews>
  <sheetFormatPr defaultColWidth="13.6640625" defaultRowHeight="12"/>
  <cols>
    <col min="1" max="1" width="37.5" style="1" customWidth="1"/>
    <col min="2" max="2" width="22" style="1" customWidth="1"/>
    <col min="3" max="3" width="18.83203125" style="1" customWidth="1"/>
    <col min="4" max="4" width="19" style="1" customWidth="1"/>
    <col min="5" max="5" width="13.6640625" style="1"/>
    <col min="6" max="6" width="15.6640625" style="1" customWidth="1"/>
    <col min="7" max="16384" width="13.6640625" style="1"/>
  </cols>
  <sheetData>
    <row r="1" spans="1:6" ht="6.95" customHeight="1">
      <c r="A1" s="3"/>
    </row>
    <row r="2" spans="1:6" ht="15.95" customHeight="1">
      <c r="A2" s="659" t="s">
        <v>552</v>
      </c>
      <c r="B2" s="659"/>
      <c r="C2" s="659"/>
      <c r="D2" s="659"/>
      <c r="E2" s="659"/>
      <c r="F2" s="659"/>
    </row>
    <row r="3" spans="1:6" ht="15.95" customHeight="1">
      <c r="A3" s="660" t="str">
        <f>+'- 51 -'!B3</f>
        <v>FOR THE 2013 TAXATION YEAR</v>
      </c>
      <c r="B3" s="660"/>
      <c r="C3" s="660"/>
      <c r="D3" s="660"/>
      <c r="E3" s="660"/>
      <c r="F3" s="660"/>
    </row>
    <row r="4" spans="1:6" ht="15.95" customHeight="1">
      <c r="B4" s="4"/>
      <c r="C4" s="4"/>
      <c r="D4" s="4"/>
    </row>
    <row r="5" spans="1:6" ht="15.95" customHeight="1">
      <c r="B5" s="4"/>
      <c r="C5" s="4"/>
      <c r="D5" s="4"/>
    </row>
    <row r="6" spans="1:6" ht="15.95" customHeight="1">
      <c r="B6" s="538"/>
      <c r="C6" s="538"/>
      <c r="D6" s="538"/>
    </row>
    <row r="7" spans="1:6" ht="15.95" customHeight="1">
      <c r="B7" s="456"/>
      <c r="C7" s="536"/>
      <c r="D7" s="444"/>
    </row>
    <row r="8" spans="1:6" ht="15.95" customHeight="1">
      <c r="A8" s="17"/>
      <c r="B8" s="458" t="s">
        <v>496</v>
      </c>
      <c r="C8" s="435" t="s">
        <v>497</v>
      </c>
      <c r="D8" s="435" t="s">
        <v>498</v>
      </c>
    </row>
    <row r="9" spans="1:6" ht="15.95" customHeight="1">
      <c r="A9" s="19" t="s">
        <v>81</v>
      </c>
      <c r="B9" s="460" t="s">
        <v>134</v>
      </c>
      <c r="C9" s="379" t="s">
        <v>499</v>
      </c>
      <c r="D9" s="379" t="s">
        <v>134</v>
      </c>
    </row>
    <row r="10" spans="1:6" ht="5.0999999999999996" customHeight="1">
      <c r="A10" s="22"/>
      <c r="B10" s="247"/>
      <c r="C10" s="247"/>
      <c r="D10" s="247"/>
    </row>
    <row r="11" spans="1:6" ht="14.1" customHeight="1">
      <c r="A11" s="360" t="s">
        <v>230</v>
      </c>
      <c r="B11" s="361">
        <v>7807199</v>
      </c>
      <c r="C11" s="361">
        <v>504331</v>
      </c>
      <c r="D11" s="361">
        <v>7302868</v>
      </c>
    </row>
    <row r="12" spans="1:6" ht="14.1" customHeight="1">
      <c r="A12" s="23" t="s">
        <v>231</v>
      </c>
      <c r="B12" s="24">
        <v>13581123</v>
      </c>
      <c r="C12" s="24">
        <v>2736955</v>
      </c>
      <c r="D12" s="24">
        <v>10844168</v>
      </c>
    </row>
    <row r="13" spans="1:6" ht="14.1" customHeight="1">
      <c r="A13" s="360" t="s">
        <v>232</v>
      </c>
      <c r="B13" s="361">
        <v>39877926</v>
      </c>
      <c r="C13" s="361">
        <v>1848013</v>
      </c>
      <c r="D13" s="361">
        <v>38029913</v>
      </c>
    </row>
    <row r="14" spans="1:6" ht="14.1" customHeight="1">
      <c r="A14" s="23" t="s">
        <v>578</v>
      </c>
      <c r="B14" s="24">
        <v>0</v>
      </c>
      <c r="C14" s="24">
        <v>0</v>
      </c>
      <c r="D14" s="24">
        <v>0</v>
      </c>
    </row>
    <row r="15" spans="1:6" ht="14.1" customHeight="1">
      <c r="A15" s="360" t="s">
        <v>233</v>
      </c>
      <c r="B15" s="361">
        <v>10661564</v>
      </c>
      <c r="C15" s="361">
        <v>1595317</v>
      </c>
      <c r="D15" s="361">
        <v>9066247</v>
      </c>
    </row>
    <row r="16" spans="1:6" ht="14.1" customHeight="1">
      <c r="A16" s="23" t="s">
        <v>234</v>
      </c>
      <c r="B16" s="24">
        <v>4511152</v>
      </c>
      <c r="C16" s="24">
        <v>752713</v>
      </c>
      <c r="D16" s="24">
        <v>3758439</v>
      </c>
    </row>
    <row r="17" spans="1:4" ht="14.1" customHeight="1">
      <c r="A17" s="360" t="s">
        <v>235</v>
      </c>
      <c r="B17" s="361">
        <v>8064236</v>
      </c>
      <c r="C17" s="361">
        <v>487785</v>
      </c>
      <c r="D17" s="361">
        <v>7576451</v>
      </c>
    </row>
    <row r="18" spans="1:4" ht="14.1" customHeight="1">
      <c r="A18" s="23" t="s">
        <v>236</v>
      </c>
      <c r="B18" s="24">
        <v>3436787</v>
      </c>
      <c r="C18" s="24">
        <v>318474</v>
      </c>
      <c r="D18" s="24">
        <v>3118313</v>
      </c>
    </row>
    <row r="19" spans="1:4" ht="14.1" customHeight="1">
      <c r="A19" s="360" t="s">
        <v>237</v>
      </c>
      <c r="B19" s="361">
        <v>16434868</v>
      </c>
      <c r="C19" s="361">
        <v>646173</v>
      </c>
      <c r="D19" s="361">
        <v>15788695</v>
      </c>
    </row>
    <row r="20" spans="1:4" ht="14.1" customHeight="1">
      <c r="A20" s="23" t="s">
        <v>238</v>
      </c>
      <c r="B20" s="24">
        <v>27133792</v>
      </c>
      <c r="C20" s="24">
        <v>1508126</v>
      </c>
      <c r="D20" s="24">
        <v>25625666</v>
      </c>
    </row>
    <row r="21" spans="1:4" ht="14.1" customHeight="1">
      <c r="A21" s="360" t="s">
        <v>239</v>
      </c>
      <c r="B21" s="361">
        <v>15573280</v>
      </c>
      <c r="C21" s="361">
        <v>1289551</v>
      </c>
      <c r="D21" s="361">
        <v>14283729</v>
      </c>
    </row>
    <row r="22" spans="1:4" ht="14.1" customHeight="1">
      <c r="A22" s="23" t="s">
        <v>240</v>
      </c>
      <c r="B22" s="24">
        <v>4500156</v>
      </c>
      <c r="C22" s="24">
        <v>309407</v>
      </c>
      <c r="D22" s="24">
        <v>4190749</v>
      </c>
    </row>
    <row r="23" spans="1:4" ht="14.1" customHeight="1">
      <c r="A23" s="360" t="s">
        <v>241</v>
      </c>
      <c r="B23" s="361">
        <v>4578716</v>
      </c>
      <c r="C23" s="361">
        <v>440073</v>
      </c>
      <c r="D23" s="361">
        <v>4138643</v>
      </c>
    </row>
    <row r="24" spans="1:4" ht="14.1" customHeight="1">
      <c r="A24" s="23" t="s">
        <v>242</v>
      </c>
      <c r="B24" s="24">
        <v>26060345</v>
      </c>
      <c r="C24" s="24">
        <v>2692903</v>
      </c>
      <c r="D24" s="24">
        <v>23367442</v>
      </c>
    </row>
    <row r="25" spans="1:4" ht="14.1" customHeight="1">
      <c r="A25" s="360" t="s">
        <v>243</v>
      </c>
      <c r="B25" s="361">
        <v>85458642</v>
      </c>
      <c r="C25" s="361">
        <v>6541003</v>
      </c>
      <c r="D25" s="361">
        <v>78917639</v>
      </c>
    </row>
    <row r="26" spans="1:4" ht="14.1" customHeight="1">
      <c r="A26" s="23" t="s">
        <v>244</v>
      </c>
      <c r="B26" s="24">
        <v>13915496</v>
      </c>
      <c r="C26" s="24">
        <v>690360</v>
      </c>
      <c r="D26" s="24">
        <v>13225136</v>
      </c>
    </row>
    <row r="27" spans="1:4" ht="14.1" customHeight="1">
      <c r="A27" s="360" t="s">
        <v>245</v>
      </c>
      <c r="B27" s="361">
        <v>8899776</v>
      </c>
      <c r="C27" s="361">
        <v>1086050</v>
      </c>
      <c r="D27" s="361">
        <v>7813726</v>
      </c>
    </row>
    <row r="28" spans="1:4" ht="14.1" customHeight="1">
      <c r="A28" s="23" t="s">
        <v>246</v>
      </c>
      <c r="B28" s="24">
        <v>8913637</v>
      </c>
      <c r="C28" s="24">
        <v>817353</v>
      </c>
      <c r="D28" s="24">
        <v>8096284</v>
      </c>
    </row>
    <row r="29" spans="1:4" ht="14.1" customHeight="1">
      <c r="A29" s="360" t="s">
        <v>247</v>
      </c>
      <c r="B29" s="361">
        <v>82251778</v>
      </c>
      <c r="C29" s="361">
        <v>4859689</v>
      </c>
      <c r="D29" s="361">
        <v>77392089</v>
      </c>
    </row>
    <row r="30" spans="1:4" ht="14.1" customHeight="1">
      <c r="A30" s="23" t="s">
        <v>248</v>
      </c>
      <c r="B30" s="24">
        <v>5608184</v>
      </c>
      <c r="C30" s="24">
        <v>332215</v>
      </c>
      <c r="D30" s="24">
        <v>5275969</v>
      </c>
    </row>
    <row r="31" spans="1:4" ht="14.1" customHeight="1">
      <c r="A31" s="360" t="s">
        <v>249</v>
      </c>
      <c r="B31" s="361">
        <v>14614929</v>
      </c>
      <c r="C31" s="361">
        <v>523036</v>
      </c>
      <c r="D31" s="361">
        <v>14091893</v>
      </c>
    </row>
    <row r="32" spans="1:4" ht="14.1" customHeight="1">
      <c r="A32" s="23" t="s">
        <v>250</v>
      </c>
      <c r="B32" s="24">
        <v>12747187</v>
      </c>
      <c r="C32" s="24">
        <v>1153109</v>
      </c>
      <c r="D32" s="24">
        <v>11594078</v>
      </c>
    </row>
    <row r="33" spans="1:4" ht="14.1" customHeight="1">
      <c r="A33" s="360" t="s">
        <v>251</v>
      </c>
      <c r="B33" s="361">
        <v>13003947</v>
      </c>
      <c r="C33" s="361">
        <v>893985</v>
      </c>
      <c r="D33" s="361">
        <v>12109962</v>
      </c>
    </row>
    <row r="34" spans="1:4" ht="14.1" customHeight="1">
      <c r="A34" s="23" t="s">
        <v>252</v>
      </c>
      <c r="B34" s="24">
        <v>14507890</v>
      </c>
      <c r="C34" s="24">
        <v>869876</v>
      </c>
      <c r="D34" s="24">
        <v>13638014</v>
      </c>
    </row>
    <row r="35" spans="1:4" ht="14.1" customHeight="1">
      <c r="A35" s="360" t="s">
        <v>253</v>
      </c>
      <c r="B35" s="361">
        <v>74736098</v>
      </c>
      <c r="C35" s="361">
        <v>1490523</v>
      </c>
      <c r="D35" s="361">
        <v>73245575</v>
      </c>
    </row>
    <row r="36" spans="1:4" ht="14.1" customHeight="1">
      <c r="A36" s="23" t="s">
        <v>254</v>
      </c>
      <c r="B36" s="24">
        <v>10164478</v>
      </c>
      <c r="C36" s="24">
        <v>763891</v>
      </c>
      <c r="D36" s="24">
        <v>9400587</v>
      </c>
    </row>
    <row r="37" spans="1:4" ht="14.1" customHeight="1">
      <c r="A37" s="360" t="s">
        <v>255</v>
      </c>
      <c r="B37" s="361">
        <v>21866968</v>
      </c>
      <c r="C37" s="361">
        <v>2579094</v>
      </c>
      <c r="D37" s="361">
        <v>19287874</v>
      </c>
    </row>
    <row r="38" spans="1:4" ht="14.1" customHeight="1">
      <c r="A38" s="23" t="s">
        <v>256</v>
      </c>
      <c r="B38" s="24">
        <v>47993283</v>
      </c>
      <c r="C38" s="24">
        <v>5363834</v>
      </c>
      <c r="D38" s="24">
        <v>42629449</v>
      </c>
    </row>
    <row r="39" spans="1:4" ht="14.1" customHeight="1">
      <c r="A39" s="360" t="s">
        <v>257</v>
      </c>
      <c r="B39" s="361">
        <v>10933589</v>
      </c>
      <c r="C39" s="361">
        <v>758456</v>
      </c>
      <c r="D39" s="361">
        <v>10175133</v>
      </c>
    </row>
    <row r="40" spans="1:4" ht="14.1" customHeight="1">
      <c r="A40" s="23" t="s">
        <v>258</v>
      </c>
      <c r="B40" s="24">
        <v>52296561</v>
      </c>
      <c r="C40" s="24">
        <v>3480523</v>
      </c>
      <c r="D40" s="24">
        <v>48816038</v>
      </c>
    </row>
    <row r="41" spans="1:4" ht="14.1" customHeight="1">
      <c r="A41" s="360" t="s">
        <v>259</v>
      </c>
      <c r="B41" s="361">
        <v>31139857</v>
      </c>
      <c r="C41" s="361">
        <v>2979697</v>
      </c>
      <c r="D41" s="361">
        <v>28160160</v>
      </c>
    </row>
    <row r="42" spans="1:4" ht="14.1" customHeight="1">
      <c r="A42" s="23" t="s">
        <v>260</v>
      </c>
      <c r="B42" s="24">
        <v>7521491</v>
      </c>
      <c r="C42" s="24">
        <v>1056497</v>
      </c>
      <c r="D42" s="24">
        <v>6464994</v>
      </c>
    </row>
    <row r="43" spans="1:4" ht="14.1" customHeight="1">
      <c r="A43" s="360" t="s">
        <v>261</v>
      </c>
      <c r="B43" s="361">
        <v>5605067</v>
      </c>
      <c r="C43" s="361">
        <v>0</v>
      </c>
      <c r="D43" s="361">
        <v>5605067</v>
      </c>
    </row>
    <row r="44" spans="1:4" ht="14.1" customHeight="1">
      <c r="A44" s="23" t="s">
        <v>262</v>
      </c>
      <c r="B44" s="24">
        <v>3312853</v>
      </c>
      <c r="C44" s="24">
        <v>468919</v>
      </c>
      <c r="D44" s="24">
        <v>2843934</v>
      </c>
    </row>
    <row r="45" spans="1:4" ht="14.1" customHeight="1">
      <c r="A45" s="360" t="s">
        <v>263</v>
      </c>
      <c r="B45" s="361">
        <v>7135370</v>
      </c>
      <c r="C45" s="361">
        <v>0</v>
      </c>
      <c r="D45" s="361">
        <v>7135370</v>
      </c>
    </row>
    <row r="46" spans="1:4" ht="14.1" customHeight="1">
      <c r="A46" s="23" t="s">
        <v>264</v>
      </c>
      <c r="B46" s="24">
        <v>162807694</v>
      </c>
      <c r="C46" s="24">
        <v>9580396</v>
      </c>
      <c r="D46" s="24">
        <v>153227298</v>
      </c>
    </row>
    <row r="47" spans="1:4" ht="5.0999999999999996" customHeight="1">
      <c r="A47"/>
      <c r="B47"/>
      <c r="C47"/>
      <c r="D47"/>
    </row>
    <row r="48" spans="1:4" ht="14.1" customHeight="1">
      <c r="A48" s="363" t="s">
        <v>265</v>
      </c>
      <c r="B48" s="364">
        <f>SUM(B11:B47)</f>
        <v>877655919</v>
      </c>
      <c r="C48" s="364">
        <f>SUM(C11:C47)</f>
        <v>61418327</v>
      </c>
      <c r="D48" s="364">
        <f>SUM(D11:D47)</f>
        <v>816237592</v>
      </c>
    </row>
    <row r="49" spans="1:6" s="207" customFormat="1" ht="53.25" customHeight="1">
      <c r="A49" s="537"/>
      <c r="B49" s="537"/>
      <c r="C49" s="537"/>
      <c r="D49" s="537"/>
      <c r="E49" s="27"/>
      <c r="F49" s="27"/>
    </row>
    <row r="50" spans="1:6" s="207" customFormat="1" ht="14.25" customHeight="1">
      <c r="A50" s="2" t="s">
        <v>635</v>
      </c>
      <c r="B50" s="1"/>
      <c r="C50" s="1"/>
      <c r="D50" s="1"/>
      <c r="E50" s="1"/>
      <c r="F50" s="1"/>
    </row>
    <row r="51" spans="1:6">
      <c r="A51" s="2" t="s">
        <v>695</v>
      </c>
    </row>
    <row r="52" spans="1:6">
      <c r="A52" s="1" t="s">
        <v>696</v>
      </c>
    </row>
    <row r="53" spans="1:6" ht="14.45" customHeight="1"/>
    <row r="54" spans="1:6" ht="14.45" customHeight="1"/>
    <row r="55" spans="1:6" ht="14.45" customHeight="1"/>
    <row r="56" spans="1:6" ht="14.45" customHeight="1"/>
  </sheetData>
  <mergeCells count="2">
    <mergeCell ref="A2:F2"/>
    <mergeCell ref="A3:F3"/>
  </mergeCells>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 &amp;A</oddHeader>
  </headerFooter>
</worksheet>
</file>

<file path=xl/worksheets/sheet44.xml><?xml version="1.0" encoding="utf-8"?>
<worksheet xmlns="http://schemas.openxmlformats.org/spreadsheetml/2006/main" xmlns:r="http://schemas.openxmlformats.org/officeDocument/2006/relationships">
  <sheetPr codeName="Sheet44">
    <pageSetUpPr fitToPage="1"/>
  </sheetPr>
  <dimension ref="A1:F58"/>
  <sheetViews>
    <sheetView showGridLines="0" showZeros="0" workbookViewId="0"/>
  </sheetViews>
  <sheetFormatPr defaultColWidth="15.83203125" defaultRowHeight="12"/>
  <cols>
    <col min="1" max="1" width="38.6640625" style="1" customWidth="1"/>
    <col min="2" max="2" width="24.1640625" style="1" customWidth="1"/>
    <col min="3" max="3" width="24" style="1" customWidth="1"/>
    <col min="4" max="4" width="20.33203125" style="1" customWidth="1"/>
    <col min="5" max="5" width="3.83203125" style="1" customWidth="1"/>
    <col min="6" max="6" width="25" style="1" customWidth="1"/>
    <col min="7" max="16384" width="15.83203125" style="1"/>
  </cols>
  <sheetData>
    <row r="1" spans="1:6" ht="6.95" customHeight="1">
      <c r="A1" s="3"/>
    </row>
    <row r="2" spans="1:6" ht="15.95" customHeight="1">
      <c r="A2" s="41"/>
      <c r="B2" s="261" t="s">
        <v>333</v>
      </c>
      <c r="C2" s="280"/>
      <c r="D2" s="280"/>
      <c r="E2" s="281"/>
      <c r="F2" s="281"/>
    </row>
    <row r="3" spans="1:6" ht="15.95" customHeight="1">
      <c r="A3" s="45"/>
      <c r="B3" s="263" t="str">
        <f>TAXYEAR</f>
        <v>FOR THE 2013 TAXATION YEAR</v>
      </c>
      <c r="C3" s="282"/>
      <c r="D3" s="282"/>
      <c r="E3" s="283"/>
      <c r="F3" s="283"/>
    </row>
    <row r="4" spans="1:6" ht="15.95" customHeight="1">
      <c r="B4" s="4"/>
      <c r="C4" s="4"/>
      <c r="D4" s="4"/>
      <c r="E4" s="4"/>
      <c r="F4" s="4"/>
    </row>
    <row r="5" spans="1:6" ht="15.95" customHeight="1">
      <c r="B5" s="4"/>
      <c r="C5" s="4"/>
      <c r="D5" s="4"/>
      <c r="E5" s="4"/>
      <c r="F5" s="4"/>
    </row>
    <row r="6" spans="1:6" ht="15.95" customHeight="1">
      <c r="B6" s="4"/>
      <c r="C6" s="4"/>
      <c r="D6" s="4"/>
      <c r="E6" s="4"/>
      <c r="F6" s="538"/>
    </row>
    <row r="7" spans="1:6" ht="15.95" customHeight="1">
      <c r="B7" s="456" t="s">
        <v>77</v>
      </c>
      <c r="C7" s="457"/>
      <c r="D7" s="457"/>
      <c r="E7" s="4"/>
      <c r="F7" s="444" t="s">
        <v>113</v>
      </c>
    </row>
    <row r="8" spans="1:6" ht="15.95" customHeight="1">
      <c r="A8" s="17"/>
      <c r="B8" s="458" t="s">
        <v>136</v>
      </c>
      <c r="C8" s="459"/>
      <c r="D8" s="459"/>
      <c r="E8" s="4"/>
      <c r="F8" s="435" t="s">
        <v>60</v>
      </c>
    </row>
    <row r="9" spans="1:6" ht="15.95" customHeight="1">
      <c r="A9" s="19" t="s">
        <v>81</v>
      </c>
      <c r="B9" s="460" t="s">
        <v>134</v>
      </c>
      <c r="C9" s="461" t="s">
        <v>147</v>
      </c>
      <c r="D9" s="461" t="s">
        <v>54</v>
      </c>
      <c r="E9" s="4"/>
      <c r="F9" s="379" t="s">
        <v>405</v>
      </c>
    </row>
    <row r="10" spans="1:6" ht="5.0999999999999996" customHeight="1">
      <c r="A10" s="22"/>
      <c r="B10" s="247"/>
      <c r="C10" s="247"/>
      <c r="D10" s="247"/>
      <c r="E10" s="247"/>
      <c r="F10" s="247"/>
    </row>
    <row r="11" spans="1:6" ht="14.1" customHeight="1">
      <c r="A11" s="360" t="s">
        <v>230</v>
      </c>
      <c r="B11" s="361">
        <f>'- 46 -'!C11</f>
        <v>1450290.5690000001</v>
      </c>
      <c r="C11" s="361">
        <v>7302868</v>
      </c>
      <c r="D11" s="361">
        <f t="shared" ref="D11:D46" si="0">SUM(B11,C11)</f>
        <v>8753158.5690000001</v>
      </c>
      <c r="F11" s="361">
        <f>+Data!O11</f>
        <v>334342</v>
      </c>
    </row>
    <row r="12" spans="1:6" ht="14.1" customHeight="1">
      <c r="A12" s="23" t="s">
        <v>231</v>
      </c>
      <c r="B12" s="24">
        <f>'- 46 -'!C12</f>
        <v>1810250.6148999999</v>
      </c>
      <c r="C12" s="24">
        <v>10844168</v>
      </c>
      <c r="D12" s="24">
        <f t="shared" si="0"/>
        <v>12654418.6149</v>
      </c>
      <c r="F12" s="24">
        <f>+Data!O12</f>
        <v>266111</v>
      </c>
    </row>
    <row r="13" spans="1:6" ht="14.1" customHeight="1">
      <c r="A13" s="360" t="s">
        <v>232</v>
      </c>
      <c r="B13" s="361">
        <f>'- 46 -'!C13</f>
        <v>8662584.8126999997</v>
      </c>
      <c r="C13" s="361">
        <v>38029913</v>
      </c>
      <c r="D13" s="361">
        <f t="shared" si="0"/>
        <v>46692497.812700003</v>
      </c>
      <c r="F13" s="361">
        <f>+Data!O13</f>
        <v>293505</v>
      </c>
    </row>
    <row r="14" spans="1:6" ht="14.1" customHeight="1">
      <c r="A14" s="23" t="s">
        <v>578</v>
      </c>
      <c r="B14" s="24">
        <f>'- 46 -'!C14</f>
        <v>0</v>
      </c>
      <c r="C14" s="24">
        <v>0</v>
      </c>
      <c r="D14" s="24">
        <f t="shared" si="0"/>
        <v>0</v>
      </c>
      <c r="F14" s="24">
        <f>+Data!O14</f>
        <v>332958</v>
      </c>
    </row>
    <row r="15" spans="1:6" ht="14.1" customHeight="1">
      <c r="A15" s="360" t="s">
        <v>233</v>
      </c>
      <c r="B15" s="361">
        <f>'- 46 -'!C15</f>
        <v>1230422.3295</v>
      </c>
      <c r="C15" s="361">
        <v>9066247</v>
      </c>
      <c r="D15" s="361">
        <f t="shared" si="0"/>
        <v>10296669.329500001</v>
      </c>
      <c r="F15" s="361">
        <f>+Data!O15</f>
        <v>523644</v>
      </c>
    </row>
    <row r="16" spans="1:6" ht="14.1" customHeight="1">
      <c r="A16" s="23" t="s">
        <v>234</v>
      </c>
      <c r="B16" s="24">
        <f>'- 46 -'!C16</f>
        <v>390167.35940000002</v>
      </c>
      <c r="C16" s="24">
        <v>3758439</v>
      </c>
      <c r="D16" s="24">
        <f t="shared" si="0"/>
        <v>4148606.3594</v>
      </c>
      <c r="F16" s="24">
        <f>+Data!O16</f>
        <v>161798</v>
      </c>
    </row>
    <row r="17" spans="1:6" ht="14.1" customHeight="1">
      <c r="A17" s="360" t="s">
        <v>235</v>
      </c>
      <c r="B17" s="361">
        <f>'- 46 -'!C17</f>
        <v>3908723.4459000002</v>
      </c>
      <c r="C17" s="361">
        <v>7576451</v>
      </c>
      <c r="D17" s="361">
        <f t="shared" si="0"/>
        <v>11485174.445900001</v>
      </c>
      <c r="F17" s="361">
        <f>+Data!O17</f>
        <v>500514</v>
      </c>
    </row>
    <row r="18" spans="1:6" ht="14.1" customHeight="1">
      <c r="A18" s="23" t="s">
        <v>236</v>
      </c>
      <c r="B18" s="24">
        <f>'- 46 -'!C18</f>
        <v>740615.84869999997</v>
      </c>
      <c r="C18" s="24">
        <v>3118313</v>
      </c>
      <c r="D18" s="24">
        <f t="shared" si="0"/>
        <v>3858928.8487</v>
      </c>
      <c r="F18" s="24">
        <f>+Data!O18</f>
        <v>74270</v>
      </c>
    </row>
    <row r="19" spans="1:6" ht="14.1" customHeight="1">
      <c r="A19" s="360" t="s">
        <v>237</v>
      </c>
      <c r="B19" s="361">
        <f>'- 46 -'!C19</f>
        <v>2550568.8207999999</v>
      </c>
      <c r="C19" s="361">
        <v>15788695</v>
      </c>
      <c r="D19" s="361">
        <f t="shared" si="0"/>
        <v>18339263.820799999</v>
      </c>
      <c r="F19" s="361">
        <f>+Data!O19</f>
        <v>191134</v>
      </c>
    </row>
    <row r="20" spans="1:6" ht="14.1" customHeight="1">
      <c r="A20" s="23" t="s">
        <v>238</v>
      </c>
      <c r="B20" s="24">
        <f>'- 46 -'!C20</f>
        <v>3576147.2474000002</v>
      </c>
      <c r="C20" s="24">
        <v>25625666</v>
      </c>
      <c r="D20" s="24">
        <f t="shared" si="0"/>
        <v>29201813.247400001</v>
      </c>
      <c r="F20" s="24">
        <f>+Data!O20</f>
        <v>200904</v>
      </c>
    </row>
    <row r="21" spans="1:6" ht="14.1" customHeight="1">
      <c r="A21" s="360" t="s">
        <v>239</v>
      </c>
      <c r="B21" s="361">
        <f>'- 46 -'!C21</f>
        <v>2467739.5378999999</v>
      </c>
      <c r="C21" s="361">
        <v>14283729</v>
      </c>
      <c r="D21" s="361">
        <f t="shared" si="0"/>
        <v>16751468.537900001</v>
      </c>
      <c r="F21" s="361">
        <f>+Data!O21</f>
        <v>326227</v>
      </c>
    </row>
    <row r="22" spans="1:6" ht="14.1" customHeight="1">
      <c r="A22" s="23" t="s">
        <v>240</v>
      </c>
      <c r="B22" s="24">
        <f>'- 46 -'!C22</f>
        <v>681566.16709999996</v>
      </c>
      <c r="C22" s="24">
        <v>4190749</v>
      </c>
      <c r="D22" s="24">
        <f t="shared" si="0"/>
        <v>4872315.1671000002</v>
      </c>
      <c r="F22" s="24">
        <f>+Data!O22</f>
        <v>117688</v>
      </c>
    </row>
    <row r="23" spans="1:6" ht="14.1" customHeight="1">
      <c r="A23" s="360" t="s">
        <v>241</v>
      </c>
      <c r="B23" s="361">
        <f>'- 46 -'!C23</f>
        <v>308289.20850000001</v>
      </c>
      <c r="C23" s="361">
        <v>4138643</v>
      </c>
      <c r="D23" s="361">
        <f t="shared" si="0"/>
        <v>4446932.2084999997</v>
      </c>
      <c r="F23" s="361">
        <f>+Data!O23</f>
        <v>192446</v>
      </c>
    </row>
    <row r="24" spans="1:6" ht="14.1" customHeight="1">
      <c r="A24" s="23" t="s">
        <v>242</v>
      </c>
      <c r="B24" s="24">
        <f>'- 46 -'!C24</f>
        <v>2367627.3347999998</v>
      </c>
      <c r="C24" s="24">
        <v>23367442</v>
      </c>
      <c r="D24" s="24">
        <f t="shared" si="0"/>
        <v>25735069.334800001</v>
      </c>
      <c r="F24" s="24">
        <f>+Data!O24</f>
        <v>378175</v>
      </c>
    </row>
    <row r="25" spans="1:6" ht="14.1" customHeight="1">
      <c r="A25" s="360" t="s">
        <v>243</v>
      </c>
      <c r="B25" s="361">
        <f>'- 46 -'!C25</f>
        <v>11567405.1129</v>
      </c>
      <c r="C25" s="361">
        <v>78917639</v>
      </c>
      <c r="D25" s="361">
        <f t="shared" si="0"/>
        <v>90485044.112900004</v>
      </c>
      <c r="F25" s="361">
        <f>+Data!O25</f>
        <v>386366</v>
      </c>
    </row>
    <row r="26" spans="1:6" ht="14.1" customHeight="1">
      <c r="A26" s="23" t="s">
        <v>244</v>
      </c>
      <c r="B26" s="24">
        <f>'- 46 -'!C26</f>
        <v>1370937.8865</v>
      </c>
      <c r="C26" s="24">
        <v>13225136</v>
      </c>
      <c r="D26" s="24">
        <f t="shared" si="0"/>
        <v>14596073.886500001</v>
      </c>
      <c r="F26" s="24">
        <f>+Data!O26</f>
        <v>239324</v>
      </c>
    </row>
    <row r="27" spans="1:6" ht="14.1" customHeight="1">
      <c r="A27" s="360" t="s">
        <v>245</v>
      </c>
      <c r="B27" s="361">
        <f>'- 46 -'!C27</f>
        <v>1342573.9236000001</v>
      </c>
      <c r="C27" s="361">
        <v>7813726</v>
      </c>
      <c r="D27" s="361">
        <f t="shared" si="0"/>
        <v>9156299.9235999994</v>
      </c>
      <c r="F27" s="361">
        <f>+Data!O27</f>
        <v>176303</v>
      </c>
    </row>
    <row r="28" spans="1:6" ht="14.1" customHeight="1">
      <c r="A28" s="23" t="s">
        <v>246</v>
      </c>
      <c r="B28" s="24">
        <f>'- 46 -'!C28</f>
        <v>1865211.3753</v>
      </c>
      <c r="C28" s="24">
        <v>8096284</v>
      </c>
      <c r="D28" s="24">
        <f t="shared" si="0"/>
        <v>9961495.3752999995</v>
      </c>
      <c r="F28" s="24">
        <f>+Data!O28</f>
        <v>328910</v>
      </c>
    </row>
    <row r="29" spans="1:6" ht="14.1" customHeight="1">
      <c r="A29" s="360" t="s">
        <v>247</v>
      </c>
      <c r="B29" s="361">
        <f>'- 46 -'!C29</f>
        <v>12018186.553100001</v>
      </c>
      <c r="C29" s="361">
        <v>77392089</v>
      </c>
      <c r="D29" s="361">
        <f t="shared" si="0"/>
        <v>89410275.553100005</v>
      </c>
      <c r="F29" s="361">
        <f>+Data!O29</f>
        <v>477417</v>
      </c>
    </row>
    <row r="30" spans="1:6" ht="14.1" customHeight="1">
      <c r="A30" s="23" t="s">
        <v>248</v>
      </c>
      <c r="B30" s="24">
        <f>'- 46 -'!C30</f>
        <v>949419.01600000006</v>
      </c>
      <c r="C30" s="24">
        <v>5275969</v>
      </c>
      <c r="D30" s="24">
        <f t="shared" si="0"/>
        <v>6225388.0159999998</v>
      </c>
      <c r="F30" s="24">
        <f>+Data!O30</f>
        <v>281298</v>
      </c>
    </row>
    <row r="31" spans="1:6" ht="14.1" customHeight="1">
      <c r="A31" s="360" t="s">
        <v>249</v>
      </c>
      <c r="B31" s="361">
        <f>'- 46 -'!C31</f>
        <v>3410264.1482000002</v>
      </c>
      <c r="C31" s="361">
        <v>14091893</v>
      </c>
      <c r="D31" s="361">
        <f t="shared" si="0"/>
        <v>17502157.148200002</v>
      </c>
      <c r="F31" s="361">
        <f>+Data!O31</f>
        <v>291960</v>
      </c>
    </row>
    <row r="32" spans="1:6" ht="14.1" customHeight="1">
      <c r="A32" s="23" t="s">
        <v>250</v>
      </c>
      <c r="B32" s="24">
        <f>'- 46 -'!C32</f>
        <v>1380023.5630999999</v>
      </c>
      <c r="C32" s="24">
        <v>11594078</v>
      </c>
      <c r="D32" s="24">
        <f t="shared" si="0"/>
        <v>12974101.563099999</v>
      </c>
      <c r="F32" s="24">
        <f>+Data!O32</f>
        <v>361527</v>
      </c>
    </row>
    <row r="33" spans="1:6" ht="14.1" customHeight="1">
      <c r="A33" s="360" t="s">
        <v>251</v>
      </c>
      <c r="B33" s="361">
        <f>'- 46 -'!C33</f>
        <v>1686959.4196000001</v>
      </c>
      <c r="C33" s="361">
        <v>12109962</v>
      </c>
      <c r="D33" s="361">
        <f t="shared" si="0"/>
        <v>13796921.419600001</v>
      </c>
      <c r="F33" s="361">
        <f>+Data!O33</f>
        <v>336280</v>
      </c>
    </row>
    <row r="34" spans="1:6" ht="14.1" customHeight="1">
      <c r="A34" s="23" t="s">
        <v>252</v>
      </c>
      <c r="B34" s="24">
        <f>'- 46 -'!C34</f>
        <v>2222320.9827000001</v>
      </c>
      <c r="C34" s="24">
        <v>13638014</v>
      </c>
      <c r="D34" s="24">
        <f t="shared" si="0"/>
        <v>15860334.9827</v>
      </c>
      <c r="F34" s="24">
        <f>+Data!O34</f>
        <v>356869</v>
      </c>
    </row>
    <row r="35" spans="1:6" ht="14.1" customHeight="1">
      <c r="A35" s="360" t="s">
        <v>253</v>
      </c>
      <c r="B35" s="361">
        <f>'- 46 -'!C35</f>
        <v>8938559.6664000005</v>
      </c>
      <c r="C35" s="361">
        <v>73245575</v>
      </c>
      <c r="D35" s="361">
        <f t="shared" si="0"/>
        <v>82184134.6664</v>
      </c>
      <c r="F35" s="361">
        <f>+Data!O35</f>
        <v>322136</v>
      </c>
    </row>
    <row r="36" spans="1:6" ht="14.1" customHeight="1">
      <c r="A36" s="23" t="s">
        <v>254</v>
      </c>
      <c r="B36" s="24">
        <f>'- 46 -'!C36</f>
        <v>1845465.804</v>
      </c>
      <c r="C36" s="24">
        <v>9400587</v>
      </c>
      <c r="D36" s="24">
        <f t="shared" si="0"/>
        <v>11246052.804</v>
      </c>
      <c r="F36" s="24">
        <f>+Data!O36</f>
        <v>384825</v>
      </c>
    </row>
    <row r="37" spans="1:6" ht="14.1" customHeight="1">
      <c r="A37" s="360" t="s">
        <v>255</v>
      </c>
      <c r="B37" s="361">
        <f>'- 46 -'!C37</f>
        <v>1722730.5004</v>
      </c>
      <c r="C37" s="361">
        <v>19287874</v>
      </c>
      <c r="D37" s="361">
        <f t="shared" si="0"/>
        <v>21010604.500399999</v>
      </c>
      <c r="F37" s="361">
        <f>+Data!O37</f>
        <v>244406</v>
      </c>
    </row>
    <row r="38" spans="1:6" ht="14.1" customHeight="1">
      <c r="A38" s="23" t="s">
        <v>256</v>
      </c>
      <c r="B38" s="24">
        <f>'- 46 -'!C38</f>
        <v>3468769.6498000002</v>
      </c>
      <c r="C38" s="24">
        <v>42629449</v>
      </c>
      <c r="D38" s="24">
        <f t="shared" si="0"/>
        <v>46098218.649800003</v>
      </c>
      <c r="F38" s="24">
        <f>+Data!O38</f>
        <v>250139</v>
      </c>
    </row>
    <row r="39" spans="1:6" ht="14.1" customHeight="1">
      <c r="A39" s="360" t="s">
        <v>257</v>
      </c>
      <c r="B39" s="361">
        <f>'- 46 -'!C39</f>
        <v>2632059.7757999999</v>
      </c>
      <c r="C39" s="361">
        <v>10175133</v>
      </c>
      <c r="D39" s="361">
        <f t="shared" si="0"/>
        <v>12807192.775800001</v>
      </c>
      <c r="F39" s="361">
        <f>+Data!O39</f>
        <v>435619</v>
      </c>
    </row>
    <row r="40" spans="1:6" ht="14.1" customHeight="1">
      <c r="A40" s="23" t="s">
        <v>258</v>
      </c>
      <c r="B40" s="24">
        <f>'- 46 -'!C40</f>
        <v>14682517.5042</v>
      </c>
      <c r="C40" s="24">
        <v>48816038</v>
      </c>
      <c r="D40" s="24">
        <f t="shared" si="0"/>
        <v>63498555.504199997</v>
      </c>
      <c r="F40" s="24">
        <f>+Data!O40</f>
        <v>462221</v>
      </c>
    </row>
    <row r="41" spans="1:6" ht="14.1" customHeight="1">
      <c r="A41" s="360" t="s">
        <v>259</v>
      </c>
      <c r="B41" s="361">
        <f>'- 46 -'!C41</f>
        <v>3567684.3020000001</v>
      </c>
      <c r="C41" s="361">
        <v>28160160</v>
      </c>
      <c r="D41" s="361">
        <f t="shared" si="0"/>
        <v>31727844.302000001</v>
      </c>
      <c r="F41" s="361">
        <f>+Data!O41</f>
        <v>396863</v>
      </c>
    </row>
    <row r="42" spans="1:6" ht="14.1" customHeight="1">
      <c r="A42" s="23" t="s">
        <v>260</v>
      </c>
      <c r="B42" s="24">
        <f>'- 46 -'!C42</f>
        <v>785180.99660000007</v>
      </c>
      <c r="C42" s="24">
        <v>6464994</v>
      </c>
      <c r="D42" s="24">
        <f t="shared" si="0"/>
        <v>7250174.9966000002</v>
      </c>
      <c r="F42" s="24">
        <f>+Data!O42</f>
        <v>241928</v>
      </c>
    </row>
    <row r="43" spans="1:6" ht="14.1" customHeight="1">
      <c r="A43" s="360" t="s">
        <v>261</v>
      </c>
      <c r="B43" s="361">
        <f>'- 46 -'!C43</f>
        <v>606029.36939999997</v>
      </c>
      <c r="C43" s="361">
        <v>5605067</v>
      </c>
      <c r="D43" s="361">
        <f t="shared" si="0"/>
        <v>6211096.3694000002</v>
      </c>
      <c r="F43" s="361">
        <f>+Data!O43</f>
        <v>354995</v>
      </c>
    </row>
    <row r="44" spans="1:6" ht="14.1" customHeight="1">
      <c r="A44" s="23" t="s">
        <v>262</v>
      </c>
      <c r="B44" s="24">
        <f>'- 46 -'!C44</f>
        <v>157573.3523</v>
      </c>
      <c r="C44" s="24">
        <v>2843934</v>
      </c>
      <c r="D44" s="24">
        <f t="shared" si="0"/>
        <v>3001507.3522999999</v>
      </c>
      <c r="F44" s="24">
        <f>+Data!O44</f>
        <v>186381</v>
      </c>
    </row>
    <row r="45" spans="1:6" ht="14.1" customHeight="1">
      <c r="A45" s="360" t="s">
        <v>263</v>
      </c>
      <c r="B45" s="361">
        <f>'- 46 -'!C45</f>
        <v>975495.4118</v>
      </c>
      <c r="C45" s="361">
        <v>7135370</v>
      </c>
      <c r="D45" s="361">
        <f t="shared" si="0"/>
        <v>8110865.4117999999</v>
      </c>
      <c r="F45" s="361">
        <f>+Data!O45</f>
        <v>247042</v>
      </c>
    </row>
    <row r="46" spans="1:6" ht="14.1" customHeight="1">
      <c r="A46" s="23" t="s">
        <v>264</v>
      </c>
      <c r="B46" s="24">
        <f>'- 46 -'!C46</f>
        <v>43597759.232299998</v>
      </c>
      <c r="C46" s="24">
        <v>153227298</v>
      </c>
      <c r="D46" s="24">
        <f t="shared" si="0"/>
        <v>196825057.23229998</v>
      </c>
      <c r="F46" s="24">
        <f>+Data!O46</f>
        <v>313548</v>
      </c>
    </row>
    <row r="47" spans="1:6" ht="5.0999999999999996" customHeight="1">
      <c r="A47"/>
      <c r="B47"/>
      <c r="C47"/>
      <c r="D47"/>
      <c r="F47"/>
    </row>
    <row r="48" spans="1:6" ht="14.1" customHeight="1">
      <c r="A48" s="363" t="s">
        <v>265</v>
      </c>
      <c r="B48" s="364">
        <f>SUM(B11:B46)</f>
        <v>150938120.84260002</v>
      </c>
      <c r="C48" s="364">
        <f>SUM(C11:C46)</f>
        <v>816237592</v>
      </c>
      <c r="D48" s="364">
        <f>SUM(D11:D46)</f>
        <v>967175712.84260011</v>
      </c>
      <c r="F48" s="364">
        <f>+Data!O48</f>
        <v>322662.28382405615</v>
      </c>
    </row>
    <row r="49" spans="1:6" ht="50.1" customHeight="1">
      <c r="A49" s="284" t="s">
        <v>3</v>
      </c>
      <c r="B49" s="27"/>
      <c r="C49" s="27"/>
      <c r="D49" s="27"/>
      <c r="E49" s="27"/>
      <c r="F49" s="27"/>
    </row>
    <row r="50" spans="1:6" ht="15" customHeight="1">
      <c r="A50" s="2" t="s">
        <v>639</v>
      </c>
    </row>
    <row r="51" spans="1:6" ht="12" customHeight="1">
      <c r="A51" s="2" t="s">
        <v>642</v>
      </c>
    </row>
    <row r="52" spans="1:6" ht="12" customHeight="1">
      <c r="A52" s="155" t="s">
        <v>654</v>
      </c>
    </row>
    <row r="53" spans="1:6" ht="14.45" customHeight="1"/>
    <row r="54" spans="1:6" ht="14.45" customHeight="1"/>
    <row r="55" spans="1:6" ht="14.45" customHeight="1"/>
    <row r="56" spans="1:6" ht="14.45" customHeight="1"/>
    <row r="57" spans="1:6" ht="14.45" customHeight="1"/>
    <row r="58" spans="1:6" ht="14.45" customHeight="1"/>
  </sheetData>
  <phoneticPr fontId="0" type="noConversion"/>
  <printOptions horizontalCentered="1"/>
  <pageMargins left="0.51181102362204722" right="0.51181102362204722" top="0.59055118110236227" bottom="0" header="0.31496062992125984" footer="0"/>
  <pageSetup scale="85" orientation="portrait" r:id="rId1"/>
  <headerFooter alignWithMargins="0">
    <oddHeader>&amp;C&amp;"Arial,Bold"&amp;10&amp;A</oddHeader>
  </headerFooter>
</worksheet>
</file>

<file path=xl/worksheets/sheet45.xml><?xml version="1.0" encoding="utf-8"?>
<worksheet xmlns="http://schemas.openxmlformats.org/spreadsheetml/2006/main" xmlns:r="http://schemas.openxmlformats.org/officeDocument/2006/relationships">
  <sheetPr codeName="Sheet45"/>
  <dimension ref="A1:G59"/>
  <sheetViews>
    <sheetView showGridLines="0" showZeros="0" workbookViewId="0"/>
  </sheetViews>
  <sheetFormatPr defaultColWidth="19.83203125" defaultRowHeight="12"/>
  <cols>
    <col min="1" max="1" width="31.6640625" style="1" customWidth="1"/>
    <col min="2" max="2" width="21.83203125" style="1" customWidth="1"/>
    <col min="3" max="3" width="18.5" style="1" customWidth="1"/>
    <col min="4" max="4" width="13.6640625" style="1" customWidth="1"/>
    <col min="5" max="5" width="15.33203125" style="1" customWidth="1"/>
    <col min="6" max="6" width="15.83203125" style="1" customWidth="1"/>
    <col min="7" max="7" width="13.33203125" style="1" customWidth="1"/>
    <col min="8" max="16384" width="19.83203125" style="1"/>
  </cols>
  <sheetData>
    <row r="1" spans="1:7" ht="6.95" customHeight="1">
      <c r="A1" s="3"/>
      <c r="B1" s="3"/>
      <c r="C1" s="3"/>
      <c r="D1" s="3"/>
      <c r="E1" s="3"/>
      <c r="F1" s="3"/>
      <c r="G1" s="3"/>
    </row>
    <row r="2" spans="1:7" ht="15.95" customHeight="1">
      <c r="A2" s="306"/>
      <c r="B2" s="316" t="str">
        <f>REVYEAR</f>
        <v>ANALYSIS OF OPERATING FUND REVENUE: 2013/2014 BUDGET</v>
      </c>
      <c r="C2" s="316"/>
      <c r="D2" s="317"/>
      <c r="E2" s="311"/>
      <c r="F2" s="311"/>
      <c r="G2" s="250" t="s">
        <v>198</v>
      </c>
    </row>
    <row r="3" spans="1:7" ht="15.95" customHeight="1">
      <c r="A3" s="245"/>
      <c r="B3" s="3"/>
      <c r="C3" s="3"/>
      <c r="D3" s="3"/>
      <c r="E3" s="3"/>
      <c r="F3" s="3"/>
      <c r="G3" s="3"/>
    </row>
    <row r="4" spans="1:7" ht="15.95" customHeight="1">
      <c r="B4" s="439" t="s">
        <v>77</v>
      </c>
      <c r="C4" s="472"/>
      <c r="D4" s="369"/>
      <c r="E4" s="369"/>
      <c r="F4" s="369"/>
      <c r="G4" s="368"/>
    </row>
    <row r="5" spans="1:7" ht="15.95" customHeight="1">
      <c r="B5" s="462" t="s">
        <v>222</v>
      </c>
      <c r="C5" s="473"/>
      <c r="D5" s="434"/>
      <c r="E5" s="380"/>
      <c r="F5" s="380"/>
      <c r="G5" s="370"/>
    </row>
    <row r="6" spans="1:7" ht="15.95" customHeight="1">
      <c r="B6" s="133" t="s">
        <v>99</v>
      </c>
      <c r="C6" s="128"/>
      <c r="D6" s="129"/>
      <c r="E6" s="129"/>
      <c r="F6" s="282"/>
      <c r="G6" s="320"/>
    </row>
    <row r="7" spans="1:7" ht="15.95" customHeight="1">
      <c r="B7" s="252"/>
      <c r="C7" s="252" t="s">
        <v>503</v>
      </c>
      <c r="D7" s="32"/>
      <c r="E7" s="32"/>
      <c r="F7" s="32"/>
      <c r="G7" s="32"/>
    </row>
    <row r="8" spans="1:7" ht="15.95" customHeight="1">
      <c r="A8" s="102"/>
      <c r="B8" s="310" t="s">
        <v>218</v>
      </c>
      <c r="C8" s="310" t="s">
        <v>501</v>
      </c>
      <c r="D8" s="254" t="s">
        <v>228</v>
      </c>
      <c r="E8" s="254" t="s">
        <v>194</v>
      </c>
      <c r="F8" s="254" t="s">
        <v>195</v>
      </c>
      <c r="G8" s="254" t="s">
        <v>115</v>
      </c>
    </row>
    <row r="9" spans="1:7" ht="15.95" customHeight="1">
      <c r="A9" s="35" t="s">
        <v>81</v>
      </c>
      <c r="B9" s="236" t="s">
        <v>408</v>
      </c>
      <c r="C9" s="236" t="s">
        <v>502</v>
      </c>
      <c r="D9" s="119" t="s">
        <v>411</v>
      </c>
      <c r="E9" s="119" t="s">
        <v>154</v>
      </c>
      <c r="F9" s="119" t="s">
        <v>22</v>
      </c>
      <c r="G9" s="119" t="s">
        <v>139</v>
      </c>
    </row>
    <row r="10" spans="1:7" ht="5.0999999999999996" customHeight="1">
      <c r="A10" s="37"/>
      <c r="E10" s="3"/>
      <c r="F10" s="3"/>
      <c r="G10" s="3"/>
    </row>
    <row r="11" spans="1:7" ht="14.1" customHeight="1">
      <c r="A11" s="360" t="s">
        <v>230</v>
      </c>
      <c r="B11" s="361">
        <v>2885683</v>
      </c>
      <c r="C11" s="361">
        <v>126597</v>
      </c>
      <c r="D11" s="361">
        <v>161802</v>
      </c>
      <c r="E11" s="361">
        <v>89850</v>
      </c>
      <c r="F11" s="361">
        <v>89850</v>
      </c>
      <c r="G11" s="361">
        <v>137770</v>
      </c>
    </row>
    <row r="12" spans="1:7" ht="14.1" customHeight="1">
      <c r="A12" s="23" t="s">
        <v>231</v>
      </c>
      <c r="B12" s="24">
        <v>4156346</v>
      </c>
      <c r="C12" s="24">
        <v>0</v>
      </c>
      <c r="D12" s="24">
        <v>401381</v>
      </c>
      <c r="E12" s="24">
        <v>129414</v>
      </c>
      <c r="F12" s="24">
        <v>129414</v>
      </c>
      <c r="G12" s="24">
        <v>198435</v>
      </c>
    </row>
    <row r="13" spans="1:7" ht="14.1" customHeight="1">
      <c r="A13" s="360" t="s">
        <v>232</v>
      </c>
      <c r="B13" s="361">
        <v>15010400</v>
      </c>
      <c r="C13" s="361">
        <v>0</v>
      </c>
      <c r="D13" s="361">
        <v>110800</v>
      </c>
      <c r="E13" s="361">
        <v>467400</v>
      </c>
      <c r="F13" s="361">
        <v>467400</v>
      </c>
      <c r="G13" s="361">
        <v>716600</v>
      </c>
    </row>
    <row r="14" spans="1:7" ht="14.1" customHeight="1">
      <c r="A14" s="23" t="s">
        <v>578</v>
      </c>
      <c r="B14" s="24">
        <v>9322248</v>
      </c>
      <c r="C14" s="24">
        <v>83956</v>
      </c>
      <c r="D14" s="24">
        <v>759823</v>
      </c>
      <c r="E14" s="24">
        <v>290262</v>
      </c>
      <c r="F14" s="24">
        <v>290262</v>
      </c>
      <c r="G14" s="24">
        <v>445068</v>
      </c>
    </row>
    <row r="15" spans="1:7" ht="14.1" customHeight="1">
      <c r="A15" s="360" t="s">
        <v>233</v>
      </c>
      <c r="B15" s="361">
        <v>2913624</v>
      </c>
      <c r="C15" s="361">
        <v>245493</v>
      </c>
      <c r="D15" s="361">
        <v>0</v>
      </c>
      <c r="E15" s="361">
        <v>90720</v>
      </c>
      <c r="F15" s="361">
        <v>90720</v>
      </c>
      <c r="G15" s="361">
        <v>139104</v>
      </c>
    </row>
    <row r="16" spans="1:7" ht="14.1" customHeight="1">
      <c r="A16" s="23" t="s">
        <v>234</v>
      </c>
      <c r="B16" s="24">
        <v>1843368</v>
      </c>
      <c r="C16" s="24">
        <v>19015</v>
      </c>
      <c r="D16" s="24">
        <v>0</v>
      </c>
      <c r="E16" s="24">
        <v>57396</v>
      </c>
      <c r="F16" s="24">
        <v>57396</v>
      </c>
      <c r="G16" s="24">
        <v>88007</v>
      </c>
    </row>
    <row r="17" spans="1:7" ht="14.1" customHeight="1">
      <c r="A17" s="360" t="s">
        <v>235</v>
      </c>
      <c r="B17" s="361">
        <v>2437655</v>
      </c>
      <c r="C17" s="361">
        <v>0</v>
      </c>
      <c r="D17" s="361">
        <v>287756</v>
      </c>
      <c r="E17" s="361">
        <v>75900</v>
      </c>
      <c r="F17" s="361">
        <v>75900</v>
      </c>
      <c r="G17" s="361">
        <v>116380</v>
      </c>
    </row>
    <row r="18" spans="1:7" ht="14.1" customHeight="1">
      <c r="A18" s="23" t="s">
        <v>236</v>
      </c>
      <c r="B18" s="24">
        <v>4656596</v>
      </c>
      <c r="C18" s="24">
        <v>0</v>
      </c>
      <c r="D18" s="24">
        <v>1032323</v>
      </c>
      <c r="E18" s="24">
        <v>144990</v>
      </c>
      <c r="F18" s="24">
        <v>144990</v>
      </c>
      <c r="G18" s="24">
        <v>222318</v>
      </c>
    </row>
    <row r="19" spans="1:7" ht="14.1" customHeight="1">
      <c r="A19" s="360" t="s">
        <v>237</v>
      </c>
      <c r="B19" s="361">
        <v>8032121</v>
      </c>
      <c r="C19" s="361">
        <v>30499</v>
      </c>
      <c r="D19" s="361">
        <v>185835</v>
      </c>
      <c r="E19" s="361">
        <v>250092</v>
      </c>
      <c r="F19" s="361">
        <v>250092</v>
      </c>
      <c r="G19" s="361">
        <v>383474</v>
      </c>
    </row>
    <row r="20" spans="1:7" ht="14.1" customHeight="1">
      <c r="A20" s="23" t="s">
        <v>238</v>
      </c>
      <c r="B20" s="24">
        <v>14223958</v>
      </c>
      <c r="C20" s="24">
        <v>0</v>
      </c>
      <c r="D20" s="24">
        <v>260248</v>
      </c>
      <c r="E20" s="24">
        <v>442884</v>
      </c>
      <c r="F20" s="24">
        <v>442884</v>
      </c>
      <c r="G20" s="24">
        <v>679089</v>
      </c>
    </row>
    <row r="21" spans="1:7" ht="14.1" customHeight="1">
      <c r="A21" s="360" t="s">
        <v>239</v>
      </c>
      <c r="B21" s="361">
        <v>5313317</v>
      </c>
      <c r="C21" s="361">
        <v>113116</v>
      </c>
      <c r="D21" s="361">
        <v>451227</v>
      </c>
      <c r="E21" s="361">
        <v>165438</v>
      </c>
      <c r="F21" s="361">
        <v>165438</v>
      </c>
      <c r="G21" s="361">
        <v>253672</v>
      </c>
    </row>
    <row r="22" spans="1:7" ht="14.1" customHeight="1">
      <c r="A22" s="23" t="s">
        <v>240</v>
      </c>
      <c r="B22" s="24">
        <v>3087632</v>
      </c>
      <c r="C22" s="24">
        <v>0</v>
      </c>
      <c r="D22" s="24">
        <v>34288</v>
      </c>
      <c r="E22" s="24">
        <v>96138</v>
      </c>
      <c r="F22" s="24">
        <v>96138</v>
      </c>
      <c r="G22" s="24">
        <v>147412</v>
      </c>
    </row>
    <row r="23" spans="1:7" ht="14.1" customHeight="1">
      <c r="A23" s="360" t="s">
        <v>241</v>
      </c>
      <c r="B23" s="361">
        <v>2075764</v>
      </c>
      <c r="C23" s="361">
        <v>0</v>
      </c>
      <c r="D23" s="361">
        <v>387769</v>
      </c>
      <c r="E23" s="361">
        <v>64632</v>
      </c>
      <c r="F23" s="361">
        <v>64632</v>
      </c>
      <c r="G23" s="361">
        <v>99102</v>
      </c>
    </row>
    <row r="24" spans="1:7" ht="14.1" customHeight="1">
      <c r="A24" s="23" t="s">
        <v>242</v>
      </c>
      <c r="B24" s="24">
        <v>8026340</v>
      </c>
      <c r="C24" s="24">
        <v>0</v>
      </c>
      <c r="D24" s="24">
        <v>356206</v>
      </c>
      <c r="E24" s="24">
        <v>249912</v>
      </c>
      <c r="F24" s="24">
        <v>249912</v>
      </c>
      <c r="G24" s="24">
        <v>383198</v>
      </c>
    </row>
    <row r="25" spans="1:7" ht="14.1" customHeight="1">
      <c r="A25" s="360" t="s">
        <v>243</v>
      </c>
      <c r="B25" s="361">
        <v>26127808</v>
      </c>
      <c r="C25" s="361">
        <v>0</v>
      </c>
      <c r="D25" s="361">
        <v>0</v>
      </c>
      <c r="E25" s="361">
        <v>813528</v>
      </c>
      <c r="F25" s="361">
        <v>813528</v>
      </c>
      <c r="G25" s="361">
        <v>1247410</v>
      </c>
    </row>
    <row r="26" spans="1:7" ht="14.1" customHeight="1">
      <c r="A26" s="23" t="s">
        <v>244</v>
      </c>
      <c r="B26" s="24">
        <v>5711435</v>
      </c>
      <c r="C26" s="24">
        <v>0</v>
      </c>
      <c r="D26" s="24">
        <v>588068</v>
      </c>
      <c r="E26" s="24">
        <v>177834</v>
      </c>
      <c r="F26" s="24">
        <v>177834</v>
      </c>
      <c r="G26" s="24">
        <v>272679</v>
      </c>
    </row>
    <row r="27" spans="1:7" ht="14.1" customHeight="1">
      <c r="A27" s="360" t="s">
        <v>245</v>
      </c>
      <c r="B27" s="361">
        <v>5174959</v>
      </c>
      <c r="C27" s="361">
        <v>0</v>
      </c>
      <c r="D27" s="361">
        <v>0</v>
      </c>
      <c r="E27" s="361">
        <v>161130</v>
      </c>
      <c r="F27" s="361">
        <v>161130</v>
      </c>
      <c r="G27" s="361">
        <v>247066</v>
      </c>
    </row>
    <row r="28" spans="1:7" ht="14.1" customHeight="1">
      <c r="A28" s="23" t="s">
        <v>246</v>
      </c>
      <c r="B28" s="24">
        <v>2901099</v>
      </c>
      <c r="C28" s="24">
        <v>28321</v>
      </c>
      <c r="D28" s="24">
        <v>517685</v>
      </c>
      <c r="E28" s="24">
        <v>90330</v>
      </c>
      <c r="F28" s="24">
        <v>90330</v>
      </c>
      <c r="G28" s="24">
        <v>138506</v>
      </c>
    </row>
    <row r="29" spans="1:7" ht="14.1" customHeight="1">
      <c r="A29" s="360" t="s">
        <v>247</v>
      </c>
      <c r="B29" s="361">
        <v>23279509</v>
      </c>
      <c r="C29" s="361">
        <v>0</v>
      </c>
      <c r="D29" s="361">
        <v>0</v>
      </c>
      <c r="E29" s="361">
        <v>724842</v>
      </c>
      <c r="F29" s="361">
        <v>724842</v>
      </c>
      <c r="G29" s="361">
        <v>1111424</v>
      </c>
    </row>
    <row r="30" spans="1:7" ht="14.1" customHeight="1">
      <c r="A30" s="23" t="s">
        <v>248</v>
      </c>
      <c r="B30" s="24">
        <v>2069213</v>
      </c>
      <c r="C30" s="24">
        <v>66736</v>
      </c>
      <c r="D30" s="24">
        <v>297439</v>
      </c>
      <c r="E30" s="24">
        <v>64428</v>
      </c>
      <c r="F30" s="24">
        <v>64428</v>
      </c>
      <c r="G30" s="24">
        <v>98790</v>
      </c>
    </row>
    <row r="31" spans="1:7" ht="14.1" customHeight="1">
      <c r="A31" s="360" t="s">
        <v>249</v>
      </c>
      <c r="B31" s="361">
        <v>5888912</v>
      </c>
      <c r="C31" s="361">
        <v>0</v>
      </c>
      <c r="D31" s="361">
        <v>184607</v>
      </c>
      <c r="E31" s="361">
        <v>183360</v>
      </c>
      <c r="F31" s="361">
        <v>183360</v>
      </c>
      <c r="G31" s="361">
        <v>281152</v>
      </c>
    </row>
    <row r="32" spans="1:7" ht="14.1" customHeight="1">
      <c r="A32" s="23" t="s">
        <v>250</v>
      </c>
      <c r="B32" s="24">
        <v>3926648</v>
      </c>
      <c r="C32" s="24">
        <v>0</v>
      </c>
      <c r="D32" s="24">
        <v>595955</v>
      </c>
      <c r="E32" s="24">
        <v>122262</v>
      </c>
      <c r="F32" s="24">
        <v>122262</v>
      </c>
      <c r="G32" s="24">
        <v>187468</v>
      </c>
    </row>
    <row r="33" spans="1:7" ht="14.1" customHeight="1">
      <c r="A33" s="360" t="s">
        <v>251</v>
      </c>
      <c r="B33" s="361">
        <v>3830876</v>
      </c>
      <c r="C33" s="361">
        <v>29070</v>
      </c>
      <c r="D33" s="361">
        <v>826125</v>
      </c>
      <c r="E33" s="361">
        <v>119280</v>
      </c>
      <c r="F33" s="361">
        <v>119280</v>
      </c>
      <c r="G33" s="361">
        <v>182896</v>
      </c>
    </row>
    <row r="34" spans="1:7" ht="14.1" customHeight="1">
      <c r="A34" s="23" t="s">
        <v>252</v>
      </c>
      <c r="B34" s="24">
        <v>3903331</v>
      </c>
      <c r="C34" s="24">
        <v>47144</v>
      </c>
      <c r="D34" s="24">
        <v>572027</v>
      </c>
      <c r="E34" s="24">
        <v>121536</v>
      </c>
      <c r="F34" s="24">
        <v>121536</v>
      </c>
      <c r="G34" s="24">
        <v>186355</v>
      </c>
    </row>
    <row r="35" spans="1:7" ht="14.1" customHeight="1">
      <c r="A35" s="360" t="s">
        <v>253</v>
      </c>
      <c r="B35" s="361">
        <v>29964079</v>
      </c>
      <c r="C35" s="361">
        <v>0</v>
      </c>
      <c r="D35" s="361">
        <v>0</v>
      </c>
      <c r="E35" s="361">
        <v>932976</v>
      </c>
      <c r="F35" s="361">
        <v>932976</v>
      </c>
      <c r="G35" s="361">
        <v>1430563</v>
      </c>
    </row>
    <row r="36" spans="1:7" ht="14.1" customHeight="1">
      <c r="A36" s="23" t="s">
        <v>254</v>
      </c>
      <c r="B36" s="24">
        <v>2987621</v>
      </c>
      <c r="C36" s="24">
        <v>82198</v>
      </c>
      <c r="D36" s="24">
        <v>417330</v>
      </c>
      <c r="E36" s="24">
        <v>93024</v>
      </c>
      <c r="F36" s="24">
        <v>93024</v>
      </c>
      <c r="G36" s="24">
        <v>142637</v>
      </c>
    </row>
    <row r="37" spans="1:7" ht="14.1" customHeight="1">
      <c r="A37" s="360" t="s">
        <v>255</v>
      </c>
      <c r="B37" s="361">
        <v>7157263</v>
      </c>
      <c r="C37" s="361">
        <v>0</v>
      </c>
      <c r="D37" s="361">
        <v>464163</v>
      </c>
      <c r="E37" s="361">
        <v>222852</v>
      </c>
      <c r="F37" s="361">
        <v>222852</v>
      </c>
      <c r="G37" s="361">
        <v>341706</v>
      </c>
    </row>
    <row r="38" spans="1:7" ht="14.1" customHeight="1">
      <c r="A38" s="23" t="s">
        <v>256</v>
      </c>
      <c r="B38" s="24">
        <v>19795686</v>
      </c>
      <c r="C38" s="24">
        <v>0</v>
      </c>
      <c r="D38" s="24">
        <v>0</v>
      </c>
      <c r="E38" s="24">
        <v>616368</v>
      </c>
      <c r="F38" s="24">
        <v>616368</v>
      </c>
      <c r="G38" s="24">
        <v>945098</v>
      </c>
    </row>
    <row r="39" spans="1:7" ht="14.1" customHeight="1">
      <c r="A39" s="360" t="s">
        <v>257</v>
      </c>
      <c r="B39" s="361">
        <v>3053910</v>
      </c>
      <c r="C39" s="361">
        <v>0</v>
      </c>
      <c r="D39" s="361">
        <v>520301</v>
      </c>
      <c r="E39" s="361">
        <v>95088</v>
      </c>
      <c r="F39" s="361">
        <v>95088</v>
      </c>
      <c r="G39" s="361">
        <v>145802</v>
      </c>
    </row>
    <row r="40" spans="1:7" ht="14.1" customHeight="1">
      <c r="A40" s="23" t="s">
        <v>258</v>
      </c>
      <c r="B40" s="24">
        <v>15252590</v>
      </c>
      <c r="C40" s="24">
        <v>0</v>
      </c>
      <c r="D40" s="24">
        <v>0</v>
      </c>
      <c r="E40" s="24">
        <v>474912</v>
      </c>
      <c r="F40" s="24">
        <v>474912</v>
      </c>
      <c r="G40" s="24">
        <v>728198</v>
      </c>
    </row>
    <row r="41" spans="1:7" ht="14.1" customHeight="1">
      <c r="A41" s="360" t="s">
        <v>259</v>
      </c>
      <c r="B41" s="361">
        <v>8449661</v>
      </c>
      <c r="C41" s="361">
        <v>105325</v>
      </c>
      <c r="D41" s="361">
        <v>500177</v>
      </c>
      <c r="E41" s="361">
        <v>263118</v>
      </c>
      <c r="F41" s="361">
        <v>263118</v>
      </c>
      <c r="G41" s="361">
        <v>403448</v>
      </c>
    </row>
    <row r="42" spans="1:7" ht="14.1" customHeight="1">
      <c r="A42" s="23" t="s">
        <v>260</v>
      </c>
      <c r="B42" s="24">
        <v>2686623</v>
      </c>
      <c r="C42" s="24">
        <v>0</v>
      </c>
      <c r="D42" s="24">
        <v>301790</v>
      </c>
      <c r="E42" s="24">
        <v>83652</v>
      </c>
      <c r="F42" s="24">
        <v>83652</v>
      </c>
      <c r="G42" s="24">
        <v>128266</v>
      </c>
    </row>
    <row r="43" spans="1:7" ht="14.1" customHeight="1">
      <c r="A43" s="360" t="s">
        <v>261</v>
      </c>
      <c r="B43" s="361">
        <v>1882679</v>
      </c>
      <c r="C43" s="361">
        <v>53129</v>
      </c>
      <c r="D43" s="361">
        <v>241987</v>
      </c>
      <c r="E43" s="361">
        <v>58620</v>
      </c>
      <c r="F43" s="361">
        <v>58620</v>
      </c>
      <c r="G43" s="361">
        <v>89884</v>
      </c>
    </row>
    <row r="44" spans="1:7" ht="14.1" customHeight="1">
      <c r="A44" s="23" t="s">
        <v>262</v>
      </c>
      <c r="B44" s="24">
        <v>1374915</v>
      </c>
      <c r="C44" s="24">
        <v>25518</v>
      </c>
      <c r="D44" s="24">
        <v>302286</v>
      </c>
      <c r="E44" s="24">
        <v>42810</v>
      </c>
      <c r="F44" s="24">
        <v>42810</v>
      </c>
      <c r="G44" s="24">
        <v>65642</v>
      </c>
    </row>
    <row r="45" spans="1:7" ht="14.1" customHeight="1">
      <c r="A45" s="360" t="s">
        <v>263</v>
      </c>
      <c r="B45" s="361">
        <v>3081851</v>
      </c>
      <c r="C45" s="361">
        <v>0</v>
      </c>
      <c r="D45" s="361">
        <v>20645</v>
      </c>
      <c r="E45" s="361">
        <v>95958</v>
      </c>
      <c r="F45" s="361">
        <v>95958</v>
      </c>
      <c r="G45" s="361">
        <v>147136</v>
      </c>
    </row>
    <row r="46" spans="1:7" ht="14.1" customHeight="1">
      <c r="A46" s="23" t="s">
        <v>264</v>
      </c>
      <c r="B46" s="24">
        <v>57456707</v>
      </c>
      <c r="C46" s="24">
        <v>0</v>
      </c>
      <c r="D46" s="24">
        <v>0</v>
      </c>
      <c r="E46" s="24">
        <v>1789026</v>
      </c>
      <c r="F46" s="24">
        <v>1789026</v>
      </c>
      <c r="G46" s="24">
        <v>2743173</v>
      </c>
    </row>
    <row r="47" spans="1:7" ht="5.0999999999999996" customHeight="1">
      <c r="A47"/>
      <c r="B47"/>
      <c r="C47"/>
      <c r="D47"/>
      <c r="E47"/>
      <c r="F47"/>
      <c r="G47"/>
    </row>
    <row r="48" spans="1:7" ht="14.1" customHeight="1">
      <c r="A48" s="363" t="s">
        <v>265</v>
      </c>
      <c r="B48" s="364">
        <f t="shared" ref="B48:G48" si="0">SUM(B11:B46)</f>
        <v>319942427</v>
      </c>
      <c r="C48" s="364">
        <f t="shared" si="0"/>
        <v>1056117</v>
      </c>
      <c r="D48" s="364">
        <f t="shared" si="0"/>
        <v>10780043</v>
      </c>
      <c r="E48" s="364">
        <f t="shared" si="0"/>
        <v>9961962</v>
      </c>
      <c r="F48" s="364">
        <f t="shared" si="0"/>
        <v>9961962</v>
      </c>
      <c r="G48" s="364">
        <f t="shared" si="0"/>
        <v>15274928</v>
      </c>
    </row>
    <row r="49" spans="1:7" ht="5.0999999999999996" customHeight="1">
      <c r="A49" s="25" t="s">
        <v>3</v>
      </c>
      <c r="B49" s="26"/>
      <c r="C49" s="26"/>
      <c r="D49" s="26"/>
      <c r="E49" s="26"/>
      <c r="F49" s="26"/>
      <c r="G49" s="26"/>
    </row>
    <row r="50" spans="1:7" ht="14.45" customHeight="1">
      <c r="A50" s="23" t="s">
        <v>266</v>
      </c>
      <c r="B50" s="24">
        <v>204476</v>
      </c>
      <c r="C50" s="24">
        <v>45525</v>
      </c>
      <c r="D50" s="24">
        <v>0</v>
      </c>
      <c r="E50" s="24">
        <v>10020</v>
      </c>
      <c r="F50" s="24">
        <v>10020</v>
      </c>
      <c r="G50" s="24">
        <v>15364</v>
      </c>
    </row>
    <row r="51" spans="1:7" ht="14.1" customHeight="1">
      <c r="A51" s="360" t="s">
        <v>267</v>
      </c>
      <c r="B51" s="361">
        <v>0</v>
      </c>
      <c r="C51" s="361">
        <v>0</v>
      </c>
      <c r="D51" s="361">
        <v>0</v>
      </c>
      <c r="E51" s="361">
        <v>0</v>
      </c>
      <c r="F51" s="361">
        <v>0</v>
      </c>
      <c r="G51" s="361">
        <v>0</v>
      </c>
    </row>
    <row r="52" spans="1:7" ht="50.1" customHeight="1">
      <c r="A52" s="27"/>
      <c r="B52" s="27"/>
      <c r="C52" s="27"/>
      <c r="D52" s="27"/>
      <c r="E52" s="27"/>
      <c r="F52" s="27"/>
      <c r="G52" s="27"/>
    </row>
    <row r="53" spans="1:7" ht="15" customHeight="1">
      <c r="A53" s="39" t="s">
        <v>687</v>
      </c>
      <c r="D53" s="39"/>
      <c r="E53" s="39"/>
      <c r="F53" s="39"/>
      <c r="G53" s="39"/>
    </row>
    <row r="54" spans="1:7" ht="12" customHeight="1">
      <c r="A54" s="39" t="s">
        <v>581</v>
      </c>
      <c r="D54" s="39"/>
      <c r="E54" s="39"/>
      <c r="F54" s="39"/>
      <c r="G54" s="39"/>
    </row>
    <row r="55" spans="1:7" ht="14.45" customHeight="1">
      <c r="A55" s="39"/>
      <c r="D55" s="39"/>
      <c r="E55" s="39"/>
      <c r="F55" s="39"/>
      <c r="G55" s="39"/>
    </row>
    <row r="56" spans="1:7" ht="14.45" customHeight="1">
      <c r="D56" s="115"/>
      <c r="E56" s="115"/>
      <c r="F56" s="115"/>
      <c r="G56" s="115"/>
    </row>
    <row r="57" spans="1:7" ht="14.45" customHeight="1"/>
    <row r="58" spans="1:7" ht="14.45" customHeight="1"/>
    <row r="59" spans="1:7" ht="14.45" customHeight="1"/>
  </sheetData>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&amp;C&amp;"Arial,Bold"&amp;10&amp;A</oddHeader>
  </headerFooter>
</worksheet>
</file>

<file path=xl/worksheets/sheet46.xml><?xml version="1.0" encoding="utf-8"?>
<worksheet xmlns="http://schemas.openxmlformats.org/spreadsheetml/2006/main" xmlns:r="http://schemas.openxmlformats.org/officeDocument/2006/relationships">
  <sheetPr codeName="Sheet451">
    <pageSetUpPr fitToPage="1"/>
  </sheetPr>
  <dimension ref="A1:K59"/>
  <sheetViews>
    <sheetView showGridLines="0" showZeros="0" workbookViewId="0"/>
  </sheetViews>
  <sheetFormatPr defaultColWidth="19.83203125" defaultRowHeight="12"/>
  <cols>
    <col min="1" max="1" width="29.83203125" style="1" customWidth="1"/>
    <col min="2" max="2" width="15.83203125" style="1" customWidth="1"/>
    <col min="3" max="3" width="17.83203125" style="1" customWidth="1"/>
    <col min="4" max="4" width="18.83203125" style="1" customWidth="1"/>
    <col min="5" max="5" width="14.83203125" style="1" customWidth="1"/>
    <col min="6" max="7" width="17.83203125" style="1" customWidth="1"/>
    <col min="8" max="16384" width="19.83203125" style="1"/>
  </cols>
  <sheetData>
    <row r="1" spans="1:7" ht="6.95" customHeight="1">
      <c r="A1" s="3"/>
      <c r="B1" s="3"/>
      <c r="C1" s="3"/>
      <c r="D1" s="3"/>
      <c r="E1" s="3"/>
      <c r="F1" s="3"/>
      <c r="G1" s="3"/>
    </row>
    <row r="2" spans="1:7" ht="15.95" customHeight="1">
      <c r="A2" s="306"/>
      <c r="B2" s="316" t="str">
        <f>REVYEAR</f>
        <v>ANALYSIS OF OPERATING FUND REVENUE: 2013/2014 BUDGET</v>
      </c>
      <c r="C2" s="317"/>
      <c r="D2" s="311"/>
      <c r="E2" s="311"/>
      <c r="F2" s="318"/>
      <c r="G2" s="250" t="s">
        <v>199</v>
      </c>
    </row>
    <row r="3" spans="1:7" ht="15.95" customHeight="1">
      <c r="A3" s="245"/>
      <c r="B3" s="245"/>
      <c r="C3" s="3"/>
      <c r="D3" s="3"/>
      <c r="E3" s="3"/>
      <c r="F3" s="3"/>
      <c r="G3" s="3"/>
    </row>
    <row r="4" spans="1:7" ht="15.95" customHeight="1">
      <c r="B4" s="439" t="s">
        <v>77</v>
      </c>
      <c r="C4" s="369"/>
      <c r="D4" s="369"/>
      <c r="E4" s="369"/>
      <c r="F4" s="369"/>
      <c r="G4" s="368"/>
    </row>
    <row r="5" spans="1:7" ht="15.95" customHeight="1">
      <c r="B5" s="462" t="s">
        <v>221</v>
      </c>
      <c r="C5" s="434"/>
      <c r="D5" s="434"/>
      <c r="E5" s="434"/>
      <c r="F5" s="380"/>
      <c r="G5" s="471"/>
    </row>
    <row r="6" spans="1:7" ht="15.95" customHeight="1">
      <c r="B6" s="309" t="s">
        <v>99</v>
      </c>
      <c r="C6" s="129"/>
      <c r="D6" s="129"/>
      <c r="E6" s="129"/>
      <c r="F6" s="129"/>
      <c r="G6" s="134"/>
    </row>
    <row r="7" spans="1:7" ht="15.95" customHeight="1">
      <c r="B7" s="252"/>
      <c r="C7" s="32"/>
      <c r="D7" s="32"/>
      <c r="E7" s="32"/>
      <c r="F7" s="32"/>
      <c r="G7" s="252" t="s">
        <v>54</v>
      </c>
    </row>
    <row r="8" spans="1:7" ht="15.95" customHeight="1">
      <c r="A8" s="102"/>
      <c r="B8" s="563" t="s">
        <v>426</v>
      </c>
      <c r="C8" s="254" t="s">
        <v>114</v>
      </c>
      <c r="D8" s="254" t="s">
        <v>116</v>
      </c>
      <c r="E8" s="254" t="s">
        <v>488</v>
      </c>
      <c r="F8" s="319"/>
      <c r="G8" s="254" t="s">
        <v>117</v>
      </c>
    </row>
    <row r="9" spans="1:7" ht="15.95" customHeight="1">
      <c r="A9" s="35" t="s">
        <v>81</v>
      </c>
      <c r="B9" s="564" t="s">
        <v>546</v>
      </c>
      <c r="C9" s="119" t="s">
        <v>138</v>
      </c>
      <c r="D9" s="119" t="s">
        <v>140</v>
      </c>
      <c r="E9" s="119" t="s">
        <v>77</v>
      </c>
      <c r="F9" s="119" t="s">
        <v>137</v>
      </c>
      <c r="G9" s="119" t="s">
        <v>136</v>
      </c>
    </row>
    <row r="10" spans="1:7" ht="5.0999999999999996" customHeight="1">
      <c r="A10" s="37"/>
      <c r="B10" s="3"/>
      <c r="F10" s="3"/>
      <c r="G10" s="3"/>
    </row>
    <row r="11" spans="1:7" ht="14.1" customHeight="1">
      <c r="A11" s="360" t="s">
        <v>230</v>
      </c>
      <c r="B11" s="361">
        <v>475384</v>
      </c>
      <c r="C11" s="361">
        <v>122795</v>
      </c>
      <c r="D11" s="361">
        <v>68885</v>
      </c>
      <c r="E11" s="361">
        <v>29125</v>
      </c>
      <c r="F11" s="361">
        <v>849870</v>
      </c>
      <c r="G11" s="361">
        <f>SUM('- 52 -'!$B11:G11,B11:F11)</f>
        <v>5037611</v>
      </c>
    </row>
    <row r="12" spans="1:7" ht="14.1" customHeight="1">
      <c r="A12" s="23" t="s">
        <v>231</v>
      </c>
      <c r="B12" s="24">
        <v>699049</v>
      </c>
      <c r="C12" s="24">
        <v>176866</v>
      </c>
      <c r="D12" s="24">
        <v>99217</v>
      </c>
      <c r="E12" s="24">
        <v>47125</v>
      </c>
      <c r="F12" s="24">
        <v>1225215</v>
      </c>
      <c r="G12" s="24">
        <f>SUM('- 52 -'!$B12:G12,B12:F12)</f>
        <v>7262462</v>
      </c>
    </row>
    <row r="13" spans="1:7" ht="14.1" customHeight="1">
      <c r="A13" s="360" t="s">
        <v>232</v>
      </c>
      <c r="B13" s="361">
        <v>2552800</v>
      </c>
      <c r="C13" s="361">
        <v>638700</v>
      </c>
      <c r="D13" s="361">
        <v>358300</v>
      </c>
      <c r="E13" s="361">
        <v>187600</v>
      </c>
      <c r="F13" s="361">
        <v>3052400</v>
      </c>
      <c r="G13" s="361">
        <f>SUM('- 52 -'!$B13:G13,B13:F13)</f>
        <v>23562400</v>
      </c>
    </row>
    <row r="14" spans="1:7" ht="14.1" customHeight="1">
      <c r="A14" s="23" t="s">
        <v>578</v>
      </c>
      <c r="B14" s="24">
        <v>1537456</v>
      </c>
      <c r="C14" s="24">
        <v>396691</v>
      </c>
      <c r="D14" s="24">
        <v>188670</v>
      </c>
      <c r="E14" s="24">
        <v>81625</v>
      </c>
      <c r="F14" s="24">
        <v>2595780</v>
      </c>
      <c r="G14" s="24">
        <f>SUM('- 52 -'!$B14:G14,B14:F14)</f>
        <v>15991841</v>
      </c>
    </row>
    <row r="15" spans="1:7" ht="14.1" customHeight="1">
      <c r="A15" s="360" t="s">
        <v>233</v>
      </c>
      <c r="B15" s="361">
        <v>490561</v>
      </c>
      <c r="C15" s="361">
        <v>123984</v>
      </c>
      <c r="D15" s="361">
        <v>58968</v>
      </c>
      <c r="E15" s="361">
        <v>33125</v>
      </c>
      <c r="F15" s="361">
        <v>863550</v>
      </c>
      <c r="G15" s="361">
        <f>SUM('- 52 -'!$B15:G15,B15:F15)</f>
        <v>5049849</v>
      </c>
    </row>
    <row r="16" spans="1:7" ht="14.1" customHeight="1">
      <c r="A16" s="23" t="s">
        <v>234</v>
      </c>
      <c r="B16" s="24">
        <v>324607</v>
      </c>
      <c r="C16" s="24">
        <v>78441</v>
      </c>
      <c r="D16" s="24">
        <v>48787</v>
      </c>
      <c r="E16" s="24">
        <v>29250</v>
      </c>
      <c r="F16" s="24">
        <v>558315</v>
      </c>
      <c r="G16" s="24">
        <f>SUM('- 52 -'!$B16:G16,B16:F16)</f>
        <v>3104582</v>
      </c>
    </row>
    <row r="17" spans="1:7" ht="14.1" customHeight="1">
      <c r="A17" s="360" t="s">
        <v>235</v>
      </c>
      <c r="B17" s="361">
        <v>392876</v>
      </c>
      <c r="C17" s="361">
        <v>103730</v>
      </c>
      <c r="D17" s="361">
        <v>58190</v>
      </c>
      <c r="E17" s="361">
        <v>28625</v>
      </c>
      <c r="F17" s="361">
        <v>860130</v>
      </c>
      <c r="G17" s="361">
        <f>SUM('- 52 -'!$B17:G17,B17:F17)</f>
        <v>4437142</v>
      </c>
    </row>
    <row r="18" spans="1:7" ht="14.1" customHeight="1">
      <c r="A18" s="23" t="s">
        <v>236</v>
      </c>
      <c r="B18" s="24">
        <v>1292423</v>
      </c>
      <c r="C18" s="24">
        <v>198153</v>
      </c>
      <c r="D18" s="24">
        <v>94244</v>
      </c>
      <c r="E18" s="24">
        <v>32375</v>
      </c>
      <c r="F18" s="24">
        <v>4129650</v>
      </c>
      <c r="G18" s="24">
        <f>SUM('- 52 -'!$B18:G18,B18:F18)</f>
        <v>11948062</v>
      </c>
    </row>
    <row r="19" spans="1:7" ht="14.1" customHeight="1">
      <c r="A19" s="360" t="s">
        <v>237</v>
      </c>
      <c r="B19" s="361">
        <v>1325235</v>
      </c>
      <c r="C19" s="361">
        <v>341792</v>
      </c>
      <c r="D19" s="361">
        <v>191737</v>
      </c>
      <c r="E19" s="361">
        <v>83625</v>
      </c>
      <c r="F19" s="361">
        <v>1434690</v>
      </c>
      <c r="G19" s="361">
        <f>SUM('- 52 -'!$B19:G19,B19:F19)</f>
        <v>12509192</v>
      </c>
    </row>
    <row r="20" spans="1:7" ht="14.1" customHeight="1">
      <c r="A20" s="23" t="s">
        <v>238</v>
      </c>
      <c r="B20" s="24">
        <v>2406693</v>
      </c>
      <c r="C20" s="24">
        <v>605275</v>
      </c>
      <c r="D20" s="24">
        <v>287875</v>
      </c>
      <c r="E20" s="24">
        <v>152125</v>
      </c>
      <c r="F20" s="24">
        <v>2600910</v>
      </c>
      <c r="G20" s="24">
        <f>SUM('- 52 -'!$B20:G20,B20:F20)</f>
        <v>22101941</v>
      </c>
    </row>
    <row r="21" spans="1:7" ht="14.1" customHeight="1">
      <c r="A21" s="360" t="s">
        <v>239</v>
      </c>
      <c r="B21" s="361">
        <v>882390</v>
      </c>
      <c r="C21" s="361">
        <v>226099</v>
      </c>
      <c r="D21" s="361">
        <v>107535</v>
      </c>
      <c r="E21" s="361">
        <v>70500</v>
      </c>
      <c r="F21" s="361">
        <v>1557810</v>
      </c>
      <c r="G21" s="361">
        <f>SUM('- 52 -'!$B21:G21,B21:F21)</f>
        <v>9306542</v>
      </c>
    </row>
    <row r="22" spans="1:7" ht="14.1" customHeight="1">
      <c r="A22" s="23" t="s">
        <v>240</v>
      </c>
      <c r="B22" s="24">
        <v>553689</v>
      </c>
      <c r="C22" s="24">
        <v>131389</v>
      </c>
      <c r="D22" s="24">
        <v>81717</v>
      </c>
      <c r="E22" s="24">
        <v>31250</v>
      </c>
      <c r="F22" s="24">
        <v>956745</v>
      </c>
      <c r="G22" s="24">
        <f>SUM('- 52 -'!$B22:G22,B22:F22)</f>
        <v>5216398</v>
      </c>
    </row>
    <row r="23" spans="1:7" ht="14.1" customHeight="1">
      <c r="A23" s="360" t="s">
        <v>241</v>
      </c>
      <c r="B23" s="361">
        <v>383103</v>
      </c>
      <c r="C23" s="361">
        <v>88330</v>
      </c>
      <c r="D23" s="361">
        <v>49551</v>
      </c>
      <c r="E23" s="361">
        <v>24375</v>
      </c>
      <c r="F23" s="361">
        <v>810540</v>
      </c>
      <c r="G23" s="361">
        <f>SUM('- 52 -'!$B23:G23,B23:F23)</f>
        <v>4047798</v>
      </c>
    </row>
    <row r="24" spans="1:7" ht="14.1" customHeight="1">
      <c r="A24" s="23" t="s">
        <v>242</v>
      </c>
      <c r="B24" s="24">
        <v>1359469</v>
      </c>
      <c r="C24" s="24">
        <v>341546</v>
      </c>
      <c r="D24" s="24">
        <v>162443</v>
      </c>
      <c r="E24" s="24">
        <v>104250</v>
      </c>
      <c r="F24" s="24">
        <v>2046015</v>
      </c>
      <c r="G24" s="24">
        <f>SUM('- 52 -'!$B24:G24,B24:F24)</f>
        <v>13279291</v>
      </c>
    </row>
    <row r="25" spans="1:7" ht="14.1" customHeight="1">
      <c r="A25" s="360" t="s">
        <v>243</v>
      </c>
      <c r="B25" s="361">
        <v>4620006</v>
      </c>
      <c r="C25" s="361">
        <v>1111822</v>
      </c>
      <c r="D25" s="361">
        <v>528793</v>
      </c>
      <c r="E25" s="361">
        <v>332750</v>
      </c>
      <c r="F25" s="361">
        <v>6472350</v>
      </c>
      <c r="G25" s="361">
        <f>SUM('- 52 -'!$B25:G25,B25:F25)</f>
        <v>42067995</v>
      </c>
    </row>
    <row r="26" spans="1:7" ht="14.1" customHeight="1">
      <c r="A26" s="23" t="s">
        <v>244</v>
      </c>
      <c r="B26" s="24">
        <v>997307</v>
      </c>
      <c r="C26" s="24">
        <v>243040</v>
      </c>
      <c r="D26" s="24">
        <v>136339</v>
      </c>
      <c r="E26" s="24">
        <v>68375</v>
      </c>
      <c r="F26" s="24">
        <v>2322180</v>
      </c>
      <c r="G26" s="24">
        <f>SUM('- 52 -'!$B26:G26,B26:F26)</f>
        <v>10695091</v>
      </c>
    </row>
    <row r="27" spans="1:7" ht="14.1" customHeight="1">
      <c r="A27" s="360" t="s">
        <v>245</v>
      </c>
      <c r="B27" s="361">
        <v>996467</v>
      </c>
      <c r="C27" s="361">
        <v>220211</v>
      </c>
      <c r="D27" s="361">
        <v>136961</v>
      </c>
      <c r="E27" s="361">
        <v>52375</v>
      </c>
      <c r="F27" s="361">
        <v>1314135</v>
      </c>
      <c r="G27" s="361">
        <f>SUM('- 52 -'!$B27:G27,B27:F27)</f>
        <v>8464434</v>
      </c>
    </row>
    <row r="28" spans="1:7" ht="14.1" customHeight="1">
      <c r="A28" s="23" t="s">
        <v>246</v>
      </c>
      <c r="B28" s="24">
        <v>480210</v>
      </c>
      <c r="C28" s="24">
        <v>123451</v>
      </c>
      <c r="D28" s="24">
        <v>69253</v>
      </c>
      <c r="E28" s="24">
        <v>33875</v>
      </c>
      <c r="F28" s="24">
        <v>1298745</v>
      </c>
      <c r="G28" s="24">
        <f>SUM('- 52 -'!$B28:G28,B28:F28)</f>
        <v>5771805</v>
      </c>
    </row>
    <row r="29" spans="1:7" ht="14.1" customHeight="1">
      <c r="A29" s="360" t="s">
        <v>247</v>
      </c>
      <c r="B29" s="361">
        <v>3894047</v>
      </c>
      <c r="C29" s="361">
        <v>990617</v>
      </c>
      <c r="D29" s="361">
        <v>471147</v>
      </c>
      <c r="E29" s="361">
        <v>297500</v>
      </c>
      <c r="F29" s="361">
        <v>5000895</v>
      </c>
      <c r="G29" s="361">
        <f>SUM('- 52 -'!$B29:G29,B29:F29)</f>
        <v>36494823</v>
      </c>
    </row>
    <row r="30" spans="1:7" ht="14.1" customHeight="1">
      <c r="A30" s="23" t="s">
        <v>248</v>
      </c>
      <c r="B30" s="24">
        <v>350026</v>
      </c>
      <c r="C30" s="24">
        <v>88052</v>
      </c>
      <c r="D30" s="24">
        <v>49395</v>
      </c>
      <c r="E30" s="24">
        <v>23000</v>
      </c>
      <c r="F30" s="24">
        <v>792585</v>
      </c>
      <c r="G30" s="24">
        <f>SUM('- 52 -'!$B30:G30,B30:F30)</f>
        <v>3964092</v>
      </c>
    </row>
    <row r="31" spans="1:7" ht="14.1" customHeight="1">
      <c r="A31" s="360" t="s">
        <v>249</v>
      </c>
      <c r="B31" s="361">
        <v>1066508</v>
      </c>
      <c r="C31" s="361">
        <v>250592</v>
      </c>
      <c r="D31" s="361">
        <v>119184</v>
      </c>
      <c r="E31" s="361">
        <v>60500</v>
      </c>
      <c r="F31" s="361">
        <v>1798065</v>
      </c>
      <c r="G31" s="361">
        <f>SUM('- 52 -'!$B31:G31,B31:F31)</f>
        <v>10016240</v>
      </c>
    </row>
    <row r="32" spans="1:7" ht="14.1" customHeight="1">
      <c r="A32" s="23" t="s">
        <v>250</v>
      </c>
      <c r="B32" s="24">
        <v>654165</v>
      </c>
      <c r="C32" s="24">
        <v>167091</v>
      </c>
      <c r="D32" s="24">
        <v>79470</v>
      </c>
      <c r="E32" s="24">
        <v>39000</v>
      </c>
      <c r="F32" s="24">
        <v>1405620</v>
      </c>
      <c r="G32" s="24">
        <f>SUM('- 52 -'!$B32:G32,B32:F32)</f>
        <v>7299941</v>
      </c>
    </row>
    <row r="33" spans="1:7" ht="14.1" customHeight="1">
      <c r="A33" s="360" t="s">
        <v>251</v>
      </c>
      <c r="B33" s="361">
        <v>642810</v>
      </c>
      <c r="C33" s="361">
        <v>163016</v>
      </c>
      <c r="D33" s="361">
        <v>91448</v>
      </c>
      <c r="E33" s="361">
        <v>43250</v>
      </c>
      <c r="F33" s="361">
        <v>1757880</v>
      </c>
      <c r="G33" s="361">
        <f>SUM('- 52 -'!$B33:G33,B33:F33)</f>
        <v>7805931</v>
      </c>
    </row>
    <row r="34" spans="1:7" ht="14.1" customHeight="1">
      <c r="A34" s="23" t="s">
        <v>252</v>
      </c>
      <c r="B34" s="24">
        <v>645719</v>
      </c>
      <c r="C34" s="24">
        <v>166099</v>
      </c>
      <c r="D34" s="24">
        <v>78998</v>
      </c>
      <c r="E34" s="24">
        <v>41625</v>
      </c>
      <c r="F34" s="24">
        <v>1220085</v>
      </c>
      <c r="G34" s="24">
        <f>SUM('- 52 -'!$B34:G34,B34:F34)</f>
        <v>7104455</v>
      </c>
    </row>
    <row r="35" spans="1:7" ht="14.1" customHeight="1">
      <c r="A35" s="360" t="s">
        <v>253</v>
      </c>
      <c r="B35" s="361">
        <v>5096191</v>
      </c>
      <c r="C35" s="361">
        <v>1275067</v>
      </c>
      <c r="D35" s="361">
        <v>613434</v>
      </c>
      <c r="E35" s="361">
        <v>391900</v>
      </c>
      <c r="F35" s="361">
        <v>7121295</v>
      </c>
      <c r="G35" s="361">
        <f>SUM('- 52 -'!$B35:G35,B35:F35)</f>
        <v>47758481</v>
      </c>
    </row>
    <row r="36" spans="1:7" ht="14.1" customHeight="1">
      <c r="A36" s="23" t="s">
        <v>254</v>
      </c>
      <c r="B36" s="24">
        <v>522603</v>
      </c>
      <c r="C36" s="24">
        <v>127133</v>
      </c>
      <c r="D36" s="24">
        <v>71318</v>
      </c>
      <c r="E36" s="24">
        <v>33750</v>
      </c>
      <c r="F36" s="24">
        <v>1175625</v>
      </c>
      <c r="G36" s="24">
        <f>SUM('- 52 -'!$B36:G36,B36:F36)</f>
        <v>5746263</v>
      </c>
    </row>
    <row r="37" spans="1:7" ht="14.1" customHeight="1">
      <c r="A37" s="360" t="s">
        <v>255</v>
      </c>
      <c r="B37" s="361">
        <v>1222580</v>
      </c>
      <c r="C37" s="361">
        <v>304564</v>
      </c>
      <c r="D37" s="361">
        <v>144854</v>
      </c>
      <c r="E37" s="361">
        <v>70375</v>
      </c>
      <c r="F37" s="361">
        <v>1727100</v>
      </c>
      <c r="G37" s="361">
        <f>SUM('- 52 -'!$B37:G37,B37:F37)</f>
        <v>11878309</v>
      </c>
    </row>
    <row r="38" spans="1:7" ht="14.1" customHeight="1">
      <c r="A38" s="23" t="s">
        <v>256</v>
      </c>
      <c r="B38" s="24">
        <v>3513746</v>
      </c>
      <c r="C38" s="24">
        <v>842370</v>
      </c>
      <c r="D38" s="24">
        <v>400639</v>
      </c>
      <c r="E38" s="24">
        <v>265000</v>
      </c>
      <c r="F38" s="24">
        <v>3428550</v>
      </c>
      <c r="G38" s="24">
        <f>SUM('- 52 -'!$B38:G38,B38:F38)</f>
        <v>30423825</v>
      </c>
    </row>
    <row r="39" spans="1:7" ht="14.1" customHeight="1">
      <c r="A39" s="360" t="s">
        <v>257</v>
      </c>
      <c r="B39" s="361">
        <v>497336</v>
      </c>
      <c r="C39" s="361">
        <v>129954</v>
      </c>
      <c r="D39" s="361">
        <v>72901</v>
      </c>
      <c r="E39" s="361">
        <v>31913</v>
      </c>
      <c r="F39" s="361">
        <v>1040535</v>
      </c>
      <c r="G39" s="361">
        <f>SUM('- 52 -'!$B39:G39,B39:F39)</f>
        <v>5682828</v>
      </c>
    </row>
    <row r="40" spans="1:7" ht="14.1" customHeight="1">
      <c r="A40" s="23" t="s">
        <v>258</v>
      </c>
      <c r="B40" s="24">
        <v>2676594</v>
      </c>
      <c r="C40" s="24">
        <v>649046</v>
      </c>
      <c r="D40" s="24">
        <v>308693</v>
      </c>
      <c r="E40" s="24">
        <v>205625</v>
      </c>
      <c r="F40" s="24">
        <v>4230540</v>
      </c>
      <c r="G40" s="24">
        <f>SUM('- 52 -'!$B40:G40,B40:F40)</f>
        <v>25001110</v>
      </c>
    </row>
    <row r="41" spans="1:7" ht="14.1" customHeight="1">
      <c r="A41" s="360" t="s">
        <v>259</v>
      </c>
      <c r="B41" s="361">
        <v>1409431</v>
      </c>
      <c r="C41" s="361">
        <v>359595</v>
      </c>
      <c r="D41" s="361">
        <v>201724</v>
      </c>
      <c r="E41" s="361">
        <v>93125</v>
      </c>
      <c r="F41" s="361">
        <v>2181105</v>
      </c>
      <c r="G41" s="361">
        <f>SUM('- 52 -'!$B41:G41,B41:F41)</f>
        <v>14229827</v>
      </c>
    </row>
    <row r="42" spans="1:7" ht="14.1" customHeight="1">
      <c r="A42" s="23" t="s">
        <v>260</v>
      </c>
      <c r="B42" s="24">
        <v>471036</v>
      </c>
      <c r="C42" s="24">
        <v>114324</v>
      </c>
      <c r="D42" s="24">
        <v>71104</v>
      </c>
      <c r="E42" s="24">
        <v>31875</v>
      </c>
      <c r="F42" s="24">
        <v>1052505</v>
      </c>
      <c r="G42" s="24">
        <f>SUM('- 52 -'!$B42:G42,B42:F42)</f>
        <v>5024827</v>
      </c>
    </row>
    <row r="43" spans="1:7" ht="14.1" customHeight="1">
      <c r="A43" s="360" t="s">
        <v>261</v>
      </c>
      <c r="B43" s="361">
        <v>308540</v>
      </c>
      <c r="C43" s="361">
        <v>80114</v>
      </c>
      <c r="D43" s="361">
        <v>44942</v>
      </c>
      <c r="E43" s="361">
        <v>24000</v>
      </c>
      <c r="F43" s="361">
        <v>598500</v>
      </c>
      <c r="G43" s="361">
        <f>SUM('- 52 -'!$B43:G43,B43:F43)</f>
        <v>3441015</v>
      </c>
    </row>
    <row r="44" spans="1:7" ht="14.1" customHeight="1">
      <c r="A44" s="23" t="s">
        <v>262</v>
      </c>
      <c r="B44" s="24">
        <v>339628</v>
      </c>
      <c r="C44" s="24">
        <v>58507</v>
      </c>
      <c r="D44" s="24">
        <v>32821</v>
      </c>
      <c r="E44" s="24">
        <v>12500</v>
      </c>
      <c r="F44" s="24">
        <v>628425</v>
      </c>
      <c r="G44" s="24">
        <f>SUM('- 52 -'!$B44:G44,B44:F44)</f>
        <v>2925862</v>
      </c>
    </row>
    <row r="45" spans="1:7" ht="14.1" customHeight="1">
      <c r="A45" s="360" t="s">
        <v>263</v>
      </c>
      <c r="B45" s="361">
        <v>511195</v>
      </c>
      <c r="C45" s="361">
        <v>131143</v>
      </c>
      <c r="D45" s="361">
        <v>73568</v>
      </c>
      <c r="E45" s="361">
        <v>36375</v>
      </c>
      <c r="F45" s="361">
        <v>589950</v>
      </c>
      <c r="G45" s="361">
        <f>SUM('- 52 -'!$B45:G45,B45:F45)</f>
        <v>4783779</v>
      </c>
    </row>
    <row r="46" spans="1:7" ht="14.1" customHeight="1">
      <c r="A46" s="23" t="s">
        <v>264</v>
      </c>
      <c r="B46" s="24">
        <v>16545234</v>
      </c>
      <c r="C46" s="24">
        <v>2445002</v>
      </c>
      <c r="D46" s="24">
        <v>1162867</v>
      </c>
      <c r="E46" s="24">
        <v>748625</v>
      </c>
      <c r="F46" s="24">
        <v>14594850</v>
      </c>
      <c r="G46" s="24">
        <f>SUM('- 52 -'!$B46:G46,B46:F46)</f>
        <v>99274510</v>
      </c>
    </row>
    <row r="47" spans="1:7" ht="5.0999999999999996" customHeight="1">
      <c r="A47"/>
      <c r="B47"/>
      <c r="C47"/>
      <c r="D47"/>
      <c r="E47"/>
      <c r="F47"/>
      <c r="G47"/>
    </row>
    <row r="48" spans="1:7" ht="14.1" customHeight="1">
      <c r="A48" s="363" t="s">
        <v>265</v>
      </c>
      <c r="B48" s="364">
        <f t="shared" ref="B48:G48" si="0">SUM(B11:B46)</f>
        <v>62137114</v>
      </c>
      <c r="C48" s="364">
        <f t="shared" si="0"/>
        <v>13614601</v>
      </c>
      <c r="D48" s="364">
        <f t="shared" si="0"/>
        <v>6815972</v>
      </c>
      <c r="E48" s="364">
        <f t="shared" si="0"/>
        <v>3872288</v>
      </c>
      <c r="F48" s="364">
        <f t="shared" si="0"/>
        <v>85293140</v>
      </c>
      <c r="G48" s="364">
        <f t="shared" si="0"/>
        <v>538710554</v>
      </c>
    </row>
    <row r="49" spans="1:11" ht="5.0999999999999996" customHeight="1">
      <c r="A49" s="25" t="s">
        <v>3</v>
      </c>
      <c r="B49" s="26"/>
      <c r="C49" s="26"/>
      <c r="D49" s="26"/>
      <c r="E49" s="26"/>
      <c r="F49" s="26"/>
      <c r="G49" s="26"/>
    </row>
    <row r="50" spans="1:11" ht="14.45" customHeight="1">
      <c r="A50" s="23" t="s">
        <v>266</v>
      </c>
      <c r="B50" s="24">
        <v>53283</v>
      </c>
      <c r="C50" s="24">
        <v>13694</v>
      </c>
      <c r="D50" s="24">
        <v>7682</v>
      </c>
      <c r="E50" s="24">
        <v>3375</v>
      </c>
      <c r="F50" s="24">
        <v>236835</v>
      </c>
      <c r="G50" s="24">
        <f>SUM('- 52 -'!$B50:G50,B50:F50)</f>
        <v>600274</v>
      </c>
    </row>
    <row r="51" spans="1:11" ht="14.1" customHeight="1">
      <c r="A51" s="360" t="s">
        <v>267</v>
      </c>
      <c r="B51" s="361">
        <v>0</v>
      </c>
      <c r="C51" s="361">
        <v>0</v>
      </c>
      <c r="D51" s="361">
        <v>0</v>
      </c>
      <c r="E51" s="361">
        <v>0</v>
      </c>
      <c r="F51" s="361">
        <v>0</v>
      </c>
      <c r="G51" s="361">
        <f>SUM('- 52 -'!$B51:G51,B51:F51)</f>
        <v>0</v>
      </c>
      <c r="H51" s="1">
        <v>0</v>
      </c>
    </row>
    <row r="52" spans="1:11" ht="50.1" customHeight="1">
      <c r="A52" s="27"/>
      <c r="B52" s="27"/>
      <c r="C52" s="27"/>
      <c r="D52" s="27"/>
      <c r="E52" s="27"/>
      <c r="F52" s="27"/>
      <c r="G52" s="530"/>
      <c r="H52"/>
      <c r="I52"/>
      <c r="J52"/>
      <c r="K52"/>
    </row>
    <row r="53" spans="1:11" ht="15" customHeight="1">
      <c r="A53" s="39" t="s">
        <v>545</v>
      </c>
      <c r="B53" s="39"/>
      <c r="D53" s="39"/>
      <c r="E53" s="39"/>
      <c r="F53" s="39"/>
      <c r="G53" s="608"/>
      <c r="H53" s="608"/>
      <c r="I53" s="608"/>
      <c r="J53" s="608"/>
      <c r="K53" s="608"/>
    </row>
    <row r="54" spans="1:11" ht="14.45" customHeight="1">
      <c r="A54" s="608"/>
      <c r="B54" s="608"/>
      <c r="C54" s="608"/>
      <c r="D54" s="608"/>
      <c r="E54" s="608"/>
      <c r="F54" s="608"/>
      <c r="G54" s="608"/>
      <c r="H54" s="608"/>
      <c r="I54" s="608"/>
      <c r="J54" s="608"/>
      <c r="K54" s="608"/>
    </row>
    <row r="55" spans="1:11" ht="14.45" customHeight="1">
      <c r="A55" s="39"/>
      <c r="B55" s="39"/>
      <c r="D55" s="39"/>
      <c r="E55" s="39"/>
      <c r="F55" s="39"/>
      <c r="G55" s="39"/>
    </row>
    <row r="56" spans="1:11" ht="14.45" customHeight="1">
      <c r="D56" s="115"/>
      <c r="E56" s="115"/>
      <c r="F56" s="115"/>
      <c r="G56" s="115"/>
    </row>
    <row r="57" spans="1:11" ht="14.45" customHeight="1"/>
    <row r="58" spans="1:11" ht="14.45" customHeight="1"/>
    <row r="59" spans="1:11" ht="14.45" customHeight="1"/>
  </sheetData>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&amp;C&amp;"Arial,Bold"&amp;10&amp;A</oddHeader>
  </headerFooter>
</worksheet>
</file>

<file path=xl/worksheets/sheet47.xml><?xml version="1.0" encoding="utf-8"?>
<worksheet xmlns="http://schemas.openxmlformats.org/spreadsheetml/2006/main" xmlns:r="http://schemas.openxmlformats.org/officeDocument/2006/relationships">
  <sheetPr codeName="Sheet47">
    <pageSetUpPr fitToPage="1"/>
  </sheetPr>
  <dimension ref="A1:F58"/>
  <sheetViews>
    <sheetView showGridLines="0" showZeros="0" workbookViewId="0"/>
  </sheetViews>
  <sheetFormatPr defaultColWidth="19.83203125" defaultRowHeight="12"/>
  <cols>
    <col min="1" max="1" width="29.83203125" style="1" customWidth="1"/>
    <col min="2" max="2" width="21.83203125" style="1" customWidth="1"/>
    <col min="3" max="3" width="19.83203125" style="1" customWidth="1"/>
    <col min="4" max="4" width="18.83203125" style="1" customWidth="1"/>
    <col min="5" max="5" width="20.83203125" style="1" customWidth="1"/>
    <col min="6" max="6" width="21.83203125" style="1" customWidth="1"/>
    <col min="7" max="7" width="14.83203125" style="1" customWidth="1"/>
    <col min="8" max="16384" width="19.83203125" style="1"/>
  </cols>
  <sheetData>
    <row r="1" spans="1:6" ht="6.95" customHeight="1">
      <c r="A1" s="3"/>
      <c r="B1" s="3"/>
      <c r="C1" s="3"/>
      <c r="D1" s="3"/>
      <c r="E1" s="3"/>
      <c r="F1" s="3"/>
    </row>
    <row r="2" spans="1:6" ht="15.95" customHeight="1">
      <c r="A2" s="306"/>
      <c r="B2" s="73" t="str">
        <f>REVYEAR</f>
        <v>ANALYSIS OF OPERATING FUND REVENUE: 2013/2014 BUDGET</v>
      </c>
      <c r="C2" s="307"/>
      <c r="D2" s="311"/>
      <c r="E2" s="311"/>
      <c r="F2" s="250" t="s">
        <v>200</v>
      </c>
    </row>
    <row r="3" spans="1:6" ht="15.95" customHeight="1">
      <c r="A3" s="245"/>
      <c r="B3" s="245"/>
      <c r="C3" s="3"/>
      <c r="D3" s="3"/>
      <c r="E3" s="3"/>
      <c r="F3" s="3"/>
    </row>
    <row r="4" spans="1:6" ht="15.95" customHeight="1">
      <c r="B4" s="439" t="s">
        <v>77</v>
      </c>
      <c r="C4" s="369"/>
      <c r="D4" s="368"/>
      <c r="E4" s="368"/>
      <c r="F4" s="368"/>
    </row>
    <row r="5" spans="1:6" ht="15.95" customHeight="1">
      <c r="B5" s="462" t="s">
        <v>221</v>
      </c>
      <c r="C5" s="434"/>
      <c r="D5" s="471"/>
      <c r="E5" s="471"/>
      <c r="F5" s="471"/>
    </row>
    <row r="6" spans="1:6" ht="15.95" customHeight="1">
      <c r="B6" s="309" t="s">
        <v>100</v>
      </c>
      <c r="C6" s="129"/>
      <c r="D6" s="129"/>
      <c r="E6" s="128"/>
      <c r="F6" s="189"/>
    </row>
    <row r="7" spans="1:6" ht="15.95" customHeight="1">
      <c r="B7" s="252"/>
      <c r="C7" s="252"/>
      <c r="D7" s="252" t="s">
        <v>187</v>
      </c>
      <c r="E7" s="252" t="s">
        <v>427</v>
      </c>
      <c r="F7" s="252" t="s">
        <v>203</v>
      </c>
    </row>
    <row r="8" spans="1:6" ht="15.95" customHeight="1">
      <c r="A8" s="102"/>
      <c r="B8" s="310" t="s">
        <v>23</v>
      </c>
      <c r="C8" s="254" t="s">
        <v>112</v>
      </c>
      <c r="D8" s="254" t="s">
        <v>22</v>
      </c>
      <c r="E8" s="254" t="s">
        <v>428</v>
      </c>
      <c r="F8" s="254" t="s">
        <v>204</v>
      </c>
    </row>
    <row r="9" spans="1:6" ht="15.95" customHeight="1">
      <c r="A9" s="35" t="s">
        <v>81</v>
      </c>
      <c r="B9" s="312" t="s">
        <v>189</v>
      </c>
      <c r="C9" s="119" t="s">
        <v>410</v>
      </c>
      <c r="D9" s="119" t="s">
        <v>77</v>
      </c>
      <c r="E9" s="119" t="s">
        <v>85</v>
      </c>
      <c r="F9" s="119" t="s">
        <v>213</v>
      </c>
    </row>
    <row r="10" spans="1:6" ht="5.0999999999999996" customHeight="1">
      <c r="A10" s="37"/>
      <c r="B10" s="3"/>
      <c r="C10" s="3"/>
      <c r="D10" s="3"/>
      <c r="E10" s="3"/>
    </row>
    <row r="11" spans="1:6" ht="14.1" customHeight="1">
      <c r="A11" s="360" t="s">
        <v>230</v>
      </c>
      <c r="B11" s="361">
        <v>661211</v>
      </c>
      <c r="C11" s="361">
        <v>671977</v>
      </c>
      <c r="D11" s="361">
        <v>51673</v>
      </c>
      <c r="E11" s="361">
        <v>120420</v>
      </c>
      <c r="F11" s="361">
        <v>37500</v>
      </c>
    </row>
    <row r="12" spans="1:6" ht="14.1" customHeight="1">
      <c r="A12" s="23" t="s">
        <v>231</v>
      </c>
      <c r="B12" s="24">
        <v>1319837</v>
      </c>
      <c r="C12" s="24">
        <v>1152753</v>
      </c>
      <c r="D12" s="24">
        <v>234850</v>
      </c>
      <c r="E12" s="24">
        <v>131000</v>
      </c>
      <c r="F12" s="24">
        <v>45000</v>
      </c>
    </row>
    <row r="13" spans="1:6" ht="14.1" customHeight="1">
      <c r="A13" s="360" t="s">
        <v>232</v>
      </c>
      <c r="B13" s="361">
        <v>986000</v>
      </c>
      <c r="C13" s="361">
        <v>3143100</v>
      </c>
      <c r="D13" s="361">
        <v>565200</v>
      </c>
      <c r="E13" s="361">
        <v>874400</v>
      </c>
      <c r="F13" s="361">
        <v>342500</v>
      </c>
    </row>
    <row r="14" spans="1:6" ht="14.1" customHeight="1">
      <c r="A14" s="23" t="s">
        <v>578</v>
      </c>
      <c r="B14" s="24">
        <v>3076268</v>
      </c>
      <c r="C14" s="24">
        <v>1931813</v>
      </c>
      <c r="D14" s="24">
        <v>25603</v>
      </c>
      <c r="E14" s="24">
        <v>230725</v>
      </c>
      <c r="F14" s="24">
        <v>294500</v>
      </c>
    </row>
    <row r="15" spans="1:6" ht="14.1" customHeight="1">
      <c r="A15" s="360" t="s">
        <v>233</v>
      </c>
      <c r="B15" s="361">
        <v>886933</v>
      </c>
      <c r="C15" s="361">
        <v>932390</v>
      </c>
      <c r="D15" s="361">
        <v>79530</v>
      </c>
      <c r="E15" s="361">
        <v>14350</v>
      </c>
      <c r="F15" s="361">
        <v>87500</v>
      </c>
    </row>
    <row r="16" spans="1:6" ht="14.1" customHeight="1">
      <c r="A16" s="23" t="s">
        <v>234</v>
      </c>
      <c r="B16" s="24">
        <v>102132</v>
      </c>
      <c r="C16" s="24">
        <v>570757</v>
      </c>
      <c r="D16" s="24">
        <v>46750</v>
      </c>
      <c r="E16" s="24">
        <v>1600</v>
      </c>
      <c r="F16" s="24">
        <v>78500</v>
      </c>
    </row>
    <row r="17" spans="1:6" ht="14.1" customHeight="1">
      <c r="A17" s="360" t="s">
        <v>235</v>
      </c>
      <c r="B17" s="361">
        <v>866987</v>
      </c>
      <c r="C17" s="361">
        <v>706297</v>
      </c>
      <c r="D17" s="361">
        <v>79145</v>
      </c>
      <c r="E17" s="361">
        <v>21500</v>
      </c>
      <c r="F17" s="361">
        <v>15000</v>
      </c>
    </row>
    <row r="18" spans="1:6" ht="14.1" customHeight="1">
      <c r="A18" s="23" t="s">
        <v>236</v>
      </c>
      <c r="B18" s="24">
        <v>1404462</v>
      </c>
      <c r="C18" s="24">
        <v>1852523</v>
      </c>
      <c r="D18" s="24">
        <v>121633</v>
      </c>
      <c r="E18" s="24">
        <v>3800</v>
      </c>
      <c r="F18" s="24">
        <v>723200</v>
      </c>
    </row>
    <row r="19" spans="1:6" ht="14.1" customHeight="1">
      <c r="A19" s="360" t="s">
        <v>237</v>
      </c>
      <c r="B19" s="361">
        <v>1454289</v>
      </c>
      <c r="C19" s="361">
        <v>1717782</v>
      </c>
      <c r="D19" s="361">
        <v>305085</v>
      </c>
      <c r="E19" s="361">
        <v>665550</v>
      </c>
      <c r="F19" s="361">
        <v>15000</v>
      </c>
    </row>
    <row r="20" spans="1:6" ht="14.1" customHeight="1">
      <c r="A20" s="23" t="s">
        <v>238</v>
      </c>
      <c r="B20" s="24">
        <v>2620832</v>
      </c>
      <c r="C20" s="24">
        <v>3566248</v>
      </c>
      <c r="D20" s="24">
        <v>509740</v>
      </c>
      <c r="E20" s="24">
        <v>567650</v>
      </c>
      <c r="F20" s="24">
        <v>97500</v>
      </c>
    </row>
    <row r="21" spans="1:6" ht="14.1" customHeight="1">
      <c r="A21" s="360" t="s">
        <v>239</v>
      </c>
      <c r="B21" s="361">
        <v>1270196</v>
      </c>
      <c r="C21" s="361">
        <v>1494185</v>
      </c>
      <c r="D21" s="361">
        <v>137033</v>
      </c>
      <c r="E21" s="361">
        <v>44800</v>
      </c>
      <c r="F21" s="361">
        <v>90000</v>
      </c>
    </row>
    <row r="22" spans="1:6" ht="14.1" customHeight="1">
      <c r="A22" s="23" t="s">
        <v>240</v>
      </c>
      <c r="B22" s="24">
        <v>303477</v>
      </c>
      <c r="C22" s="24">
        <v>1010569</v>
      </c>
      <c r="D22" s="24">
        <v>40755</v>
      </c>
      <c r="E22" s="24">
        <v>8400</v>
      </c>
      <c r="F22" s="24">
        <v>142500</v>
      </c>
    </row>
    <row r="23" spans="1:6" ht="14.1" customHeight="1">
      <c r="A23" s="360" t="s">
        <v>241</v>
      </c>
      <c r="B23" s="361">
        <v>1019369</v>
      </c>
      <c r="C23" s="361">
        <v>942299</v>
      </c>
      <c r="D23" s="361">
        <v>70070</v>
      </c>
      <c r="E23" s="361">
        <v>17450</v>
      </c>
      <c r="F23" s="361">
        <v>97500</v>
      </c>
    </row>
    <row r="24" spans="1:6" ht="14.1" customHeight="1">
      <c r="A24" s="23" t="s">
        <v>242</v>
      </c>
      <c r="B24" s="24">
        <v>1801031</v>
      </c>
      <c r="C24" s="24">
        <v>2838496</v>
      </c>
      <c r="D24" s="24">
        <v>425700</v>
      </c>
      <c r="E24" s="24">
        <v>14400</v>
      </c>
      <c r="F24" s="24">
        <v>292000</v>
      </c>
    </row>
    <row r="25" spans="1:6" ht="14.1" customHeight="1">
      <c r="A25" s="360" t="s">
        <v>243</v>
      </c>
      <c r="B25" s="361">
        <v>1186106</v>
      </c>
      <c r="C25" s="361">
        <v>7379048</v>
      </c>
      <c r="D25" s="361">
        <v>708731</v>
      </c>
      <c r="E25" s="361">
        <v>791825</v>
      </c>
      <c r="F25" s="361">
        <v>597500</v>
      </c>
    </row>
    <row r="26" spans="1:6" ht="14.1" customHeight="1">
      <c r="A26" s="23" t="s">
        <v>244</v>
      </c>
      <c r="B26" s="24">
        <v>1586862</v>
      </c>
      <c r="C26" s="24">
        <v>1485943</v>
      </c>
      <c r="D26" s="24">
        <v>229406</v>
      </c>
      <c r="E26" s="24">
        <v>8300</v>
      </c>
      <c r="F26" s="24">
        <v>215000</v>
      </c>
    </row>
    <row r="27" spans="1:6" ht="14.1" customHeight="1">
      <c r="A27" s="360" t="s">
        <v>245</v>
      </c>
      <c r="B27" s="361">
        <v>46468</v>
      </c>
      <c r="C27" s="361">
        <v>1525355</v>
      </c>
      <c r="D27" s="361">
        <v>215243</v>
      </c>
      <c r="E27" s="361">
        <v>79525</v>
      </c>
      <c r="F27" s="361">
        <v>267000</v>
      </c>
    </row>
    <row r="28" spans="1:6" ht="14.1" customHeight="1">
      <c r="A28" s="23" t="s">
        <v>246</v>
      </c>
      <c r="B28" s="24">
        <v>1326481</v>
      </c>
      <c r="C28" s="24">
        <v>534827</v>
      </c>
      <c r="D28" s="24">
        <v>78870</v>
      </c>
      <c r="E28" s="24">
        <v>29250</v>
      </c>
      <c r="F28" s="24">
        <v>71000</v>
      </c>
    </row>
    <row r="29" spans="1:6" ht="14.1" customHeight="1">
      <c r="A29" s="360" t="s">
        <v>247</v>
      </c>
      <c r="B29" s="361">
        <v>800230</v>
      </c>
      <c r="C29" s="361">
        <v>6919399</v>
      </c>
      <c r="D29" s="361">
        <v>268758</v>
      </c>
      <c r="E29" s="361">
        <v>1208200</v>
      </c>
      <c r="F29" s="361">
        <v>270000</v>
      </c>
    </row>
    <row r="30" spans="1:6" ht="14.1" customHeight="1">
      <c r="A30" s="23" t="s">
        <v>248</v>
      </c>
      <c r="B30" s="24">
        <v>718271</v>
      </c>
      <c r="C30" s="24">
        <v>580608</v>
      </c>
      <c r="D30" s="24">
        <v>49665</v>
      </c>
      <c r="E30" s="24">
        <v>55950</v>
      </c>
      <c r="F30" s="24">
        <v>42500</v>
      </c>
    </row>
    <row r="31" spans="1:6" ht="14.1" customHeight="1">
      <c r="A31" s="360" t="s">
        <v>249</v>
      </c>
      <c r="B31" s="361">
        <v>818810</v>
      </c>
      <c r="C31" s="361">
        <v>1682029</v>
      </c>
      <c r="D31" s="361">
        <v>184030</v>
      </c>
      <c r="E31" s="361">
        <v>105450</v>
      </c>
      <c r="F31" s="361">
        <v>228500</v>
      </c>
    </row>
    <row r="32" spans="1:6" ht="14.1" customHeight="1">
      <c r="A32" s="23" t="s">
        <v>250</v>
      </c>
      <c r="B32" s="24">
        <v>1307657</v>
      </c>
      <c r="C32" s="24">
        <v>829985</v>
      </c>
      <c r="D32" s="24">
        <v>144898</v>
      </c>
      <c r="E32" s="24">
        <v>93000</v>
      </c>
      <c r="F32" s="24">
        <v>82500</v>
      </c>
    </row>
    <row r="33" spans="1:6" ht="14.1" customHeight="1">
      <c r="A33" s="360" t="s">
        <v>251</v>
      </c>
      <c r="B33" s="361">
        <v>1387620</v>
      </c>
      <c r="C33" s="361">
        <v>775719</v>
      </c>
      <c r="D33" s="361">
        <v>86406</v>
      </c>
      <c r="E33" s="361">
        <v>130000</v>
      </c>
      <c r="F33" s="361">
        <v>37500</v>
      </c>
    </row>
    <row r="34" spans="1:6" ht="14.1" customHeight="1">
      <c r="A34" s="23" t="s">
        <v>252</v>
      </c>
      <c r="B34" s="24">
        <v>1392909</v>
      </c>
      <c r="C34" s="24">
        <v>1023659</v>
      </c>
      <c r="D34" s="24">
        <v>88413</v>
      </c>
      <c r="E34" s="24">
        <v>72300</v>
      </c>
      <c r="F34" s="24">
        <v>90000</v>
      </c>
    </row>
    <row r="35" spans="1:6" ht="14.1" customHeight="1">
      <c r="A35" s="360" t="s">
        <v>253</v>
      </c>
      <c r="B35" s="361">
        <v>1677615</v>
      </c>
      <c r="C35" s="361">
        <v>8263102</v>
      </c>
      <c r="D35" s="361">
        <v>1078771</v>
      </c>
      <c r="E35" s="361">
        <v>648050</v>
      </c>
      <c r="F35" s="361">
        <v>682500</v>
      </c>
    </row>
    <row r="36" spans="1:6" ht="14.1" customHeight="1">
      <c r="A36" s="23" t="s">
        <v>254</v>
      </c>
      <c r="B36" s="24">
        <v>919154</v>
      </c>
      <c r="C36" s="24">
        <v>810231</v>
      </c>
      <c r="D36" s="24">
        <v>24695</v>
      </c>
      <c r="E36" s="24">
        <v>43100</v>
      </c>
      <c r="F36" s="24">
        <v>65000</v>
      </c>
    </row>
    <row r="37" spans="1:6" ht="14.1" customHeight="1">
      <c r="A37" s="360" t="s">
        <v>255</v>
      </c>
      <c r="B37" s="361">
        <v>1792447</v>
      </c>
      <c r="C37" s="361">
        <v>2470816</v>
      </c>
      <c r="D37" s="361">
        <v>116573</v>
      </c>
      <c r="E37" s="361">
        <v>143850</v>
      </c>
      <c r="F37" s="361">
        <v>232500</v>
      </c>
    </row>
    <row r="38" spans="1:6" ht="14.1" customHeight="1">
      <c r="A38" s="23" t="s">
        <v>256</v>
      </c>
      <c r="B38" s="24">
        <v>1085612</v>
      </c>
      <c r="C38" s="24">
        <v>6592706</v>
      </c>
      <c r="D38" s="24">
        <v>373808</v>
      </c>
      <c r="E38" s="24">
        <v>1001020</v>
      </c>
      <c r="F38" s="24">
        <v>341500</v>
      </c>
    </row>
    <row r="39" spans="1:6" ht="14.1" customHeight="1">
      <c r="A39" s="360" t="s">
        <v>257</v>
      </c>
      <c r="B39" s="361">
        <v>1162337</v>
      </c>
      <c r="C39" s="361">
        <v>633159</v>
      </c>
      <c r="D39" s="361">
        <v>43780</v>
      </c>
      <c r="E39" s="361">
        <v>50000</v>
      </c>
      <c r="F39" s="361">
        <v>22500</v>
      </c>
    </row>
    <row r="40" spans="1:6" ht="14.1" customHeight="1">
      <c r="A40" s="23" t="s">
        <v>258</v>
      </c>
      <c r="B40" s="24">
        <v>591915</v>
      </c>
      <c r="C40" s="24">
        <v>4681930</v>
      </c>
      <c r="D40" s="24">
        <v>700481</v>
      </c>
      <c r="E40" s="24">
        <v>355400</v>
      </c>
      <c r="F40" s="24">
        <v>356200</v>
      </c>
    </row>
    <row r="41" spans="1:6" ht="14.1" customHeight="1">
      <c r="A41" s="360" t="s">
        <v>259</v>
      </c>
      <c r="B41" s="361">
        <v>2873356</v>
      </c>
      <c r="C41" s="361">
        <v>2744997</v>
      </c>
      <c r="D41" s="361">
        <v>172398</v>
      </c>
      <c r="E41" s="361">
        <v>81175</v>
      </c>
      <c r="F41" s="361">
        <v>199500</v>
      </c>
    </row>
    <row r="42" spans="1:6" ht="14.1" customHeight="1">
      <c r="A42" s="23" t="s">
        <v>260</v>
      </c>
      <c r="B42" s="24">
        <v>1030257</v>
      </c>
      <c r="C42" s="24">
        <v>1020653</v>
      </c>
      <c r="D42" s="24">
        <v>187000</v>
      </c>
      <c r="E42" s="24">
        <v>12800</v>
      </c>
      <c r="F42" s="24">
        <v>140000</v>
      </c>
    </row>
    <row r="43" spans="1:6" ht="14.1" customHeight="1">
      <c r="A43" s="360" t="s">
        <v>261</v>
      </c>
      <c r="B43" s="361">
        <v>602142</v>
      </c>
      <c r="C43" s="361">
        <v>505532</v>
      </c>
      <c r="D43" s="361">
        <v>28435</v>
      </c>
      <c r="E43" s="361">
        <v>47800</v>
      </c>
      <c r="F43" s="361">
        <v>22500</v>
      </c>
    </row>
    <row r="44" spans="1:6" ht="14.1" customHeight="1">
      <c r="A44" s="23" t="s">
        <v>262</v>
      </c>
      <c r="B44" s="24">
        <v>769114</v>
      </c>
      <c r="C44" s="24">
        <v>626649</v>
      </c>
      <c r="D44" s="24">
        <v>24558</v>
      </c>
      <c r="E44" s="24">
        <v>13650</v>
      </c>
      <c r="F44" s="24">
        <v>90000</v>
      </c>
    </row>
    <row r="45" spans="1:6" ht="14.1" customHeight="1">
      <c r="A45" s="360" t="s">
        <v>263</v>
      </c>
      <c r="B45" s="361">
        <v>478976</v>
      </c>
      <c r="C45" s="361">
        <v>740687</v>
      </c>
      <c r="D45" s="361">
        <v>115775</v>
      </c>
      <c r="E45" s="361">
        <v>126100</v>
      </c>
      <c r="F45" s="361">
        <v>22500</v>
      </c>
    </row>
    <row r="46" spans="1:6" ht="14.1" customHeight="1">
      <c r="A46" s="23" t="s">
        <v>264</v>
      </c>
      <c r="B46" s="24">
        <v>1364042</v>
      </c>
      <c r="C46" s="24">
        <v>15766819</v>
      </c>
      <c r="D46" s="24">
        <v>1719520</v>
      </c>
      <c r="E46" s="24">
        <v>3476190</v>
      </c>
      <c r="F46" s="24">
        <v>2070000</v>
      </c>
    </row>
    <row r="47" spans="1:6" ht="5.0999999999999996" customHeight="1">
      <c r="A47"/>
      <c r="B47"/>
      <c r="C47"/>
      <c r="D47"/>
      <c r="E47"/>
      <c r="F47"/>
    </row>
    <row r="48" spans="1:6" ht="14.1" customHeight="1">
      <c r="A48" s="363" t="s">
        <v>265</v>
      </c>
      <c r="B48" s="364">
        <f>SUM(B11:B46)</f>
        <v>42691405</v>
      </c>
      <c r="C48" s="364">
        <f>SUM(C11:C46)</f>
        <v>90125042</v>
      </c>
      <c r="D48" s="364">
        <f>SUM(D11:D46)</f>
        <v>9332981</v>
      </c>
      <c r="E48" s="364">
        <f>SUM(E11:E46)</f>
        <v>11288980</v>
      </c>
      <c r="F48" s="364">
        <f>SUM(F11:F46)</f>
        <v>8504400</v>
      </c>
    </row>
    <row r="49" spans="1:6" ht="5.0999999999999996" customHeight="1">
      <c r="A49" s="25" t="s">
        <v>3</v>
      </c>
      <c r="B49" s="26"/>
      <c r="C49" s="26"/>
      <c r="D49" s="26"/>
      <c r="E49" s="26"/>
      <c r="F49" s="26"/>
    </row>
    <row r="50" spans="1:6" ht="14.45" customHeight="1">
      <c r="A50" s="23" t="s">
        <v>266</v>
      </c>
      <c r="B50" s="24">
        <v>1190</v>
      </c>
      <c r="C50" s="24">
        <v>129618</v>
      </c>
      <c r="D50" s="24">
        <v>9213</v>
      </c>
      <c r="E50" s="24">
        <v>1550</v>
      </c>
      <c r="F50" s="24">
        <v>0</v>
      </c>
    </row>
    <row r="51" spans="1:6" ht="14.1" customHeight="1">
      <c r="A51" s="360" t="s">
        <v>267</v>
      </c>
      <c r="B51" s="361">
        <v>0</v>
      </c>
      <c r="C51" s="361">
        <v>0</v>
      </c>
      <c r="D51" s="361">
        <v>0</v>
      </c>
      <c r="E51" s="361">
        <v>0</v>
      </c>
      <c r="F51" s="361">
        <v>0</v>
      </c>
    </row>
    <row r="52" spans="1:6" ht="50.1" customHeight="1">
      <c r="A52" s="27"/>
      <c r="B52" s="27"/>
      <c r="C52" s="27"/>
      <c r="D52" s="27"/>
      <c r="E52" s="27"/>
      <c r="F52" s="27"/>
    </row>
    <row r="53" spans="1:6" ht="15" customHeight="1">
      <c r="A53" s="39" t="s">
        <v>582</v>
      </c>
      <c r="B53" s="279"/>
      <c r="C53" s="39"/>
      <c r="D53" s="39"/>
      <c r="E53" s="39"/>
      <c r="F53" s="39"/>
    </row>
    <row r="54" spans="1:6" ht="12" customHeight="1">
      <c r="A54" s="39" t="str">
        <f>"(2)  Includes support for coordinators, clinicians and Level 2 and 3 pupils. Note: total special needs support is"&amp;" $"&amp;TEXT(C48+'- 53 -'!B48,"000,000")&amp; " (Student Services,"</f>
        <v>(2)  Includes support for coordinators, clinicians and Level 2 and 3 pupils. Note: total special needs support is $152,262,156 (Student Services,</v>
      </c>
      <c r="B54" s="39"/>
      <c r="C54" s="39"/>
      <c r="D54" s="39"/>
      <c r="E54" s="39"/>
      <c r="F54" s="314"/>
    </row>
    <row r="55" spans="1:6" ht="12" customHeight="1">
      <c r="A55" s="1" t="s">
        <v>500</v>
      </c>
      <c r="C55" s="39"/>
      <c r="D55" s="39"/>
      <c r="E55" s="39"/>
      <c r="F55" s="39"/>
    </row>
    <row r="56" spans="1:6" ht="14.45" customHeight="1">
      <c r="A56" s="313"/>
      <c r="B56" s="39"/>
      <c r="C56" s="315"/>
      <c r="D56" s="39"/>
      <c r="E56" s="39"/>
      <c r="F56" s="39"/>
    </row>
    <row r="57" spans="1:6" ht="14.45" customHeight="1">
      <c r="A57" s="39"/>
    </row>
    <row r="58" spans="1:6" ht="14.45" customHeight="1"/>
  </sheetData>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&amp;C&amp;"Arial,Bold"&amp;10&amp;A</oddHeader>
  </headerFooter>
</worksheet>
</file>

<file path=xl/worksheets/sheet48.xml><?xml version="1.0" encoding="utf-8"?>
<worksheet xmlns="http://schemas.openxmlformats.org/spreadsheetml/2006/main" xmlns:r="http://schemas.openxmlformats.org/officeDocument/2006/relationships">
  <sheetPr codeName="Sheet46">
    <pageSetUpPr fitToPage="1"/>
  </sheetPr>
  <dimension ref="A1:F59"/>
  <sheetViews>
    <sheetView showGridLines="0" showZeros="0" workbookViewId="0"/>
  </sheetViews>
  <sheetFormatPr defaultColWidth="19.83203125" defaultRowHeight="12"/>
  <cols>
    <col min="1" max="1" width="33.83203125" style="1" customWidth="1"/>
    <col min="2" max="2" width="18.83203125" style="1" customWidth="1"/>
    <col min="3" max="4" width="19.83203125" style="1" customWidth="1"/>
    <col min="5" max="5" width="20.83203125" style="1" customWidth="1"/>
    <col min="6" max="6" width="19.83203125" style="1" customWidth="1"/>
    <col min="7" max="16384" width="19.83203125" style="1"/>
  </cols>
  <sheetData>
    <row r="1" spans="1:6" ht="6.95" customHeight="1">
      <c r="A1" s="3"/>
      <c r="B1" s="3"/>
      <c r="C1" s="3"/>
      <c r="D1" s="3"/>
      <c r="E1" s="3"/>
      <c r="F1" s="3"/>
    </row>
    <row r="2" spans="1:6" ht="15.95" customHeight="1">
      <c r="A2" s="306"/>
      <c r="B2" s="73" t="str">
        <f>REVYEAR</f>
        <v>ANALYSIS OF OPERATING FUND REVENUE: 2013/2014 BUDGET</v>
      </c>
      <c r="C2" s="307"/>
      <c r="D2" s="307"/>
      <c r="E2" s="307"/>
      <c r="F2" s="250" t="s">
        <v>201</v>
      </c>
    </row>
    <row r="3" spans="1:6" ht="15.95" customHeight="1">
      <c r="A3" s="245"/>
      <c r="B3" s="3"/>
      <c r="C3" s="3"/>
      <c r="D3" s="3"/>
      <c r="E3" s="3"/>
      <c r="F3" s="3"/>
    </row>
    <row r="4" spans="1:6" ht="15.95" customHeight="1">
      <c r="B4" s="439" t="s">
        <v>77</v>
      </c>
      <c r="C4" s="355"/>
      <c r="D4" s="355"/>
      <c r="E4" s="369"/>
      <c r="F4" s="368"/>
    </row>
    <row r="5" spans="1:6" ht="15.95" customHeight="1">
      <c r="B5" s="462" t="s">
        <v>221</v>
      </c>
      <c r="C5" s="448"/>
      <c r="D5" s="448"/>
      <c r="E5" s="434"/>
      <c r="F5" s="471"/>
    </row>
    <row r="6" spans="1:6" ht="15.95" customHeight="1">
      <c r="B6" s="309" t="s">
        <v>100</v>
      </c>
      <c r="C6" s="128"/>
      <c r="D6" s="128"/>
      <c r="E6" s="189"/>
      <c r="F6" s="189"/>
    </row>
    <row r="7" spans="1:6" ht="15.95" customHeight="1">
      <c r="B7" s="252" t="s">
        <v>70</v>
      </c>
      <c r="C7" s="252" t="s">
        <v>196</v>
      </c>
      <c r="D7" s="252" t="s">
        <v>196</v>
      </c>
      <c r="E7" s="32"/>
      <c r="F7" s="252" t="s">
        <v>54</v>
      </c>
    </row>
    <row r="8" spans="1:6" ht="15.95" customHeight="1">
      <c r="A8" s="102"/>
      <c r="B8" s="310" t="s">
        <v>85</v>
      </c>
      <c r="C8" s="254" t="s">
        <v>429</v>
      </c>
      <c r="D8" s="254" t="s">
        <v>206</v>
      </c>
      <c r="E8" s="254" t="s">
        <v>44</v>
      </c>
      <c r="F8" s="254" t="s">
        <v>118</v>
      </c>
    </row>
    <row r="9" spans="1:6" ht="15.95" customHeight="1">
      <c r="A9" s="35" t="s">
        <v>81</v>
      </c>
      <c r="B9" s="236" t="s">
        <v>205</v>
      </c>
      <c r="C9" s="119" t="s">
        <v>140</v>
      </c>
      <c r="D9" s="119" t="s">
        <v>197</v>
      </c>
      <c r="E9" s="119" t="s">
        <v>409</v>
      </c>
      <c r="F9" s="119" t="s">
        <v>136</v>
      </c>
    </row>
    <row r="10" spans="1:6" ht="5.0999999999999996" customHeight="1">
      <c r="A10" s="37"/>
      <c r="B10" s="3"/>
      <c r="C10" s="3"/>
      <c r="D10" s="3"/>
      <c r="E10" s="3"/>
      <c r="F10" s="3"/>
    </row>
    <row r="11" spans="1:6" ht="14.1" customHeight="1">
      <c r="A11" s="360" t="s">
        <v>230</v>
      </c>
      <c r="B11" s="361">
        <v>4570</v>
      </c>
      <c r="C11" s="361">
        <v>21450</v>
      </c>
      <c r="D11" s="361">
        <v>62370</v>
      </c>
      <c r="E11" s="361">
        <v>224084</v>
      </c>
      <c r="F11" s="361">
        <f>SUM('- 54 -'!$B11:F11,B11:E11)</f>
        <v>1855255</v>
      </c>
    </row>
    <row r="12" spans="1:6" ht="14.1" customHeight="1">
      <c r="A12" s="23" t="s">
        <v>231</v>
      </c>
      <c r="B12" s="24">
        <v>26180</v>
      </c>
      <c r="C12" s="24">
        <v>28674</v>
      </c>
      <c r="D12" s="24">
        <v>70785</v>
      </c>
      <c r="E12" s="24">
        <v>285091</v>
      </c>
      <c r="F12" s="24">
        <f>SUM('- 54 -'!$B12:F12,B12:E12)</f>
        <v>3294170</v>
      </c>
    </row>
    <row r="13" spans="1:6" ht="14.1" customHeight="1">
      <c r="A13" s="360" t="s">
        <v>232</v>
      </c>
      <c r="B13" s="361">
        <v>186500</v>
      </c>
      <c r="C13" s="361">
        <v>146400</v>
      </c>
      <c r="D13" s="361">
        <v>391700</v>
      </c>
      <c r="E13" s="361">
        <v>688200</v>
      </c>
      <c r="F13" s="361">
        <f>SUM('- 54 -'!$B13:F13,B13:E13)</f>
        <v>7324000</v>
      </c>
    </row>
    <row r="14" spans="1:6" ht="14.1" customHeight="1">
      <c r="A14" s="23" t="s">
        <v>578</v>
      </c>
      <c r="B14" s="24">
        <v>1405000</v>
      </c>
      <c r="C14" s="24">
        <v>91739</v>
      </c>
      <c r="D14" s="24">
        <v>246015</v>
      </c>
      <c r="E14" s="24">
        <v>636405</v>
      </c>
      <c r="F14" s="24">
        <f>SUM('- 54 -'!$B14:F14,B14:E14)</f>
        <v>7938068</v>
      </c>
    </row>
    <row r="15" spans="1:6" ht="14.1" customHeight="1">
      <c r="A15" s="360" t="s">
        <v>233</v>
      </c>
      <c r="B15" s="361">
        <v>6600</v>
      </c>
      <c r="C15" s="361">
        <v>18190</v>
      </c>
      <c r="D15" s="361">
        <v>52965</v>
      </c>
      <c r="E15" s="361">
        <v>88433</v>
      </c>
      <c r="F15" s="361">
        <f>SUM('- 54 -'!$B15:F15,B15:E15)</f>
        <v>2166891</v>
      </c>
    </row>
    <row r="16" spans="1:6" ht="14.1" customHeight="1">
      <c r="A16" s="23" t="s">
        <v>234</v>
      </c>
      <c r="B16" s="24">
        <v>22300</v>
      </c>
      <c r="C16" s="24">
        <v>13940</v>
      </c>
      <c r="D16" s="24">
        <v>40590</v>
      </c>
      <c r="E16" s="24">
        <v>677831</v>
      </c>
      <c r="F16" s="24">
        <f>SUM('- 54 -'!$B16:F16,B16:E16)</f>
        <v>1554400</v>
      </c>
    </row>
    <row r="17" spans="1:6" ht="14.1" customHeight="1">
      <c r="A17" s="360" t="s">
        <v>235</v>
      </c>
      <c r="B17" s="361">
        <v>3100</v>
      </c>
      <c r="C17" s="361">
        <v>18269</v>
      </c>
      <c r="D17" s="361">
        <v>48510</v>
      </c>
      <c r="E17" s="361">
        <v>116300</v>
      </c>
      <c r="F17" s="361">
        <f>SUM('- 54 -'!$B17:F17,B17:E17)</f>
        <v>1875108</v>
      </c>
    </row>
    <row r="18" spans="1:6" ht="14.1" customHeight="1">
      <c r="A18" s="23" t="s">
        <v>236</v>
      </c>
      <c r="B18" s="24">
        <v>600</v>
      </c>
      <c r="C18" s="24">
        <v>42618</v>
      </c>
      <c r="D18" s="24">
        <v>173320</v>
      </c>
      <c r="E18" s="24">
        <v>2905658</v>
      </c>
      <c r="F18" s="24">
        <f>SUM('- 54 -'!$B18:F18,B18:E18)</f>
        <v>7227814</v>
      </c>
    </row>
    <row r="19" spans="1:6" ht="14.1" customHeight="1">
      <c r="A19" s="360" t="s">
        <v>237</v>
      </c>
      <c r="B19" s="361">
        <v>4300</v>
      </c>
      <c r="C19" s="361">
        <v>62005</v>
      </c>
      <c r="D19" s="361">
        <v>163350</v>
      </c>
      <c r="E19" s="361">
        <v>109450</v>
      </c>
      <c r="F19" s="361">
        <f>SUM('- 54 -'!$B19:F19,B19:E19)</f>
        <v>4496811</v>
      </c>
    </row>
    <row r="20" spans="1:6" ht="14.1" customHeight="1">
      <c r="A20" s="23" t="s">
        <v>238</v>
      </c>
      <c r="B20" s="24">
        <v>31000</v>
      </c>
      <c r="C20" s="24">
        <v>115441</v>
      </c>
      <c r="D20" s="24">
        <v>310860</v>
      </c>
      <c r="E20" s="24">
        <v>566948</v>
      </c>
      <c r="F20" s="24">
        <f>SUM('- 54 -'!$B20:F20,B20:E20)</f>
        <v>8386219</v>
      </c>
    </row>
    <row r="21" spans="1:6" ht="14.1" customHeight="1">
      <c r="A21" s="360" t="s">
        <v>239</v>
      </c>
      <c r="B21" s="361">
        <v>45200</v>
      </c>
      <c r="C21" s="361">
        <v>34405</v>
      </c>
      <c r="D21" s="361">
        <v>98010</v>
      </c>
      <c r="E21" s="361">
        <v>392620</v>
      </c>
      <c r="F21" s="361">
        <f>SUM('- 54 -'!$B21:F21,B21:E21)</f>
        <v>3606449</v>
      </c>
    </row>
    <row r="22" spans="1:6" ht="14.1" customHeight="1">
      <c r="A22" s="23" t="s">
        <v>240</v>
      </c>
      <c r="B22" s="24">
        <v>44600</v>
      </c>
      <c r="C22" s="24">
        <v>31306</v>
      </c>
      <c r="D22" s="24">
        <v>78210</v>
      </c>
      <c r="E22" s="24">
        <v>1158668</v>
      </c>
      <c r="F22" s="24">
        <f>SUM('- 54 -'!$B22:F22,B22:E22)</f>
        <v>2818485</v>
      </c>
    </row>
    <row r="23" spans="1:6" ht="14.1" customHeight="1">
      <c r="A23" s="360" t="s">
        <v>241</v>
      </c>
      <c r="B23" s="361">
        <v>5650</v>
      </c>
      <c r="C23" s="361">
        <v>16385</v>
      </c>
      <c r="D23" s="361">
        <v>40095</v>
      </c>
      <c r="E23" s="361">
        <v>116202</v>
      </c>
      <c r="F23" s="361">
        <f>SUM('- 54 -'!$B23:F23,B23:E23)</f>
        <v>2325020</v>
      </c>
    </row>
    <row r="24" spans="1:6" ht="14.1" customHeight="1">
      <c r="A24" s="23" t="s">
        <v>242</v>
      </c>
      <c r="B24" s="24">
        <v>113800</v>
      </c>
      <c r="C24" s="24">
        <v>53611</v>
      </c>
      <c r="D24" s="24">
        <v>198560</v>
      </c>
      <c r="E24" s="24">
        <v>317298</v>
      </c>
      <c r="F24" s="24">
        <f>SUM('- 54 -'!$B24:F24,B24:E24)</f>
        <v>6054896</v>
      </c>
    </row>
    <row r="25" spans="1:6" ht="14.1" customHeight="1">
      <c r="A25" s="360" t="s">
        <v>243</v>
      </c>
      <c r="B25" s="361">
        <v>1126000</v>
      </c>
      <c r="C25" s="361">
        <v>190301</v>
      </c>
      <c r="D25" s="361">
        <v>489555</v>
      </c>
      <c r="E25" s="361">
        <v>294663</v>
      </c>
      <c r="F25" s="361">
        <f>SUM('- 54 -'!$B25:F25,B25:E25)</f>
        <v>12763729</v>
      </c>
    </row>
    <row r="26" spans="1:6" ht="14.1" customHeight="1">
      <c r="A26" s="23" t="s">
        <v>244</v>
      </c>
      <c r="B26" s="24">
        <v>67850</v>
      </c>
      <c r="C26" s="24">
        <v>40005</v>
      </c>
      <c r="D26" s="24">
        <v>172395</v>
      </c>
      <c r="E26" s="24">
        <v>180466</v>
      </c>
      <c r="F26" s="24">
        <f>SUM('- 54 -'!$B26:F26,B26:E26)</f>
        <v>3986227</v>
      </c>
    </row>
    <row r="27" spans="1:6" ht="14.1" customHeight="1">
      <c r="A27" s="360" t="s">
        <v>245</v>
      </c>
      <c r="B27" s="361">
        <v>70700</v>
      </c>
      <c r="C27" s="361">
        <v>49981</v>
      </c>
      <c r="D27" s="361">
        <v>126790</v>
      </c>
      <c r="E27" s="361">
        <v>2015891</v>
      </c>
      <c r="F27" s="361">
        <f>SUM('- 54 -'!$B27:F27,B27:E27)</f>
        <v>4396953</v>
      </c>
    </row>
    <row r="28" spans="1:6" ht="14.1" customHeight="1">
      <c r="A28" s="23" t="s">
        <v>246</v>
      </c>
      <c r="B28" s="24">
        <v>7550</v>
      </c>
      <c r="C28" s="24">
        <v>19890</v>
      </c>
      <c r="D28" s="24">
        <v>57915</v>
      </c>
      <c r="E28" s="24">
        <v>244158</v>
      </c>
      <c r="F28" s="24">
        <f>SUM('- 54 -'!$B28:F28,B28:E28)</f>
        <v>2369941</v>
      </c>
    </row>
    <row r="29" spans="1:6" ht="14.1" customHeight="1">
      <c r="A29" s="360" t="s">
        <v>247</v>
      </c>
      <c r="B29" s="361">
        <v>621400</v>
      </c>
      <c r="C29" s="361">
        <v>153595</v>
      </c>
      <c r="D29" s="361">
        <v>423225</v>
      </c>
      <c r="E29" s="361">
        <v>414147</v>
      </c>
      <c r="F29" s="361">
        <f>SUM('- 54 -'!$B29:F29,B29:E29)</f>
        <v>11078954</v>
      </c>
    </row>
    <row r="30" spans="1:6" ht="14.1" customHeight="1">
      <c r="A30" s="23" t="s">
        <v>248</v>
      </c>
      <c r="B30" s="24">
        <v>4000</v>
      </c>
      <c r="C30" s="24">
        <v>13108</v>
      </c>
      <c r="D30" s="24">
        <v>37620</v>
      </c>
      <c r="E30" s="24">
        <v>188924</v>
      </c>
      <c r="F30" s="24">
        <f>SUM('- 54 -'!$B30:F30,B30:E30)</f>
        <v>1690646</v>
      </c>
    </row>
    <row r="31" spans="1:6" ht="14.1" customHeight="1">
      <c r="A31" s="360" t="s">
        <v>249</v>
      </c>
      <c r="B31" s="361">
        <v>76100</v>
      </c>
      <c r="C31" s="361">
        <v>48719</v>
      </c>
      <c r="D31" s="361">
        <v>113355</v>
      </c>
      <c r="E31" s="361">
        <v>195153</v>
      </c>
      <c r="F31" s="361">
        <f>SUM('- 54 -'!$B31:F31,B31:E31)</f>
        <v>3452146</v>
      </c>
    </row>
    <row r="32" spans="1:6" ht="14.1" customHeight="1">
      <c r="A32" s="23" t="s">
        <v>250</v>
      </c>
      <c r="B32" s="24">
        <v>40100</v>
      </c>
      <c r="C32" s="24">
        <v>30794</v>
      </c>
      <c r="D32" s="24">
        <v>88605</v>
      </c>
      <c r="E32" s="24">
        <v>264550</v>
      </c>
      <c r="F32" s="24">
        <f>SUM('- 54 -'!$B32:F32,B32:E32)</f>
        <v>2882089</v>
      </c>
    </row>
    <row r="33" spans="1:6" ht="14.1" customHeight="1">
      <c r="A33" s="360" t="s">
        <v>251</v>
      </c>
      <c r="B33" s="361">
        <v>25900</v>
      </c>
      <c r="C33" s="361">
        <v>25238</v>
      </c>
      <c r="D33" s="361">
        <v>70785</v>
      </c>
      <c r="E33" s="361">
        <v>404679</v>
      </c>
      <c r="F33" s="361">
        <f>SUM('- 54 -'!$B33:F33,B33:E33)</f>
        <v>2943847</v>
      </c>
    </row>
    <row r="34" spans="1:6" ht="14.1" customHeight="1">
      <c r="A34" s="23" t="s">
        <v>252</v>
      </c>
      <c r="B34" s="24">
        <v>76900</v>
      </c>
      <c r="C34" s="24">
        <v>29918</v>
      </c>
      <c r="D34" s="24">
        <v>78210</v>
      </c>
      <c r="E34" s="24">
        <v>163460</v>
      </c>
      <c r="F34" s="24">
        <f>SUM('- 54 -'!$B34:F34,B34:E34)</f>
        <v>3015769</v>
      </c>
    </row>
    <row r="35" spans="1:6" ht="14.1" customHeight="1">
      <c r="A35" s="360" t="s">
        <v>253</v>
      </c>
      <c r="B35" s="361">
        <v>711912</v>
      </c>
      <c r="C35" s="361">
        <v>199640</v>
      </c>
      <c r="D35" s="361">
        <v>660010</v>
      </c>
      <c r="E35" s="361">
        <v>520946</v>
      </c>
      <c r="F35" s="361">
        <f>SUM('- 54 -'!$B35:F35,B35:E35)</f>
        <v>14442546</v>
      </c>
    </row>
    <row r="36" spans="1:6" ht="14.1" customHeight="1">
      <c r="A36" s="23" t="s">
        <v>254</v>
      </c>
      <c r="B36" s="24">
        <v>4300</v>
      </c>
      <c r="C36" s="24">
        <v>27981</v>
      </c>
      <c r="D36" s="24">
        <v>76230</v>
      </c>
      <c r="E36" s="24">
        <v>319910</v>
      </c>
      <c r="F36" s="24">
        <f>SUM('- 54 -'!$B36:F36,B36:E36)</f>
        <v>2290601</v>
      </c>
    </row>
    <row r="37" spans="1:6" ht="14.1" customHeight="1">
      <c r="A37" s="360" t="s">
        <v>255</v>
      </c>
      <c r="B37" s="361">
        <v>307250</v>
      </c>
      <c r="C37" s="361">
        <v>52473</v>
      </c>
      <c r="D37" s="361">
        <v>140085</v>
      </c>
      <c r="E37" s="361">
        <v>182355</v>
      </c>
      <c r="F37" s="361">
        <f>SUM('- 54 -'!$B37:F37,B37:E37)</f>
        <v>5438349</v>
      </c>
    </row>
    <row r="38" spans="1:6" ht="14.1" customHeight="1">
      <c r="A38" s="23" t="s">
        <v>256</v>
      </c>
      <c r="B38" s="24">
        <v>387500</v>
      </c>
      <c r="C38" s="24">
        <v>136833</v>
      </c>
      <c r="D38" s="24">
        <v>357390</v>
      </c>
      <c r="E38" s="24">
        <v>527627</v>
      </c>
      <c r="F38" s="24">
        <f>SUM('- 54 -'!$B38:F38,B38:E38)</f>
        <v>10803996</v>
      </c>
    </row>
    <row r="39" spans="1:6" ht="14.1" customHeight="1">
      <c r="A39" s="360" t="s">
        <v>257</v>
      </c>
      <c r="B39" s="361">
        <v>3900</v>
      </c>
      <c r="C39" s="361">
        <v>24990</v>
      </c>
      <c r="D39" s="361">
        <v>72765</v>
      </c>
      <c r="E39" s="361">
        <v>234994</v>
      </c>
      <c r="F39" s="361">
        <f>SUM('- 54 -'!$B39:F39,B39:E39)</f>
        <v>2248425</v>
      </c>
    </row>
    <row r="40" spans="1:6" ht="14.1" customHeight="1">
      <c r="A40" s="23" t="s">
        <v>258</v>
      </c>
      <c r="B40" s="24">
        <v>313650</v>
      </c>
      <c r="C40" s="24">
        <v>103138</v>
      </c>
      <c r="D40" s="24">
        <v>402620</v>
      </c>
      <c r="E40" s="24">
        <v>530197</v>
      </c>
      <c r="F40" s="24">
        <f>SUM('- 54 -'!$B40:F40,B40:E40)</f>
        <v>8035531</v>
      </c>
    </row>
    <row r="41" spans="1:6" ht="14.1" customHeight="1">
      <c r="A41" s="360" t="s">
        <v>259</v>
      </c>
      <c r="B41" s="361">
        <v>166700</v>
      </c>
      <c r="C41" s="361">
        <v>57316</v>
      </c>
      <c r="D41" s="361">
        <v>161865</v>
      </c>
      <c r="E41" s="361">
        <v>460287</v>
      </c>
      <c r="F41" s="361">
        <f>SUM('- 54 -'!$B41:F41,B41:E41)</f>
        <v>6917594</v>
      </c>
    </row>
    <row r="42" spans="1:6" ht="14.1" customHeight="1">
      <c r="A42" s="23" t="s">
        <v>260</v>
      </c>
      <c r="B42" s="24">
        <v>21100</v>
      </c>
      <c r="C42" s="24">
        <v>20272</v>
      </c>
      <c r="D42" s="24">
        <v>54450</v>
      </c>
      <c r="E42" s="24">
        <v>194195</v>
      </c>
      <c r="F42" s="24">
        <f>SUM('- 54 -'!$B42:F42,B42:E42)</f>
        <v>2680727</v>
      </c>
    </row>
    <row r="43" spans="1:6" ht="14.1" customHeight="1">
      <c r="A43" s="360" t="s">
        <v>261</v>
      </c>
      <c r="B43" s="361">
        <v>1900</v>
      </c>
      <c r="C43" s="361">
        <v>15447</v>
      </c>
      <c r="D43" s="361">
        <v>44550</v>
      </c>
      <c r="E43" s="361">
        <v>107397</v>
      </c>
      <c r="F43" s="361">
        <f>SUM('- 54 -'!$B43:F43,B43:E43)</f>
        <v>1375703</v>
      </c>
    </row>
    <row r="44" spans="1:6" ht="14.1" customHeight="1">
      <c r="A44" s="23" t="s">
        <v>262</v>
      </c>
      <c r="B44" s="24">
        <v>12550</v>
      </c>
      <c r="C44" s="24">
        <v>9578</v>
      </c>
      <c r="D44" s="24">
        <v>25245</v>
      </c>
      <c r="E44" s="24">
        <v>108415</v>
      </c>
      <c r="F44" s="24">
        <f>SUM('- 54 -'!$B44:F44,B44:E44)</f>
        <v>1679759</v>
      </c>
    </row>
    <row r="45" spans="1:6" ht="14.1" customHeight="1">
      <c r="A45" s="360" t="s">
        <v>263</v>
      </c>
      <c r="B45" s="361">
        <v>50000</v>
      </c>
      <c r="C45" s="361">
        <v>22410</v>
      </c>
      <c r="D45" s="361">
        <v>58410</v>
      </c>
      <c r="E45" s="361">
        <v>106106</v>
      </c>
      <c r="F45" s="361">
        <f>SUM('- 54 -'!$B45:F45,B45:E45)</f>
        <v>1720964</v>
      </c>
    </row>
    <row r="46" spans="1:6" ht="14.1" customHeight="1">
      <c r="A46" s="23" t="s">
        <v>264</v>
      </c>
      <c r="B46" s="24">
        <v>842000</v>
      </c>
      <c r="C46" s="24">
        <v>499722</v>
      </c>
      <c r="D46" s="24">
        <v>1852708</v>
      </c>
      <c r="E46" s="24">
        <v>810823</v>
      </c>
      <c r="F46" s="24">
        <f>SUM('- 54 -'!$B46:F46,B46:E46)</f>
        <v>28401824</v>
      </c>
    </row>
    <row r="47" spans="1:6" ht="5.0999999999999996" customHeight="1">
      <c r="A47"/>
      <c r="B47"/>
      <c r="C47"/>
      <c r="D47"/>
      <c r="E47"/>
      <c r="F47"/>
    </row>
    <row r="48" spans="1:6" ht="14.1" customHeight="1">
      <c r="A48" s="363" t="s">
        <v>265</v>
      </c>
      <c r="B48" s="364">
        <f>SUM(B11:B46)</f>
        <v>6838662</v>
      </c>
      <c r="C48" s="364">
        <f>SUM(C11:C46)</f>
        <v>2465782</v>
      </c>
      <c r="D48" s="364">
        <f>SUM(D11:D46)</f>
        <v>7540123</v>
      </c>
      <c r="E48" s="364">
        <f>SUM(E11:E46)</f>
        <v>16752531</v>
      </c>
      <c r="F48" s="364">
        <f>SUM(F11:F46)</f>
        <v>195539906</v>
      </c>
    </row>
    <row r="49" spans="1:6" ht="5.0999999999999996" customHeight="1">
      <c r="A49" s="25" t="s">
        <v>3</v>
      </c>
      <c r="B49" s="26"/>
      <c r="C49" s="26"/>
      <c r="D49" s="26"/>
      <c r="E49" s="26"/>
      <c r="F49" s="26"/>
    </row>
    <row r="50" spans="1:6" ht="14.45" customHeight="1">
      <c r="A50" s="23" t="s">
        <v>266</v>
      </c>
      <c r="B50" s="24">
        <v>750</v>
      </c>
      <c r="C50" s="24">
        <v>6322</v>
      </c>
      <c r="D50" s="24">
        <v>5940</v>
      </c>
      <c r="E50" s="24">
        <v>53717</v>
      </c>
      <c r="F50" s="24">
        <f>SUM('- 54 -'!$B50:F50,B50:E50)</f>
        <v>208300</v>
      </c>
    </row>
    <row r="51" spans="1:6" ht="14.1" customHeight="1">
      <c r="A51" s="360" t="s">
        <v>267</v>
      </c>
      <c r="B51" s="361">
        <v>0</v>
      </c>
      <c r="C51" s="361">
        <v>0</v>
      </c>
      <c r="D51" s="361">
        <v>0</v>
      </c>
      <c r="E51" s="361">
        <v>0</v>
      </c>
      <c r="F51" s="361">
        <f>SUM('- 54 -'!$B51:F51,B51:E51)</f>
        <v>0</v>
      </c>
    </row>
    <row r="52" spans="1:6" ht="50.1" customHeight="1">
      <c r="A52" s="27"/>
      <c r="B52" s="27"/>
      <c r="C52" s="27"/>
      <c r="D52" s="27"/>
      <c r="E52" s="27"/>
      <c r="F52" s="27"/>
    </row>
    <row r="53" spans="1:6" ht="15" customHeight="1">
      <c r="A53" s="39" t="s">
        <v>662</v>
      </c>
      <c r="E53" s="39"/>
      <c r="F53" s="39"/>
    </row>
    <row r="54" spans="1:6" ht="14.45" customHeight="1">
      <c r="A54" s="39"/>
      <c r="E54" s="39"/>
      <c r="F54" s="39"/>
    </row>
    <row r="55" spans="1:6" ht="14.45" customHeight="1">
      <c r="B55" s="39"/>
      <c r="C55" s="39"/>
      <c r="D55" s="39"/>
      <c r="E55" s="39"/>
      <c r="F55" s="39"/>
    </row>
    <row r="56" spans="1:6" ht="14.45" customHeight="1">
      <c r="E56" s="115"/>
      <c r="F56" s="115"/>
    </row>
    <row r="57" spans="1:6" ht="14.45" customHeight="1">
      <c r="B57" s="115"/>
      <c r="C57" s="115"/>
      <c r="D57" s="115"/>
      <c r="E57" s="115"/>
      <c r="F57" s="115"/>
    </row>
    <row r="58" spans="1:6" ht="14.45" customHeight="1"/>
    <row r="59" spans="1:6" ht="14.45" customHeight="1"/>
  </sheetData>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&amp;C&amp;"Arial,Bold"&amp;10&amp;A</oddHeader>
  </headerFooter>
</worksheet>
</file>

<file path=xl/worksheets/sheet49.xml><?xml version="1.0" encoding="utf-8"?>
<worksheet xmlns="http://schemas.openxmlformats.org/spreadsheetml/2006/main" xmlns:r="http://schemas.openxmlformats.org/officeDocument/2006/relationships">
  <sheetPr codeName="Sheet48">
    <pageSetUpPr fitToPage="1"/>
  </sheetPr>
  <dimension ref="A1:F59"/>
  <sheetViews>
    <sheetView showGridLines="0" showZeros="0" workbookViewId="0"/>
  </sheetViews>
  <sheetFormatPr defaultColWidth="23.83203125" defaultRowHeight="12"/>
  <cols>
    <col min="1" max="1" width="32.5" style="1" customWidth="1"/>
    <col min="2" max="2" width="20.1640625" style="1" customWidth="1"/>
    <col min="3" max="3" width="19.5" style="1" customWidth="1"/>
    <col min="4" max="4" width="20" style="1" customWidth="1"/>
    <col min="5" max="5" width="19.33203125" style="1" customWidth="1"/>
    <col min="6" max="6" width="21.6640625" style="1" customWidth="1"/>
    <col min="7" max="16384" width="23.83203125" style="1"/>
  </cols>
  <sheetData>
    <row r="1" spans="1:6" ht="6.95" customHeight="1">
      <c r="A1" s="3"/>
      <c r="B1" s="3"/>
      <c r="C1" s="3"/>
      <c r="D1" s="3"/>
      <c r="E1" s="3"/>
      <c r="F1" s="3"/>
    </row>
    <row r="2" spans="1:6" ht="15.95" customHeight="1">
      <c r="A2" s="306"/>
      <c r="B2" s="73" t="str">
        <f>REVYEAR</f>
        <v>ANALYSIS OF OPERATING FUND REVENUE: 2013/2014 BUDGET</v>
      </c>
      <c r="C2" s="73"/>
      <c r="D2" s="307"/>
      <c r="E2" s="307"/>
      <c r="F2" s="250" t="s">
        <v>202</v>
      </c>
    </row>
    <row r="3" spans="1:6" ht="15.95" customHeight="1">
      <c r="A3" s="245"/>
      <c r="B3" s="308"/>
      <c r="C3" s="308"/>
      <c r="D3" s="308"/>
      <c r="E3" s="308"/>
      <c r="F3" s="308"/>
    </row>
    <row r="4" spans="1:6" ht="15.95" customHeight="1"/>
    <row r="5" spans="1:6" ht="15.95" customHeight="1">
      <c r="B5" s="439" t="s">
        <v>77</v>
      </c>
      <c r="C5" s="472"/>
      <c r="D5" s="472"/>
      <c r="E5" s="369"/>
      <c r="F5" s="368"/>
    </row>
    <row r="6" spans="1:6" ht="15.95" customHeight="1">
      <c r="B6" s="462" t="s">
        <v>221</v>
      </c>
      <c r="C6" s="473"/>
      <c r="D6" s="473"/>
      <c r="E6" s="434"/>
      <c r="F6" s="471"/>
    </row>
    <row r="7" spans="1:6" ht="15.95" customHeight="1">
      <c r="B7" s="252"/>
      <c r="C7" s="252" t="s">
        <v>428</v>
      </c>
      <c r="D7" s="252"/>
      <c r="E7" s="252" t="s">
        <v>44</v>
      </c>
      <c r="F7" s="251" t="s">
        <v>223</v>
      </c>
    </row>
    <row r="8" spans="1:6" ht="15.95" customHeight="1">
      <c r="A8" s="32"/>
      <c r="B8" s="254" t="s">
        <v>229</v>
      </c>
      <c r="C8" s="254" t="s">
        <v>229</v>
      </c>
      <c r="D8" s="254" t="s">
        <v>489</v>
      </c>
      <c r="E8" s="254" t="s">
        <v>119</v>
      </c>
      <c r="F8" s="253" t="s">
        <v>224</v>
      </c>
    </row>
    <row r="9" spans="1:6" ht="15.95" customHeight="1">
      <c r="A9" s="118" t="s">
        <v>81</v>
      </c>
      <c r="B9" s="119" t="s">
        <v>408</v>
      </c>
      <c r="C9" s="119" t="s">
        <v>411</v>
      </c>
      <c r="D9" s="119" t="s">
        <v>455</v>
      </c>
      <c r="E9" s="119" t="s">
        <v>655</v>
      </c>
      <c r="F9" s="114" t="s">
        <v>119</v>
      </c>
    </row>
    <row r="10" spans="1:6" ht="5.0999999999999996" customHeight="1">
      <c r="A10" s="37"/>
      <c r="B10" s="3"/>
      <c r="C10" s="3"/>
      <c r="D10" s="3"/>
      <c r="E10" s="3"/>
      <c r="F10" s="3"/>
    </row>
    <row r="11" spans="1:6" ht="14.1" customHeight="1">
      <c r="A11" s="360" t="s">
        <v>230</v>
      </c>
      <c r="B11" s="361">
        <v>1639094</v>
      </c>
      <c r="C11" s="361">
        <v>0</v>
      </c>
      <c r="D11" s="361">
        <v>0</v>
      </c>
      <c r="E11" s="361">
        <v>90140</v>
      </c>
      <c r="F11" s="361">
        <f>SUM('- 53 -'!$G11,'- 55 -'!$F11,B11:E11)</f>
        <v>8622100</v>
      </c>
    </row>
    <row r="12" spans="1:6" ht="14.1" customHeight="1">
      <c r="A12" s="23" t="s">
        <v>231</v>
      </c>
      <c r="B12" s="24">
        <v>4860820</v>
      </c>
      <c r="C12" s="24">
        <v>1575</v>
      </c>
      <c r="D12" s="24">
        <v>0</v>
      </c>
      <c r="E12" s="24">
        <v>138460</v>
      </c>
      <c r="F12" s="24">
        <f>SUM('- 53 -'!$G12,'- 55 -'!$F12,B12:E12)</f>
        <v>15557487</v>
      </c>
    </row>
    <row r="13" spans="1:6" ht="14.1" customHeight="1">
      <c r="A13" s="360" t="s">
        <v>232</v>
      </c>
      <c r="B13" s="361">
        <v>10995600</v>
      </c>
      <c r="C13" s="361">
        <v>0</v>
      </c>
      <c r="D13" s="361">
        <v>0</v>
      </c>
      <c r="E13" s="361">
        <v>278100</v>
      </c>
      <c r="F13" s="361">
        <f>SUM('- 53 -'!$G13,'- 55 -'!$F13,B13:E13)</f>
        <v>42160100</v>
      </c>
    </row>
    <row r="14" spans="1:6" ht="14.1" customHeight="1">
      <c r="A14" s="23" t="s">
        <v>578</v>
      </c>
      <c r="B14" s="24">
        <v>8127411</v>
      </c>
      <c r="C14" s="24">
        <v>0</v>
      </c>
      <c r="D14" s="24">
        <v>0</v>
      </c>
      <c r="E14" s="24">
        <v>228020</v>
      </c>
      <c r="F14" s="24">
        <f>SUM('- 53 -'!$G14,'- 55 -'!$F14,B14:E14)</f>
        <v>32285340</v>
      </c>
    </row>
    <row r="15" spans="1:6" ht="14.1" customHeight="1">
      <c r="A15" s="360" t="s">
        <v>233</v>
      </c>
      <c r="B15" s="361">
        <v>0</v>
      </c>
      <c r="C15" s="361">
        <v>0</v>
      </c>
      <c r="D15" s="361">
        <v>865034</v>
      </c>
      <c r="E15" s="361">
        <v>84080</v>
      </c>
      <c r="F15" s="361">
        <f>SUM('- 53 -'!$G15,'- 55 -'!$F15,B15:E15)</f>
        <v>8165854</v>
      </c>
    </row>
    <row r="16" spans="1:6" ht="14.1" customHeight="1">
      <c r="A16" s="23" t="s">
        <v>234</v>
      </c>
      <c r="B16" s="24">
        <v>3043256</v>
      </c>
      <c r="C16" s="24">
        <v>208582</v>
      </c>
      <c r="D16" s="24">
        <v>0</v>
      </c>
      <c r="E16" s="24">
        <v>54600</v>
      </c>
      <c r="F16" s="24">
        <f>SUM('- 53 -'!$G16,'- 55 -'!$F16,B16:E16)</f>
        <v>7965420</v>
      </c>
    </row>
    <row r="17" spans="1:6" ht="14.1" customHeight="1">
      <c r="A17" s="360" t="s">
        <v>235</v>
      </c>
      <c r="B17" s="361">
        <v>0</v>
      </c>
      <c r="C17" s="361">
        <v>0</v>
      </c>
      <c r="D17" s="361">
        <v>1004698</v>
      </c>
      <c r="E17" s="361">
        <v>101420</v>
      </c>
      <c r="F17" s="361">
        <f>SUM('- 53 -'!$G17,'- 55 -'!$F17,B17:E17)</f>
        <v>7418368</v>
      </c>
    </row>
    <row r="18" spans="1:6" ht="14.1" customHeight="1">
      <c r="A18" s="23" t="s">
        <v>236</v>
      </c>
      <c r="B18" s="24">
        <v>12667297</v>
      </c>
      <c r="C18" s="24">
        <v>4758592</v>
      </c>
      <c r="D18" s="24">
        <v>0</v>
      </c>
      <c r="E18" s="24">
        <v>376860</v>
      </c>
      <c r="F18" s="24">
        <f>SUM('- 53 -'!$G18,'- 55 -'!$F18,B18:E18)</f>
        <v>36978625</v>
      </c>
    </row>
    <row r="19" spans="1:6" ht="14.1" customHeight="1">
      <c r="A19" s="360" t="s">
        <v>237</v>
      </c>
      <c r="B19" s="361">
        <v>7867810</v>
      </c>
      <c r="C19" s="361">
        <v>0</v>
      </c>
      <c r="D19" s="361">
        <v>0</v>
      </c>
      <c r="E19" s="361">
        <v>107940</v>
      </c>
      <c r="F19" s="361">
        <f>SUM('- 53 -'!$G19,'- 55 -'!$F19,B19:E19)</f>
        <v>24981753</v>
      </c>
    </row>
    <row r="20" spans="1:6" ht="14.1" customHeight="1">
      <c r="A20" s="23" t="s">
        <v>238</v>
      </c>
      <c r="B20" s="24">
        <v>13587222</v>
      </c>
      <c r="C20" s="24">
        <v>0</v>
      </c>
      <c r="D20" s="24">
        <v>0</v>
      </c>
      <c r="E20" s="24">
        <v>270300</v>
      </c>
      <c r="F20" s="24">
        <f>SUM('- 53 -'!$G20,'- 55 -'!$F20,B20:E20)</f>
        <v>44345682</v>
      </c>
    </row>
    <row r="21" spans="1:6" ht="14.1" customHeight="1">
      <c r="A21" s="360" t="s">
        <v>239</v>
      </c>
      <c r="B21" s="361">
        <v>3626721</v>
      </c>
      <c r="C21" s="361">
        <v>0</v>
      </c>
      <c r="D21" s="361">
        <v>412808</v>
      </c>
      <c r="E21" s="361">
        <v>159060</v>
      </c>
      <c r="F21" s="361">
        <f>SUM('- 53 -'!$G21,'- 55 -'!$F21,B21:E21)</f>
        <v>17111580</v>
      </c>
    </row>
    <row r="22" spans="1:6" ht="14.1" customHeight="1">
      <c r="A22" s="23" t="s">
        <v>240</v>
      </c>
      <c r="B22" s="24">
        <v>4369672</v>
      </c>
      <c r="C22" s="24">
        <v>970692</v>
      </c>
      <c r="D22" s="24">
        <v>0</v>
      </c>
      <c r="E22" s="24">
        <v>79160</v>
      </c>
      <c r="F22" s="24">
        <f>SUM('- 53 -'!$G22,'- 55 -'!$F22,B22:E22)</f>
        <v>13454407</v>
      </c>
    </row>
    <row r="23" spans="1:6" ht="14.1" customHeight="1">
      <c r="A23" s="360" t="s">
        <v>241</v>
      </c>
      <c r="B23" s="361">
        <v>2550313</v>
      </c>
      <c r="C23" s="361">
        <v>419953</v>
      </c>
      <c r="D23" s="361">
        <v>0</v>
      </c>
      <c r="E23" s="361">
        <v>98280</v>
      </c>
      <c r="F23" s="361">
        <f>SUM('- 53 -'!$G23,'- 55 -'!$F23,B23:E23)</f>
        <v>9441364</v>
      </c>
    </row>
    <row r="24" spans="1:6" ht="14.1" customHeight="1">
      <c r="A24" s="23" t="s">
        <v>242</v>
      </c>
      <c r="B24" s="24">
        <v>3656544</v>
      </c>
      <c r="C24" s="24">
        <v>0</v>
      </c>
      <c r="D24" s="24">
        <v>761441</v>
      </c>
      <c r="E24" s="24">
        <v>233780</v>
      </c>
      <c r="F24" s="24">
        <f>SUM('- 53 -'!$G24,'- 55 -'!$F24,B24:E24)</f>
        <v>23985952</v>
      </c>
    </row>
    <row r="25" spans="1:6" ht="14.1" customHeight="1">
      <c r="A25" s="360" t="s">
        <v>243</v>
      </c>
      <c r="B25" s="361">
        <v>9830320</v>
      </c>
      <c r="C25" s="361">
        <v>0</v>
      </c>
      <c r="D25" s="361">
        <v>6173345</v>
      </c>
      <c r="E25" s="361">
        <v>555160</v>
      </c>
      <c r="F25" s="361">
        <f>SUM('- 53 -'!$G25,'- 55 -'!$F25,B25:E25)</f>
        <v>71390549</v>
      </c>
    </row>
    <row r="26" spans="1:6" ht="14.1" customHeight="1">
      <c r="A26" s="23" t="s">
        <v>244</v>
      </c>
      <c r="B26" s="24">
        <v>6052975</v>
      </c>
      <c r="C26" s="24">
        <v>719357</v>
      </c>
      <c r="D26" s="24">
        <v>0</v>
      </c>
      <c r="E26" s="24">
        <v>277660</v>
      </c>
      <c r="F26" s="24">
        <f>SUM('- 53 -'!$G26,'- 55 -'!$F26,B26:E26)</f>
        <v>21731310</v>
      </c>
    </row>
    <row r="27" spans="1:6" ht="14.1" customHeight="1">
      <c r="A27" s="360" t="s">
        <v>245</v>
      </c>
      <c r="B27" s="361">
        <v>8791309</v>
      </c>
      <c r="C27" s="361">
        <v>3841201</v>
      </c>
      <c r="D27" s="361">
        <v>999876</v>
      </c>
      <c r="E27" s="361">
        <v>116120</v>
      </c>
      <c r="F27" s="361">
        <f>SUM('- 53 -'!$G27,'- 55 -'!$F27,B27:E27)</f>
        <v>26609893</v>
      </c>
    </row>
    <row r="28" spans="1:6" ht="14.1" customHeight="1">
      <c r="A28" s="23" t="s">
        <v>246</v>
      </c>
      <c r="B28" s="24">
        <v>2016209</v>
      </c>
      <c r="C28" s="24">
        <v>0</v>
      </c>
      <c r="D28" s="24">
        <v>431096</v>
      </c>
      <c r="E28" s="24">
        <v>139500</v>
      </c>
      <c r="F28" s="24">
        <f>SUM('- 53 -'!$G28,'- 55 -'!$F28,B28:E28)</f>
        <v>10728551</v>
      </c>
    </row>
    <row r="29" spans="1:6" ht="14.1" customHeight="1">
      <c r="A29" s="360" t="s">
        <v>247</v>
      </c>
      <c r="B29" s="361">
        <v>148454</v>
      </c>
      <c r="C29" s="361">
        <v>0</v>
      </c>
      <c r="D29" s="361">
        <v>5840080</v>
      </c>
      <c r="E29" s="361">
        <v>414040</v>
      </c>
      <c r="F29" s="361">
        <f>SUM('- 53 -'!$G29,'- 55 -'!$F29,B29:E29)</f>
        <v>53976351</v>
      </c>
    </row>
    <row r="30" spans="1:6" ht="14.1" customHeight="1">
      <c r="A30" s="23" t="s">
        <v>248</v>
      </c>
      <c r="B30" s="24">
        <v>1869383</v>
      </c>
      <c r="C30" s="24">
        <v>0</v>
      </c>
      <c r="D30" s="24">
        <v>0</v>
      </c>
      <c r="E30" s="24">
        <v>92500</v>
      </c>
      <c r="F30" s="24">
        <f>SUM('- 53 -'!$G30,'- 55 -'!$F30,B30:E30)</f>
        <v>7616621</v>
      </c>
    </row>
    <row r="31" spans="1:6" ht="14.1" customHeight="1">
      <c r="A31" s="360" t="s">
        <v>249</v>
      </c>
      <c r="B31" s="361">
        <v>4083758</v>
      </c>
      <c r="C31" s="361">
        <v>0</v>
      </c>
      <c r="D31" s="361">
        <v>0</v>
      </c>
      <c r="E31" s="361">
        <v>168420</v>
      </c>
      <c r="F31" s="361">
        <f>SUM('- 53 -'!$G31,'- 55 -'!$F31,B31:E31)</f>
        <v>17720564</v>
      </c>
    </row>
    <row r="32" spans="1:6" ht="14.1" customHeight="1">
      <c r="A32" s="23" t="s">
        <v>250</v>
      </c>
      <c r="B32" s="24">
        <v>2063360</v>
      </c>
      <c r="C32" s="24">
        <v>0</v>
      </c>
      <c r="D32" s="24">
        <v>0</v>
      </c>
      <c r="E32" s="24">
        <v>155300</v>
      </c>
      <c r="F32" s="24">
        <f>SUM('- 53 -'!$G32,'- 55 -'!$F32,B32:E32)</f>
        <v>12400690</v>
      </c>
    </row>
    <row r="33" spans="1:6" ht="14.1" customHeight="1">
      <c r="A33" s="360" t="s">
        <v>251</v>
      </c>
      <c r="B33" s="361">
        <v>2519085</v>
      </c>
      <c r="C33" s="361">
        <v>0</v>
      </c>
      <c r="D33" s="361">
        <v>683998</v>
      </c>
      <c r="E33" s="361">
        <v>192740</v>
      </c>
      <c r="F33" s="361">
        <f>SUM('- 53 -'!$G33,'- 55 -'!$F33,B33:E33)</f>
        <v>14145601</v>
      </c>
    </row>
    <row r="34" spans="1:6" ht="14.1" customHeight="1">
      <c r="A34" s="23" t="s">
        <v>252</v>
      </c>
      <c r="B34" s="24">
        <v>1950032</v>
      </c>
      <c r="C34" s="24">
        <v>0</v>
      </c>
      <c r="D34" s="24">
        <v>0</v>
      </c>
      <c r="E34" s="24">
        <v>124520</v>
      </c>
      <c r="F34" s="24">
        <f>SUM('- 53 -'!$G34,'- 55 -'!$F34,B34:E34)</f>
        <v>12194776</v>
      </c>
    </row>
    <row r="35" spans="1:6" ht="14.1" customHeight="1">
      <c r="A35" s="360" t="s">
        <v>253</v>
      </c>
      <c r="B35" s="361">
        <v>15743774</v>
      </c>
      <c r="C35" s="361">
        <v>3036165</v>
      </c>
      <c r="D35" s="361">
        <v>7681279</v>
      </c>
      <c r="E35" s="361">
        <v>671300</v>
      </c>
      <c r="F35" s="361">
        <f>SUM('- 53 -'!$G35,'- 55 -'!$F35,B35:E35)</f>
        <v>89333545</v>
      </c>
    </row>
    <row r="36" spans="1:6" ht="14.1" customHeight="1">
      <c r="A36" s="23" t="s">
        <v>254</v>
      </c>
      <c r="B36" s="24">
        <v>1333136</v>
      </c>
      <c r="C36" s="24">
        <v>0</v>
      </c>
      <c r="D36" s="24">
        <v>676849</v>
      </c>
      <c r="E36" s="24">
        <v>132060</v>
      </c>
      <c r="F36" s="24">
        <f>SUM('- 53 -'!$G36,'- 55 -'!$F36,B36:E36)</f>
        <v>10178909</v>
      </c>
    </row>
    <row r="37" spans="1:6" ht="14.1" customHeight="1">
      <c r="A37" s="360" t="s">
        <v>255</v>
      </c>
      <c r="B37" s="361">
        <v>6855185</v>
      </c>
      <c r="C37" s="361">
        <v>0</v>
      </c>
      <c r="D37" s="361">
        <v>0</v>
      </c>
      <c r="E37" s="361">
        <v>148400</v>
      </c>
      <c r="F37" s="361">
        <f>SUM('- 53 -'!$G37,'- 55 -'!$F37,B37:E37)</f>
        <v>24320243</v>
      </c>
    </row>
    <row r="38" spans="1:6" ht="14.1" customHeight="1">
      <c r="A38" s="23" t="s">
        <v>256</v>
      </c>
      <c r="B38" s="24">
        <v>19727896</v>
      </c>
      <c r="C38" s="24">
        <v>4111702</v>
      </c>
      <c r="D38" s="24">
        <v>0</v>
      </c>
      <c r="E38" s="24">
        <v>310600</v>
      </c>
      <c r="F38" s="24">
        <f>SUM('- 53 -'!$G38,'- 55 -'!$F38,B38:E38)</f>
        <v>65378019</v>
      </c>
    </row>
    <row r="39" spans="1:6" ht="14.1" customHeight="1">
      <c r="A39" s="360" t="s">
        <v>257</v>
      </c>
      <c r="B39" s="361">
        <v>628960</v>
      </c>
      <c r="C39" s="361">
        <v>0</v>
      </c>
      <c r="D39" s="361">
        <v>489045</v>
      </c>
      <c r="E39" s="361">
        <v>111820</v>
      </c>
      <c r="F39" s="361">
        <f>SUM('- 53 -'!$G39,'- 55 -'!$F39,B39:E39)</f>
        <v>9161078</v>
      </c>
    </row>
    <row r="40" spans="1:6" ht="14.1" customHeight="1">
      <c r="A40" s="23" t="s">
        <v>258</v>
      </c>
      <c r="B40" s="24">
        <v>1118260</v>
      </c>
      <c r="C40" s="24">
        <v>0</v>
      </c>
      <c r="D40" s="24">
        <v>4200034</v>
      </c>
      <c r="E40" s="24">
        <v>462180</v>
      </c>
      <c r="F40" s="24">
        <f>SUM('- 53 -'!$G40,'- 55 -'!$F40,B40:E40)</f>
        <v>38817115</v>
      </c>
    </row>
    <row r="41" spans="1:6" ht="14.1" customHeight="1">
      <c r="A41" s="360" t="s">
        <v>259</v>
      </c>
      <c r="B41" s="361">
        <v>3491453</v>
      </c>
      <c r="C41" s="361">
        <v>0</v>
      </c>
      <c r="D41" s="361">
        <v>804226</v>
      </c>
      <c r="E41" s="361">
        <v>217040</v>
      </c>
      <c r="F41" s="361">
        <f>SUM('- 53 -'!$G41,'- 55 -'!$F41,B41:E41)</f>
        <v>25660140</v>
      </c>
    </row>
    <row r="42" spans="1:6" ht="14.1" customHeight="1">
      <c r="A42" s="23" t="s">
        <v>260</v>
      </c>
      <c r="B42" s="24">
        <v>3309860</v>
      </c>
      <c r="C42" s="24">
        <v>557431</v>
      </c>
      <c r="D42" s="24">
        <v>0</v>
      </c>
      <c r="E42" s="24">
        <v>134500</v>
      </c>
      <c r="F42" s="24">
        <f>SUM('- 53 -'!$G42,'- 55 -'!$F42,B42:E42)</f>
        <v>11707345</v>
      </c>
    </row>
    <row r="43" spans="1:6" ht="14.1" customHeight="1">
      <c r="A43" s="360" t="s">
        <v>261</v>
      </c>
      <c r="B43" s="361">
        <v>1012818</v>
      </c>
      <c r="C43" s="361">
        <v>0</v>
      </c>
      <c r="D43" s="361">
        <v>145132</v>
      </c>
      <c r="E43" s="361">
        <v>61040</v>
      </c>
      <c r="F43" s="361">
        <f>SUM('- 53 -'!$G43,'- 55 -'!$F43,B43:E43)</f>
        <v>6035708</v>
      </c>
    </row>
    <row r="44" spans="1:6" ht="14.1" customHeight="1">
      <c r="A44" s="23" t="s">
        <v>262</v>
      </c>
      <c r="B44" s="24">
        <v>1985331</v>
      </c>
      <c r="C44" s="24">
        <v>434059</v>
      </c>
      <c r="D44" s="24">
        <v>0</v>
      </c>
      <c r="E44" s="24">
        <v>70840</v>
      </c>
      <c r="F44" s="24">
        <f>SUM('- 53 -'!$G44,'- 55 -'!$F44,B44:E44)</f>
        <v>7095851</v>
      </c>
    </row>
    <row r="45" spans="1:6" ht="14.1" customHeight="1">
      <c r="A45" s="360" t="s">
        <v>263</v>
      </c>
      <c r="B45" s="361">
        <v>2613284</v>
      </c>
      <c r="C45" s="361">
        <v>0</v>
      </c>
      <c r="D45" s="361">
        <v>0</v>
      </c>
      <c r="E45" s="361">
        <v>46980</v>
      </c>
      <c r="F45" s="361">
        <f>SUM('- 53 -'!$G45,'- 55 -'!$F45,B45:E45)</f>
        <v>9165007</v>
      </c>
    </row>
    <row r="46" spans="1:6" ht="14.1" customHeight="1">
      <c r="A46" s="23" t="s">
        <v>264</v>
      </c>
      <c r="B46" s="24">
        <v>41302301</v>
      </c>
      <c r="C46" s="24">
        <v>4863665</v>
      </c>
      <c r="D46" s="24">
        <v>0</v>
      </c>
      <c r="E46" s="24">
        <v>1323700</v>
      </c>
      <c r="F46" s="24">
        <f>SUM('- 53 -'!$G46,'- 55 -'!$F46,B46:E46)</f>
        <v>175166000</v>
      </c>
    </row>
    <row r="47" spans="1:6" ht="5.0999999999999996" customHeight="1">
      <c r="A47"/>
      <c r="B47"/>
      <c r="C47"/>
      <c r="D47"/>
      <c r="E47"/>
      <c r="F47"/>
    </row>
    <row r="48" spans="1:6" ht="14.1" customHeight="1">
      <c r="A48" s="363" t="s">
        <v>265</v>
      </c>
      <c r="B48" s="364">
        <f>SUM(B11:B46)</f>
        <v>215438903</v>
      </c>
      <c r="C48" s="364">
        <f>SUM(C11:C46)</f>
        <v>23922974</v>
      </c>
      <c r="D48" s="364">
        <f>SUM(D11:D46)</f>
        <v>31168941</v>
      </c>
      <c r="E48" s="364">
        <f>SUM(E11:E46)</f>
        <v>8226620</v>
      </c>
      <c r="F48" s="364">
        <f>SUM(F11:F46)</f>
        <v>1013007898</v>
      </c>
    </row>
    <row r="49" spans="1:6" ht="5.0999999999999996" customHeight="1">
      <c r="A49" s="25" t="s">
        <v>3</v>
      </c>
      <c r="B49" s="26"/>
      <c r="C49" s="26"/>
      <c r="D49" s="26"/>
      <c r="E49" s="26"/>
      <c r="F49" s="26"/>
    </row>
    <row r="50" spans="1:6" ht="14.45" customHeight="1">
      <c r="A50" s="23" t="s">
        <v>266</v>
      </c>
      <c r="B50" s="24">
        <v>0</v>
      </c>
      <c r="C50" s="24">
        <v>0</v>
      </c>
      <c r="D50" s="24">
        <v>122567</v>
      </c>
      <c r="E50" s="24">
        <v>0</v>
      </c>
      <c r="F50" s="24">
        <f>SUM('- 53 -'!$G50,'- 55 -'!$F50,B50:E50)</f>
        <v>931141</v>
      </c>
    </row>
    <row r="51" spans="1:6" ht="14.1" customHeight="1">
      <c r="A51" s="360" t="s">
        <v>267</v>
      </c>
      <c r="B51" s="361">
        <v>0</v>
      </c>
      <c r="C51" s="361">
        <v>0</v>
      </c>
      <c r="D51" s="361">
        <v>0</v>
      </c>
      <c r="E51" s="361">
        <v>22000</v>
      </c>
      <c r="F51" s="361">
        <f>SUM('- 53 -'!$G51,'- 55 -'!$F51,B51:E51)</f>
        <v>22000</v>
      </c>
    </row>
    <row r="52" spans="1:6" ht="50.1" customHeight="1">
      <c r="A52" s="27"/>
      <c r="B52" s="27"/>
      <c r="C52" s="27"/>
      <c r="D52" s="27"/>
      <c r="E52" s="27"/>
      <c r="F52" s="27"/>
    </row>
    <row r="53" spans="1:6" ht="15" customHeight="1">
      <c r="A53" s="29" t="s">
        <v>583</v>
      </c>
      <c r="B53" s="39"/>
      <c r="C53" s="39"/>
      <c r="D53" s="39"/>
      <c r="E53" s="39"/>
      <c r="F53" s="39"/>
    </row>
    <row r="54" spans="1:6" ht="12" customHeight="1">
      <c r="A54" s="155" t="s">
        <v>657</v>
      </c>
      <c r="B54" s="39"/>
      <c r="C54" s="39"/>
      <c r="D54" s="39"/>
      <c r="E54" s="39"/>
      <c r="F54" s="39"/>
    </row>
    <row r="55" spans="1:6" ht="12" customHeight="1">
      <c r="A55" s="29" t="s">
        <v>584</v>
      </c>
      <c r="B55" s="39"/>
      <c r="C55" s="39"/>
      <c r="D55" s="39"/>
      <c r="E55" s="39"/>
      <c r="F55" s="39"/>
    </row>
    <row r="56" spans="1:6" ht="12" customHeight="1">
      <c r="A56" s="508" t="s">
        <v>688</v>
      </c>
      <c r="B56" s="39"/>
      <c r="C56" s="39"/>
      <c r="D56" s="39"/>
      <c r="E56" s="39"/>
      <c r="F56" s="39"/>
    </row>
    <row r="57" spans="1:6" ht="12" customHeight="1">
      <c r="A57" s="2" t="s">
        <v>689</v>
      </c>
    </row>
    <row r="58" spans="1:6" ht="12" customHeight="1">
      <c r="A58" s="2" t="s">
        <v>656</v>
      </c>
    </row>
    <row r="59" spans="1:6" ht="14.45" customHeight="1"/>
  </sheetData>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&amp;C&amp;"Arial,Bold"&amp;10&amp;A</oddHeader>
  </headerFooter>
</worksheet>
</file>

<file path=xl/worksheets/sheet5.xml><?xml version="1.0" encoding="utf-8"?>
<worksheet xmlns="http://schemas.openxmlformats.org/spreadsheetml/2006/main" xmlns:r="http://schemas.openxmlformats.org/officeDocument/2006/relationships">
  <sheetPr codeName="Sheet4">
    <pageSetUpPr fitToPage="1"/>
  </sheetPr>
  <dimension ref="A1:G59"/>
  <sheetViews>
    <sheetView showGridLines="0" showZeros="0" workbookViewId="0"/>
  </sheetViews>
  <sheetFormatPr defaultColWidth="15.83203125" defaultRowHeight="12"/>
  <cols>
    <col min="1" max="1" width="32.83203125" style="1" customWidth="1"/>
    <col min="2" max="3" width="19.83203125" style="1" customWidth="1"/>
    <col min="4" max="4" width="21.83203125" style="1" hidden="1" customWidth="1"/>
    <col min="5" max="5" width="1.83203125" style="1" customWidth="1"/>
    <col min="6" max="7" width="18.83203125" style="1" customWidth="1"/>
    <col min="8" max="16384" width="15.83203125" style="1"/>
  </cols>
  <sheetData>
    <row r="1" spans="1:7" ht="6.95" customHeight="1">
      <c r="A1" s="3"/>
      <c r="B1" s="3"/>
      <c r="C1" s="3"/>
      <c r="D1" s="3"/>
      <c r="E1" s="4"/>
      <c r="F1" s="4"/>
    </row>
    <row r="2" spans="1:7" ht="15.95" customHeight="1">
      <c r="A2" s="41"/>
      <c r="B2" s="5" t="s">
        <v>6</v>
      </c>
      <c r="C2" s="6"/>
      <c r="D2" s="6"/>
      <c r="E2" s="6"/>
      <c r="F2" s="106"/>
      <c r="G2" s="117" t="s">
        <v>8</v>
      </c>
    </row>
    <row r="3" spans="1:7" ht="15.95" customHeight="1">
      <c r="A3" s="45"/>
      <c r="B3" s="7" t="str">
        <f>STATDATE</f>
        <v>ESTIMATE SEPTEMBER 30, 2013</v>
      </c>
      <c r="C3" s="8"/>
      <c r="D3" s="8"/>
      <c r="E3" s="8"/>
      <c r="F3" s="108"/>
      <c r="G3" s="108"/>
    </row>
    <row r="4" spans="1:7" ht="15.95" customHeight="1">
      <c r="E4" s="4"/>
      <c r="F4" s="4"/>
    </row>
    <row r="5" spans="1:7" ht="15.95" customHeight="1"/>
    <row r="6" spans="1:7" ht="15.95" customHeight="1">
      <c r="B6" s="644" t="s">
        <v>623</v>
      </c>
      <c r="C6" s="645"/>
      <c r="D6" s="505" t="s">
        <v>457</v>
      </c>
      <c r="F6" s="642" t="s">
        <v>54</v>
      </c>
    </row>
    <row r="7" spans="1:7" ht="15.95" customHeight="1">
      <c r="B7" s="646"/>
      <c r="C7" s="647"/>
      <c r="D7" s="512" t="s">
        <v>139</v>
      </c>
      <c r="F7" s="643"/>
    </row>
    <row r="8" spans="1:7" ht="15.95" customHeight="1">
      <c r="A8" s="32"/>
      <c r="B8" s="14" t="s">
        <v>187</v>
      </c>
      <c r="C8" s="235"/>
      <c r="D8" s="11" t="s">
        <v>112</v>
      </c>
      <c r="E8" s="14"/>
      <c r="F8" s="111" t="s">
        <v>458</v>
      </c>
    </row>
    <row r="9" spans="1:7" ht="15.95" customHeight="1">
      <c r="A9" s="118" t="s">
        <v>81</v>
      </c>
      <c r="B9" s="114" t="s">
        <v>22</v>
      </c>
      <c r="C9" s="114" t="s">
        <v>54</v>
      </c>
      <c r="D9" s="511" t="s">
        <v>465</v>
      </c>
      <c r="E9" s="120"/>
      <c r="F9" s="114" t="s">
        <v>171</v>
      </c>
    </row>
    <row r="10" spans="1:7" ht="5.0999999999999996" customHeight="1">
      <c r="A10" s="37"/>
      <c r="B10" s="66"/>
      <c r="C10" s="37"/>
      <c r="E10" s="121"/>
    </row>
    <row r="11" spans="1:7" ht="14.1" customHeight="1">
      <c r="A11" s="360" t="s">
        <v>230</v>
      </c>
      <c r="B11" s="387">
        <v>0</v>
      </c>
      <c r="C11" s="387">
        <f>SUM('- 6 -'!$B11:H11,B11)</f>
        <v>1531.5</v>
      </c>
      <c r="D11" s="387"/>
      <c r="E11" s="122"/>
      <c r="F11" s="387">
        <f>C11+D11</f>
        <v>1531.5</v>
      </c>
    </row>
    <row r="12" spans="1:7" ht="14.1" customHeight="1">
      <c r="A12" s="23" t="s">
        <v>231</v>
      </c>
      <c r="B12" s="67">
        <v>165.3</v>
      </c>
      <c r="C12" s="67">
        <f>SUM('- 6 -'!$B12:H12,B12)</f>
        <v>2278.1000000000004</v>
      </c>
      <c r="D12" s="67"/>
      <c r="E12" s="122"/>
      <c r="F12" s="67">
        <f t="shared" ref="F12:F46" si="0">C12+D12</f>
        <v>2278.1000000000004</v>
      </c>
    </row>
    <row r="13" spans="1:7" ht="14.1" customHeight="1">
      <c r="A13" s="360" t="s">
        <v>232</v>
      </c>
      <c r="B13" s="387">
        <v>379.73</v>
      </c>
      <c r="C13" s="387">
        <f>SUM('- 6 -'!$B13:H13,B13)</f>
        <v>8084.0300000000007</v>
      </c>
      <c r="D13" s="387"/>
      <c r="E13" s="122"/>
      <c r="F13" s="387">
        <f t="shared" si="0"/>
        <v>8084.0300000000007</v>
      </c>
    </row>
    <row r="14" spans="1:7" ht="14.1" customHeight="1">
      <c r="A14" s="23" t="s">
        <v>578</v>
      </c>
      <c r="B14" s="67">
        <v>0</v>
      </c>
      <c r="C14" s="67">
        <f>SUM('- 6 -'!$B14:H14,B14)</f>
        <v>5215</v>
      </c>
      <c r="D14" s="67"/>
      <c r="E14" s="122"/>
      <c r="F14" s="67">
        <f t="shared" si="0"/>
        <v>5215</v>
      </c>
    </row>
    <row r="15" spans="1:7" ht="14.1" customHeight="1">
      <c r="A15" s="360" t="s">
        <v>233</v>
      </c>
      <c r="B15" s="387">
        <v>20</v>
      </c>
      <c r="C15" s="387">
        <f>SUM('- 6 -'!$B15:H15,B15)</f>
        <v>1520</v>
      </c>
      <c r="D15" s="387"/>
      <c r="E15" s="122"/>
      <c r="F15" s="387">
        <f t="shared" si="0"/>
        <v>1520</v>
      </c>
    </row>
    <row r="16" spans="1:7" ht="14.1" customHeight="1">
      <c r="A16" s="23" t="s">
        <v>234</v>
      </c>
      <c r="B16" s="67">
        <v>13</v>
      </c>
      <c r="C16" s="67">
        <f>SUM('- 6 -'!$B16:H16,B16)</f>
        <v>995</v>
      </c>
      <c r="D16" s="67"/>
      <c r="E16" s="122"/>
      <c r="F16" s="67">
        <f t="shared" si="0"/>
        <v>995</v>
      </c>
    </row>
    <row r="17" spans="1:6" ht="14.1" customHeight="1">
      <c r="A17" s="360" t="s">
        <v>235</v>
      </c>
      <c r="B17" s="387">
        <v>35</v>
      </c>
      <c r="C17" s="387">
        <f>SUM('- 6 -'!$B17:H17,B17)</f>
        <v>1300.5</v>
      </c>
      <c r="D17" s="387"/>
      <c r="E17" s="122"/>
      <c r="F17" s="387">
        <f t="shared" si="0"/>
        <v>1300.5</v>
      </c>
    </row>
    <row r="18" spans="1:6" ht="14.1" customHeight="1">
      <c r="A18" s="23" t="s">
        <v>236</v>
      </c>
      <c r="B18" s="67">
        <v>0</v>
      </c>
      <c r="C18" s="67">
        <f>SUM('- 6 -'!$B18:H18,B18)</f>
        <v>6232.5</v>
      </c>
      <c r="D18" s="67"/>
      <c r="E18" s="122"/>
      <c r="F18" s="67">
        <f t="shared" si="0"/>
        <v>6232.5</v>
      </c>
    </row>
    <row r="19" spans="1:6" ht="14.1" customHeight="1">
      <c r="A19" s="360" t="s">
        <v>237</v>
      </c>
      <c r="B19" s="387">
        <v>105</v>
      </c>
      <c r="C19" s="387">
        <f>SUM('- 6 -'!$B19:H19,B19)</f>
        <v>4209</v>
      </c>
      <c r="D19" s="387"/>
      <c r="E19" s="122"/>
      <c r="F19" s="387">
        <f t="shared" si="0"/>
        <v>4209</v>
      </c>
    </row>
    <row r="20" spans="1:6" ht="14.1" customHeight="1">
      <c r="A20" s="23" t="s">
        <v>238</v>
      </c>
      <c r="B20" s="67">
        <v>447.14</v>
      </c>
      <c r="C20" s="67">
        <f>SUM('- 6 -'!$B20:H20,B20)</f>
        <v>7539.5</v>
      </c>
      <c r="D20" s="67"/>
      <c r="E20" s="122"/>
      <c r="F20" s="67">
        <f t="shared" si="0"/>
        <v>7539.5</v>
      </c>
    </row>
    <row r="21" spans="1:6" ht="14.1" customHeight="1">
      <c r="A21" s="360" t="s">
        <v>239</v>
      </c>
      <c r="B21" s="387">
        <v>0</v>
      </c>
      <c r="C21" s="387">
        <f>SUM('- 6 -'!$B21:H21,B21)</f>
        <v>2690</v>
      </c>
      <c r="D21" s="387"/>
      <c r="E21" s="122"/>
      <c r="F21" s="387">
        <f t="shared" si="0"/>
        <v>2690</v>
      </c>
    </row>
    <row r="22" spans="1:6" ht="14.1" customHeight="1">
      <c r="A22" s="23" t="s">
        <v>240</v>
      </c>
      <c r="B22" s="67">
        <v>0</v>
      </c>
      <c r="C22" s="67">
        <f>SUM('- 6 -'!$B22:H22,B22)</f>
        <v>1619</v>
      </c>
      <c r="D22" s="67"/>
      <c r="E22" s="122"/>
      <c r="F22" s="67">
        <f t="shared" si="0"/>
        <v>1619</v>
      </c>
    </row>
    <row r="23" spans="1:6" ht="14.1" customHeight="1">
      <c r="A23" s="360" t="s">
        <v>241</v>
      </c>
      <c r="B23" s="387">
        <v>22</v>
      </c>
      <c r="C23" s="387">
        <f>SUM('- 6 -'!$B23:H23,B23)</f>
        <v>1182</v>
      </c>
      <c r="D23" s="387"/>
      <c r="E23" s="122"/>
      <c r="F23" s="387">
        <f t="shared" si="0"/>
        <v>1182</v>
      </c>
    </row>
    <row r="24" spans="1:6" ht="14.1" customHeight="1">
      <c r="A24" s="23" t="s">
        <v>242</v>
      </c>
      <c r="B24" s="67">
        <v>342</v>
      </c>
      <c r="C24" s="67">
        <f>SUM('- 6 -'!$B24:H24,B24)</f>
        <v>4196.5</v>
      </c>
      <c r="D24" s="67"/>
      <c r="E24" s="122"/>
      <c r="F24" s="67">
        <f t="shared" si="0"/>
        <v>4196.5</v>
      </c>
    </row>
    <row r="25" spans="1:6" ht="14.1" customHeight="1">
      <c r="A25" s="360" t="s">
        <v>243</v>
      </c>
      <c r="B25" s="387">
        <v>154</v>
      </c>
      <c r="C25" s="387">
        <f>SUM('- 6 -'!$B25:H25,B25)</f>
        <v>13807</v>
      </c>
      <c r="D25" s="387"/>
      <c r="E25" s="122"/>
      <c r="F25" s="387">
        <f t="shared" si="0"/>
        <v>13807</v>
      </c>
    </row>
    <row r="26" spans="1:6" ht="14.1" customHeight="1">
      <c r="A26" s="23" t="s">
        <v>244</v>
      </c>
      <c r="B26" s="67">
        <v>153.69999999999999</v>
      </c>
      <c r="C26" s="67">
        <f>SUM('- 6 -'!$B26:H26,B26)</f>
        <v>3088.5</v>
      </c>
      <c r="D26" s="67"/>
      <c r="E26" s="122"/>
      <c r="F26" s="67">
        <f t="shared" si="0"/>
        <v>3088.5</v>
      </c>
    </row>
    <row r="27" spans="1:6" ht="14.1" customHeight="1">
      <c r="A27" s="360" t="s">
        <v>245</v>
      </c>
      <c r="B27" s="387">
        <v>215</v>
      </c>
      <c r="C27" s="387">
        <f>SUM('- 6 -'!$B27:H27,B27)</f>
        <v>2751</v>
      </c>
      <c r="D27" s="387"/>
      <c r="E27" s="122"/>
      <c r="F27" s="387">
        <f t="shared" si="0"/>
        <v>2751</v>
      </c>
    </row>
    <row r="28" spans="1:6" ht="14.1" customHeight="1">
      <c r="A28" s="23" t="s">
        <v>246</v>
      </c>
      <c r="B28" s="67">
        <v>0</v>
      </c>
      <c r="C28" s="67">
        <f>SUM('- 6 -'!$B28:H28,B28)</f>
        <v>1975</v>
      </c>
      <c r="D28" s="67"/>
      <c r="E28" s="122"/>
      <c r="F28" s="67">
        <f t="shared" si="0"/>
        <v>1975</v>
      </c>
    </row>
    <row r="29" spans="1:6" ht="14.1" customHeight="1">
      <c r="A29" s="360" t="s">
        <v>247</v>
      </c>
      <c r="B29" s="387">
        <v>0</v>
      </c>
      <c r="C29" s="387">
        <f>SUM('- 6 -'!$B29:H29,B29)</f>
        <v>12087.5</v>
      </c>
      <c r="D29" s="387"/>
      <c r="E29" s="122"/>
      <c r="F29" s="387">
        <f t="shared" si="0"/>
        <v>12087.5</v>
      </c>
    </row>
    <row r="30" spans="1:6" ht="14.1" customHeight="1">
      <c r="A30" s="23" t="s">
        <v>248</v>
      </c>
      <c r="B30" s="67">
        <v>0</v>
      </c>
      <c r="C30" s="67">
        <f>SUM('- 6 -'!$B30:H30,B30)</f>
        <v>1070</v>
      </c>
      <c r="D30" s="67"/>
      <c r="E30" s="122"/>
      <c r="F30" s="67">
        <f t="shared" si="0"/>
        <v>1070</v>
      </c>
    </row>
    <row r="31" spans="1:6" ht="14.1" customHeight="1">
      <c r="A31" s="360" t="s">
        <v>249</v>
      </c>
      <c r="B31" s="387">
        <v>83</v>
      </c>
      <c r="C31" s="387">
        <f>SUM('- 6 -'!$B31:H31,B31)</f>
        <v>3190</v>
      </c>
      <c r="D31" s="387"/>
      <c r="E31" s="122"/>
      <c r="F31" s="387">
        <f t="shared" si="0"/>
        <v>3190</v>
      </c>
    </row>
    <row r="32" spans="1:6" ht="14.1" customHeight="1">
      <c r="A32" s="23" t="s">
        <v>250</v>
      </c>
      <c r="B32" s="67">
        <v>43</v>
      </c>
      <c r="C32" s="67">
        <f>SUM('- 6 -'!$B32:H32,B32)</f>
        <v>2045.5</v>
      </c>
      <c r="D32" s="67"/>
      <c r="E32" s="122"/>
      <c r="F32" s="67">
        <f t="shared" si="0"/>
        <v>2045.5</v>
      </c>
    </row>
    <row r="33" spans="1:7" ht="14.1" customHeight="1">
      <c r="A33" s="360" t="s">
        <v>251</v>
      </c>
      <c r="B33" s="387">
        <v>50</v>
      </c>
      <c r="C33" s="387">
        <f>SUM('- 6 -'!$B33:H33,B33)</f>
        <v>2026</v>
      </c>
      <c r="D33" s="387"/>
      <c r="E33" s="122"/>
      <c r="F33" s="387">
        <f t="shared" si="0"/>
        <v>2026</v>
      </c>
    </row>
    <row r="34" spans="1:7" ht="14.1" customHeight="1">
      <c r="A34" s="23" t="s">
        <v>252</v>
      </c>
      <c r="B34" s="67">
        <v>22.47</v>
      </c>
      <c r="C34" s="67">
        <f>SUM('- 6 -'!$B34:H34,B34)</f>
        <v>2014.37</v>
      </c>
      <c r="D34" s="67"/>
      <c r="E34" s="122"/>
      <c r="F34" s="67">
        <f t="shared" si="0"/>
        <v>2014.37</v>
      </c>
    </row>
    <row r="35" spans="1:7" ht="14.1" customHeight="1">
      <c r="A35" s="360" t="s">
        <v>253</v>
      </c>
      <c r="B35" s="387">
        <v>514</v>
      </c>
      <c r="C35" s="387">
        <f>SUM('- 6 -'!$B35:H35,B35)</f>
        <v>15785.5</v>
      </c>
      <c r="D35" s="387"/>
      <c r="E35" s="122"/>
      <c r="F35" s="387">
        <f t="shared" si="0"/>
        <v>15785.5</v>
      </c>
    </row>
    <row r="36" spans="1:7" ht="14.1" customHeight="1">
      <c r="A36" s="23" t="s">
        <v>254</v>
      </c>
      <c r="B36" s="67">
        <v>8.6999999999999993</v>
      </c>
      <c r="C36" s="67">
        <f>SUM('- 6 -'!$B36:H36,B36)</f>
        <v>1678.5</v>
      </c>
      <c r="D36" s="67"/>
      <c r="E36" s="122"/>
      <c r="F36" s="67">
        <f t="shared" si="0"/>
        <v>1678.5</v>
      </c>
    </row>
    <row r="37" spans="1:7" ht="14.1" customHeight="1">
      <c r="A37" s="360" t="s">
        <v>255</v>
      </c>
      <c r="B37" s="387">
        <v>0</v>
      </c>
      <c r="C37" s="387">
        <f>SUM('- 6 -'!$B37:H37,B37)</f>
        <v>3728.5</v>
      </c>
      <c r="D37" s="387"/>
      <c r="E37" s="122"/>
      <c r="F37" s="387">
        <f t="shared" si="0"/>
        <v>3728.5</v>
      </c>
    </row>
    <row r="38" spans="1:7" ht="14.1" customHeight="1">
      <c r="A38" s="23" t="s">
        <v>256</v>
      </c>
      <c r="B38" s="67">
        <v>172</v>
      </c>
      <c r="C38" s="67">
        <f>SUM('- 6 -'!$B38:H38,B38)</f>
        <v>10552</v>
      </c>
      <c r="D38" s="67"/>
      <c r="E38" s="122"/>
      <c r="F38" s="67">
        <f t="shared" si="0"/>
        <v>10552</v>
      </c>
    </row>
    <row r="39" spans="1:7" ht="14.1" customHeight="1">
      <c r="A39" s="360" t="s">
        <v>257</v>
      </c>
      <c r="B39" s="387">
        <v>24</v>
      </c>
      <c r="C39" s="387">
        <f>SUM('- 6 -'!$B39:H39,B39)</f>
        <v>1583</v>
      </c>
      <c r="D39" s="387"/>
      <c r="E39" s="122"/>
      <c r="F39" s="387">
        <f t="shared" si="0"/>
        <v>1583</v>
      </c>
    </row>
    <row r="40" spans="1:7" ht="14.1" customHeight="1">
      <c r="A40" s="23" t="s">
        <v>258</v>
      </c>
      <c r="B40" s="67">
        <v>297.39999999999998</v>
      </c>
      <c r="C40" s="67">
        <f>SUM('- 6 -'!$B40:H40,B40)</f>
        <v>7982.6999999999989</v>
      </c>
      <c r="D40" s="67"/>
      <c r="E40" s="122"/>
      <c r="F40" s="67">
        <f t="shared" si="0"/>
        <v>7982.6999999999989</v>
      </c>
    </row>
    <row r="41" spans="1:7" ht="14.1" customHeight="1">
      <c r="A41" s="360" t="s">
        <v>259</v>
      </c>
      <c r="B41" s="387">
        <v>0</v>
      </c>
      <c r="C41" s="387">
        <f>SUM('- 6 -'!$B41:H41,B41)</f>
        <v>4447</v>
      </c>
      <c r="D41" s="387"/>
      <c r="E41" s="122"/>
      <c r="F41" s="387">
        <f t="shared" si="0"/>
        <v>4447</v>
      </c>
    </row>
    <row r="42" spans="1:7" ht="14.1" customHeight="1">
      <c r="A42" s="23" t="s">
        <v>260</v>
      </c>
      <c r="B42" s="67">
        <v>127.3</v>
      </c>
      <c r="C42" s="67">
        <f>SUM('- 6 -'!$B42:H42,B42)</f>
        <v>1399</v>
      </c>
      <c r="D42" s="67"/>
      <c r="E42" s="122"/>
      <c r="F42" s="67">
        <f t="shared" si="0"/>
        <v>1399</v>
      </c>
    </row>
    <row r="43" spans="1:7" ht="14.1" customHeight="1">
      <c r="A43" s="360" t="s">
        <v>261</v>
      </c>
      <c r="B43" s="387">
        <v>10</v>
      </c>
      <c r="C43" s="387">
        <f>SUM('- 6 -'!$B43:H43,B43)</f>
        <v>965.5</v>
      </c>
      <c r="D43" s="387"/>
      <c r="E43" s="122"/>
      <c r="F43" s="387">
        <f t="shared" si="0"/>
        <v>965.5</v>
      </c>
    </row>
    <row r="44" spans="1:7" ht="14.1" customHeight="1">
      <c r="A44" s="23" t="s">
        <v>262</v>
      </c>
      <c r="B44" s="67">
        <v>0</v>
      </c>
      <c r="C44" s="67">
        <f>SUM('- 6 -'!$B44:H44,B44)</f>
        <v>753</v>
      </c>
      <c r="D44" s="67"/>
      <c r="E44" s="122"/>
      <c r="F44" s="67">
        <f t="shared" si="0"/>
        <v>753</v>
      </c>
    </row>
    <row r="45" spans="1:7" ht="14.1" customHeight="1">
      <c r="A45" s="360" t="s">
        <v>263</v>
      </c>
      <c r="B45" s="387">
        <v>40</v>
      </c>
      <c r="C45" s="387">
        <f>SUM('- 6 -'!$B45:H45,B45)</f>
        <v>1685</v>
      </c>
      <c r="D45" s="387"/>
      <c r="E45" s="122"/>
      <c r="F45" s="387">
        <f t="shared" si="0"/>
        <v>1685</v>
      </c>
    </row>
    <row r="46" spans="1:7" ht="14.1" customHeight="1">
      <c r="A46" s="23" t="s">
        <v>264</v>
      </c>
      <c r="B46" s="67">
        <v>622.6</v>
      </c>
      <c r="C46" s="67">
        <f>SUM('- 6 -'!$B46:H46,B46)</f>
        <v>30340</v>
      </c>
      <c r="D46" s="67"/>
      <c r="E46" s="122"/>
      <c r="F46" s="67">
        <f t="shared" si="0"/>
        <v>30340</v>
      </c>
    </row>
    <row r="47" spans="1:7" ht="5.0999999999999996" customHeight="1">
      <c r="A47"/>
      <c r="B47"/>
      <c r="C47"/>
      <c r="D47"/>
      <c r="E47"/>
      <c r="F47"/>
      <c r="G47"/>
    </row>
    <row r="48" spans="1:7" ht="14.1" customHeight="1">
      <c r="A48" s="363" t="s">
        <v>265</v>
      </c>
      <c r="B48" s="388">
        <f>SUM(B11:B46)</f>
        <v>4066.3399999999997</v>
      </c>
      <c r="C48" s="388">
        <f>SUM(C11:C46)</f>
        <v>173547.2</v>
      </c>
      <c r="D48" s="388"/>
      <c r="E48" s="123"/>
      <c r="F48" s="388">
        <f>SUM(F11:F46)</f>
        <v>173547.2</v>
      </c>
    </row>
    <row r="49" spans="1:7" ht="5.0999999999999996" customHeight="1">
      <c r="A49" s="25" t="s">
        <v>3</v>
      </c>
      <c r="B49" s="70"/>
      <c r="C49" s="70"/>
      <c r="D49" s="70"/>
      <c r="E49" s="121"/>
      <c r="F49" s="70"/>
    </row>
    <row r="50" spans="1:7" ht="14.1" customHeight="1">
      <c r="A50" s="23" t="s">
        <v>266</v>
      </c>
      <c r="B50" s="67">
        <v>0</v>
      </c>
      <c r="C50" s="67">
        <f>SUM('- 6 -'!$B50:H50,B50)</f>
        <v>167</v>
      </c>
      <c r="D50" s="67"/>
      <c r="E50" s="122"/>
      <c r="F50" s="67">
        <f>C50+D50</f>
        <v>167</v>
      </c>
    </row>
    <row r="51" spans="1:7" ht="14.1" customHeight="1">
      <c r="A51" s="360" t="s">
        <v>267</v>
      </c>
      <c r="B51" s="387">
        <v>565</v>
      </c>
      <c r="C51" s="387">
        <f>SUM('- 6 -'!$B51:H51,B51)</f>
        <v>621</v>
      </c>
      <c r="D51" s="387"/>
      <c r="E51" s="122"/>
      <c r="F51" s="387">
        <f>C51+D51</f>
        <v>621</v>
      </c>
    </row>
    <row r="52" spans="1:7" ht="50.1" customHeight="1">
      <c r="A52" s="530"/>
      <c r="B52" s="530"/>
      <c r="C52" s="530"/>
      <c r="D52" s="530"/>
      <c r="E52" s="530"/>
      <c r="F52" s="530"/>
      <c r="G52" s="530"/>
    </row>
    <row r="53" spans="1:7" ht="15" customHeight="1">
      <c r="A53" s="28" t="s">
        <v>659</v>
      </c>
      <c r="B53" s="608"/>
      <c r="C53" s="608"/>
      <c r="D53" s="608"/>
      <c r="E53" s="608"/>
      <c r="F53" s="608"/>
      <c r="G53" s="608"/>
    </row>
    <row r="54" spans="1:7" ht="12" customHeight="1">
      <c r="A54" s="28" t="s">
        <v>661</v>
      </c>
      <c r="B54" s="608"/>
      <c r="C54" s="608"/>
      <c r="D54" s="608"/>
      <c r="E54" s="608"/>
      <c r="F54" s="608"/>
      <c r="G54" s="608"/>
    </row>
    <row r="55" spans="1:7">
      <c r="A55" s="28" t="s">
        <v>660</v>
      </c>
    </row>
    <row r="56" spans="1:7" ht="14.45" customHeight="1"/>
    <row r="57" spans="1:7" ht="14.45" customHeight="1"/>
    <row r="58" spans="1:7" ht="14.45" customHeight="1"/>
    <row r="59" spans="1:7" ht="14.45" customHeight="1"/>
  </sheetData>
  <mergeCells count="2">
    <mergeCell ref="F6:F7"/>
    <mergeCell ref="B6:C7"/>
  </mergeCells>
  <phoneticPr fontId="0" type="noConversion"/>
  <printOptions horizontalCentered="1"/>
  <pageMargins left="0.5" right="0.5" top="0.6" bottom="0" header="0.3" footer="0"/>
  <pageSetup scale="91" orientation="portrait" r:id="rId1"/>
  <headerFooter alignWithMargins="0">
    <oddHeader>&amp;C&amp;"Arial,Bold"&amp;10&amp;A</oddHeader>
  </headerFooter>
</worksheet>
</file>

<file path=xl/worksheets/sheet50.xml><?xml version="1.0" encoding="utf-8"?>
<worksheet xmlns="http://schemas.openxmlformats.org/spreadsheetml/2006/main" xmlns:r="http://schemas.openxmlformats.org/officeDocument/2006/relationships">
  <sheetPr codeName="Sheet611">
    <pageSetUpPr fitToPage="1"/>
  </sheetPr>
  <dimension ref="A1:I64"/>
  <sheetViews>
    <sheetView showGridLines="0" showZeros="0" workbookViewId="0"/>
  </sheetViews>
  <sheetFormatPr defaultColWidth="14.83203125" defaultRowHeight="12"/>
  <cols>
    <col min="1" max="1" width="26.83203125" style="1" customWidth="1"/>
    <col min="2" max="2" width="15.83203125" style="1" customWidth="1"/>
    <col min="3" max="3" width="17.83203125" style="1" customWidth="1"/>
    <col min="4" max="4" width="19.83203125" style="1" customWidth="1"/>
    <col min="5" max="6" width="18.83203125" style="1" customWidth="1"/>
    <col min="7" max="7" width="16.83203125" style="1" customWidth="1"/>
    <col min="8" max="8" width="0" style="1" hidden="1" customWidth="1"/>
    <col min="9" max="16384" width="14.83203125" style="1"/>
  </cols>
  <sheetData>
    <row r="1" spans="1:9" ht="6.95" customHeight="1">
      <c r="A1" s="3"/>
      <c r="B1" s="4"/>
      <c r="C1" s="4"/>
      <c r="D1" s="4"/>
    </row>
    <row r="2" spans="1:9" ht="18" customHeight="1">
      <c r="A2" s="287"/>
      <c r="B2" s="287" t="s">
        <v>694</v>
      </c>
      <c r="C2" s="517"/>
      <c r="D2" s="517"/>
      <c r="E2" s="517"/>
      <c r="F2" s="517"/>
      <c r="G2" s="518" t="s">
        <v>370</v>
      </c>
    </row>
    <row r="3" spans="1:9" ht="3.95" customHeight="1">
      <c r="A3" s="288"/>
      <c r="B3" s="289"/>
      <c r="C3" s="289"/>
      <c r="D3" s="289"/>
      <c r="E3" s="289"/>
      <c r="F3" s="289"/>
      <c r="G3" s="302"/>
    </row>
    <row r="4" spans="1:9" ht="15" customHeight="1">
      <c r="A4" s="303"/>
      <c r="B4" s="479" t="s">
        <v>495</v>
      </c>
      <c r="C4" s="480"/>
      <c r="D4" s="480"/>
      <c r="E4" s="480"/>
      <c r="F4" s="480"/>
      <c r="G4" s="481"/>
    </row>
    <row r="5" spans="1:9" ht="14.1" customHeight="1">
      <c r="A5" s="295"/>
      <c r="B5" s="297"/>
      <c r="C5" s="297"/>
      <c r="D5" s="297"/>
      <c r="E5" s="297"/>
      <c r="F5" s="297" t="s">
        <v>454</v>
      </c>
      <c r="G5" s="297"/>
    </row>
    <row r="6" spans="1:9" ht="14.1" customHeight="1">
      <c r="A6" s="295"/>
      <c r="B6" s="297"/>
      <c r="C6" s="297" t="s">
        <v>315</v>
      </c>
      <c r="D6" s="297"/>
      <c r="E6" s="297"/>
      <c r="F6" s="297" t="s">
        <v>174</v>
      </c>
      <c r="G6" s="297"/>
    </row>
    <row r="7" spans="1:9" ht="14.1" customHeight="1">
      <c r="A7" s="295"/>
      <c r="B7" s="297"/>
      <c r="C7" s="297" t="s">
        <v>320</v>
      </c>
      <c r="D7" s="297"/>
      <c r="E7" s="297" t="s">
        <v>314</v>
      </c>
      <c r="F7" s="297" t="s">
        <v>325</v>
      </c>
      <c r="G7" s="297"/>
    </row>
    <row r="8" spans="1:9" ht="14.1" customHeight="1">
      <c r="A8" s="295"/>
      <c r="B8" s="297" t="s">
        <v>180</v>
      </c>
      <c r="C8" s="297" t="s">
        <v>140</v>
      </c>
      <c r="D8" s="297" t="s">
        <v>23</v>
      </c>
      <c r="E8" s="297" t="s">
        <v>52</v>
      </c>
      <c r="F8" s="297" t="s">
        <v>322</v>
      </c>
      <c r="G8" s="297" t="s">
        <v>54</v>
      </c>
    </row>
    <row r="9" spans="1:9" ht="14.1" customHeight="1">
      <c r="A9" s="17"/>
      <c r="B9" s="297" t="s">
        <v>316</v>
      </c>
      <c r="C9" s="297" t="s">
        <v>317</v>
      </c>
      <c r="D9" s="297" t="s">
        <v>318</v>
      </c>
      <c r="E9" s="297" t="s">
        <v>319</v>
      </c>
      <c r="F9" s="297" t="s">
        <v>323</v>
      </c>
      <c r="G9" s="297" t="s">
        <v>324</v>
      </c>
    </row>
    <row r="10" spans="1:9" ht="14.1" customHeight="1">
      <c r="A10" s="19" t="s">
        <v>81</v>
      </c>
      <c r="B10" s="482" t="s">
        <v>379</v>
      </c>
      <c r="C10" s="482" t="s">
        <v>382</v>
      </c>
      <c r="D10" s="482" t="s">
        <v>383</v>
      </c>
      <c r="E10" s="482" t="s">
        <v>547</v>
      </c>
      <c r="F10" s="304" t="s">
        <v>273</v>
      </c>
      <c r="G10" s="304" t="s">
        <v>273</v>
      </c>
      <c r="I10" s="157"/>
    </row>
    <row r="11" spans="1:9" ht="5.0999999999999996" customHeight="1">
      <c r="A11" s="22"/>
      <c r="C11" s="272"/>
      <c r="D11" s="247"/>
      <c r="E11" s="3"/>
    </row>
    <row r="12" spans="1:9" ht="13.5" customHeight="1">
      <c r="A12" s="360" t="s">
        <v>230</v>
      </c>
      <c r="B12" s="361">
        <v>608860</v>
      </c>
      <c r="C12" s="361">
        <v>0</v>
      </c>
      <c r="D12" s="361">
        <v>58150</v>
      </c>
      <c r="E12" s="361">
        <v>59330</v>
      </c>
      <c r="F12" s="361">
        <f>-Data!M11-Data!N11</f>
        <v>-21000</v>
      </c>
      <c r="G12" s="361">
        <f>SUM(B12:F12)</f>
        <v>705340</v>
      </c>
      <c r="H12" s="474">
        <v>705340</v>
      </c>
      <c r="I12" s="1">
        <f>G12-H12</f>
        <v>0</v>
      </c>
    </row>
    <row r="13" spans="1:9" ht="13.5" customHeight="1">
      <c r="A13" s="23" t="s">
        <v>231</v>
      </c>
      <c r="B13" s="24">
        <v>1035692</v>
      </c>
      <c r="C13" s="24">
        <v>0</v>
      </c>
      <c r="D13" s="24">
        <v>84220</v>
      </c>
      <c r="E13" s="24">
        <v>83499</v>
      </c>
      <c r="F13" s="24">
        <f>-Data!M12-Data!N12</f>
        <v>-29603</v>
      </c>
      <c r="G13" s="24">
        <f t="shared" ref="G13:G47" si="0">SUM(B13:F13)</f>
        <v>1173808</v>
      </c>
      <c r="H13" s="475">
        <v>1173808</v>
      </c>
      <c r="I13" s="1">
        <f t="shared" ref="I13:I49" si="1">G13-H13</f>
        <v>0</v>
      </c>
    </row>
    <row r="14" spans="1:9" ht="13.5" customHeight="1">
      <c r="A14" s="360" t="s">
        <v>232</v>
      </c>
      <c r="B14" s="361">
        <v>2732600</v>
      </c>
      <c r="C14" s="361">
        <v>0</v>
      </c>
      <c r="D14" s="361">
        <v>180800</v>
      </c>
      <c r="E14" s="361">
        <v>218900</v>
      </c>
      <c r="F14" s="361">
        <f>-Data!M13-Data!N13</f>
        <v>-69000</v>
      </c>
      <c r="G14" s="361">
        <f t="shared" si="0"/>
        <v>3063300</v>
      </c>
      <c r="H14" s="474">
        <v>3063300</v>
      </c>
      <c r="I14" s="1">
        <f t="shared" si="1"/>
        <v>0</v>
      </c>
    </row>
    <row r="15" spans="1:9" ht="13.5" customHeight="1">
      <c r="A15" s="23" t="s">
        <v>578</v>
      </c>
      <c r="B15" s="24"/>
      <c r="C15" s="24"/>
      <c r="D15" s="24"/>
      <c r="E15" s="24"/>
      <c r="F15" s="24"/>
      <c r="G15" s="24"/>
      <c r="H15" s="475"/>
      <c r="I15" s="1">
        <f t="shared" si="1"/>
        <v>0</v>
      </c>
    </row>
    <row r="16" spans="1:9" ht="13.5" customHeight="1">
      <c r="A16" s="360" t="s">
        <v>233</v>
      </c>
      <c r="B16" s="361">
        <v>816345</v>
      </c>
      <c r="C16" s="361">
        <v>0</v>
      </c>
      <c r="D16" s="361">
        <v>72505</v>
      </c>
      <c r="E16" s="361">
        <v>73105</v>
      </c>
      <c r="F16" s="361">
        <f>-Data!M15-Data!N15</f>
        <v>-25000</v>
      </c>
      <c r="G16" s="361">
        <f t="shared" si="0"/>
        <v>936955</v>
      </c>
      <c r="H16" s="474">
        <v>936955</v>
      </c>
      <c r="I16" s="1">
        <f t="shared" si="1"/>
        <v>0</v>
      </c>
    </row>
    <row r="17" spans="1:9" ht="13.5" customHeight="1">
      <c r="A17" s="23" t="s">
        <v>234</v>
      </c>
      <c r="B17" s="24">
        <v>684712</v>
      </c>
      <c r="C17" s="24">
        <v>0</v>
      </c>
      <c r="D17" s="24">
        <v>0</v>
      </c>
      <c r="E17" s="24">
        <v>62871</v>
      </c>
      <c r="F17" s="24">
        <f>-Data!M16-Data!N16</f>
        <v>-20000</v>
      </c>
      <c r="G17" s="24">
        <f t="shared" si="0"/>
        <v>727583</v>
      </c>
      <c r="H17" s="475">
        <v>727583</v>
      </c>
      <c r="I17" s="1">
        <f t="shared" si="1"/>
        <v>0</v>
      </c>
    </row>
    <row r="18" spans="1:9" ht="13.5" customHeight="1">
      <c r="A18" s="360" t="s">
        <v>235</v>
      </c>
      <c r="B18" s="361">
        <v>734250</v>
      </c>
      <c r="C18" s="361">
        <v>0</v>
      </c>
      <c r="D18" s="361">
        <v>52700</v>
      </c>
      <c r="E18" s="361">
        <v>71660</v>
      </c>
      <c r="F18" s="361">
        <f>-Data!M17-Data!N17</f>
        <v>-23000</v>
      </c>
      <c r="G18" s="361">
        <f t="shared" si="0"/>
        <v>835610</v>
      </c>
      <c r="H18" s="474">
        <v>835610</v>
      </c>
      <c r="I18" s="1">
        <f t="shared" si="1"/>
        <v>0</v>
      </c>
    </row>
    <row r="19" spans="1:9" ht="13.5" customHeight="1">
      <c r="A19" s="23" t="s">
        <v>236</v>
      </c>
      <c r="B19" s="24"/>
      <c r="C19" s="24"/>
      <c r="D19" s="24"/>
      <c r="E19" s="24"/>
      <c r="F19" s="24"/>
      <c r="G19" s="24"/>
      <c r="H19" s="475"/>
      <c r="I19" s="1">
        <f t="shared" si="1"/>
        <v>0</v>
      </c>
    </row>
    <row r="20" spans="1:9" ht="13.5" customHeight="1">
      <c r="A20" s="360" t="s">
        <v>237</v>
      </c>
      <c r="B20" s="361">
        <v>1382920</v>
      </c>
      <c r="C20" s="361">
        <v>0</v>
      </c>
      <c r="D20" s="361">
        <v>148200</v>
      </c>
      <c r="E20" s="361">
        <v>162325</v>
      </c>
      <c r="F20" s="361">
        <f>-Data!M19-Data!N19</f>
        <v>-32000</v>
      </c>
      <c r="G20" s="361">
        <f t="shared" si="0"/>
        <v>1661445</v>
      </c>
      <c r="H20" s="474">
        <v>1661445</v>
      </c>
      <c r="I20" s="1">
        <f t="shared" si="1"/>
        <v>0</v>
      </c>
    </row>
    <row r="21" spans="1:9" ht="13.5" customHeight="1">
      <c r="A21" s="23" t="s">
        <v>238</v>
      </c>
      <c r="B21" s="24">
        <v>1983400</v>
      </c>
      <c r="C21" s="24">
        <v>30400</v>
      </c>
      <c r="D21" s="24">
        <v>234200</v>
      </c>
      <c r="E21" s="24">
        <v>249900</v>
      </c>
      <c r="F21" s="24">
        <f>-Data!M20-Data!N20</f>
        <v>-55600</v>
      </c>
      <c r="G21" s="24">
        <f t="shared" si="0"/>
        <v>2442300</v>
      </c>
      <c r="H21" s="475">
        <v>2442300</v>
      </c>
      <c r="I21" s="1">
        <f t="shared" si="1"/>
        <v>0</v>
      </c>
    </row>
    <row r="22" spans="1:9" ht="13.5" customHeight="1">
      <c r="A22" s="360" t="s">
        <v>239</v>
      </c>
      <c r="B22" s="361">
        <v>1289000</v>
      </c>
      <c r="C22" s="361">
        <v>0</v>
      </c>
      <c r="D22" s="361">
        <v>154000</v>
      </c>
      <c r="E22" s="361">
        <v>175000</v>
      </c>
      <c r="F22" s="361">
        <f>-Data!M21-Data!N21</f>
        <v>-33000</v>
      </c>
      <c r="G22" s="361">
        <f t="shared" si="0"/>
        <v>1585000</v>
      </c>
      <c r="H22" s="474">
        <v>1585000</v>
      </c>
      <c r="I22" s="1">
        <f t="shared" si="1"/>
        <v>0</v>
      </c>
    </row>
    <row r="23" spans="1:9" ht="13.5" customHeight="1">
      <c r="A23" s="23" t="s">
        <v>240</v>
      </c>
      <c r="B23" s="24">
        <v>780575</v>
      </c>
      <c r="C23" s="24">
        <v>23675</v>
      </c>
      <c r="D23" s="24">
        <v>100190</v>
      </c>
      <c r="E23" s="24">
        <v>92890</v>
      </c>
      <c r="F23" s="24">
        <f>-Data!M22-Data!N22</f>
        <v>-32000</v>
      </c>
      <c r="G23" s="24">
        <f t="shared" si="0"/>
        <v>965330</v>
      </c>
      <c r="H23" s="475">
        <v>965330</v>
      </c>
      <c r="I23" s="1">
        <f t="shared" si="1"/>
        <v>0</v>
      </c>
    </row>
    <row r="24" spans="1:9" ht="13.5" customHeight="1">
      <c r="A24" s="360" t="s">
        <v>241</v>
      </c>
      <c r="B24" s="361">
        <v>594600</v>
      </c>
      <c r="C24" s="361">
        <v>0</v>
      </c>
      <c r="D24" s="361">
        <v>63950</v>
      </c>
      <c r="E24" s="361">
        <v>59250</v>
      </c>
      <c r="F24" s="361">
        <f>-Data!M23-Data!N23</f>
        <v>-22000</v>
      </c>
      <c r="G24" s="361">
        <f t="shared" si="0"/>
        <v>695800</v>
      </c>
      <c r="H24" s="474">
        <v>695800</v>
      </c>
      <c r="I24" s="1">
        <f t="shared" si="1"/>
        <v>0</v>
      </c>
    </row>
    <row r="25" spans="1:9" ht="13.5" customHeight="1">
      <c r="A25" s="23" t="s">
        <v>242</v>
      </c>
      <c r="B25" s="24">
        <v>1815235</v>
      </c>
      <c r="C25" s="24">
        <v>0</v>
      </c>
      <c r="D25" s="24">
        <v>165525</v>
      </c>
      <c r="E25" s="24">
        <v>222790</v>
      </c>
      <c r="F25" s="24">
        <f>-Data!M24-Data!N24</f>
        <v>-50000</v>
      </c>
      <c r="G25" s="24">
        <f t="shared" si="0"/>
        <v>2153550</v>
      </c>
      <c r="H25" s="475">
        <v>2153550</v>
      </c>
      <c r="I25" s="1">
        <f t="shared" si="1"/>
        <v>0</v>
      </c>
    </row>
    <row r="26" spans="1:9" ht="13.5" customHeight="1">
      <c r="A26" s="360" t="s">
        <v>243</v>
      </c>
      <c r="B26" s="361">
        <v>4863796</v>
      </c>
      <c r="C26" s="361">
        <v>0</v>
      </c>
      <c r="D26" s="361">
        <v>242731</v>
      </c>
      <c r="E26" s="361">
        <v>579128</v>
      </c>
      <c r="F26" s="361">
        <f>-Data!M25-Data!N25</f>
        <v>-322405</v>
      </c>
      <c r="G26" s="361">
        <f t="shared" si="0"/>
        <v>5363250</v>
      </c>
      <c r="H26" s="474">
        <v>5363250</v>
      </c>
      <c r="I26" s="1">
        <f t="shared" si="1"/>
        <v>0</v>
      </c>
    </row>
    <row r="27" spans="1:9" ht="13.5" customHeight="1">
      <c r="A27" s="23" t="s">
        <v>244</v>
      </c>
      <c r="B27" s="24">
        <v>1223840</v>
      </c>
      <c r="C27" s="24">
        <v>14452</v>
      </c>
      <c r="D27" s="24">
        <v>185153</v>
      </c>
      <c r="E27" s="24">
        <v>152068</v>
      </c>
      <c r="F27" s="24">
        <f>-Data!M26-Data!N26</f>
        <v>-29000</v>
      </c>
      <c r="G27" s="24">
        <f t="shared" si="0"/>
        <v>1546513</v>
      </c>
      <c r="H27" s="475">
        <v>1546513</v>
      </c>
      <c r="I27" s="1">
        <f t="shared" si="1"/>
        <v>0</v>
      </c>
    </row>
    <row r="28" spans="1:9" ht="13.5" customHeight="1">
      <c r="A28" s="360" t="s">
        <v>245</v>
      </c>
      <c r="B28" s="361">
        <v>1787545</v>
      </c>
      <c r="C28" s="361">
        <v>0</v>
      </c>
      <c r="D28" s="361">
        <v>0</v>
      </c>
      <c r="E28" s="361">
        <v>204691</v>
      </c>
      <c r="F28" s="361">
        <f>-Data!M27-Data!N27</f>
        <v>-70000</v>
      </c>
      <c r="G28" s="361">
        <f t="shared" si="0"/>
        <v>1922236</v>
      </c>
      <c r="H28" s="474">
        <v>1922236</v>
      </c>
      <c r="I28" s="1">
        <f t="shared" si="1"/>
        <v>0</v>
      </c>
    </row>
    <row r="29" spans="1:9" ht="13.5" customHeight="1">
      <c r="A29" s="23" t="s">
        <v>246</v>
      </c>
      <c r="B29" s="24">
        <v>1088081</v>
      </c>
      <c r="C29" s="24">
        <v>0</v>
      </c>
      <c r="D29" s="24">
        <v>77549</v>
      </c>
      <c r="E29" s="24">
        <v>46017</v>
      </c>
      <c r="F29" s="24">
        <f>-Data!M28-Data!N28</f>
        <v>-25000</v>
      </c>
      <c r="G29" s="24">
        <f t="shared" si="0"/>
        <v>1186647</v>
      </c>
      <c r="H29" s="475">
        <v>1186647</v>
      </c>
      <c r="I29" s="1">
        <f t="shared" si="1"/>
        <v>0</v>
      </c>
    </row>
    <row r="30" spans="1:9" ht="13.5" customHeight="1">
      <c r="A30" s="360" t="s">
        <v>247</v>
      </c>
      <c r="B30" s="361">
        <v>4842363</v>
      </c>
      <c r="C30" s="361">
        <v>374236</v>
      </c>
      <c r="D30" s="361">
        <v>167981</v>
      </c>
      <c r="E30" s="361">
        <v>939834</v>
      </c>
      <c r="F30" s="361">
        <f>-Data!M29-Data!N29</f>
        <v>-897967</v>
      </c>
      <c r="G30" s="361">
        <f t="shared" si="0"/>
        <v>5426447</v>
      </c>
      <c r="H30" s="474">
        <v>5426447</v>
      </c>
      <c r="I30" s="1">
        <f t="shared" si="1"/>
        <v>0</v>
      </c>
    </row>
    <row r="31" spans="1:9" ht="13.5" customHeight="1">
      <c r="A31" s="23" t="s">
        <v>248</v>
      </c>
      <c r="B31" s="24">
        <v>542337</v>
      </c>
      <c r="C31" s="24">
        <v>0</v>
      </c>
      <c r="D31" s="24">
        <v>58070</v>
      </c>
      <c r="E31" s="24">
        <v>58080</v>
      </c>
      <c r="F31" s="24">
        <f>-Data!M30-Data!N30</f>
        <v>-21000</v>
      </c>
      <c r="G31" s="24">
        <f t="shared" si="0"/>
        <v>637487</v>
      </c>
      <c r="H31" s="475">
        <v>637487</v>
      </c>
      <c r="I31" s="1">
        <f t="shared" si="1"/>
        <v>0</v>
      </c>
    </row>
    <row r="32" spans="1:9" ht="13.5" customHeight="1">
      <c r="A32" s="360" t="s">
        <v>249</v>
      </c>
      <c r="B32" s="361">
        <v>1138322</v>
      </c>
      <c r="C32" s="361">
        <v>0</v>
      </c>
      <c r="D32" s="361">
        <v>86342</v>
      </c>
      <c r="E32" s="361">
        <v>102578</v>
      </c>
      <c r="F32" s="361">
        <f>-Data!M31-Data!N31</f>
        <v>-40000</v>
      </c>
      <c r="G32" s="361">
        <f t="shared" si="0"/>
        <v>1287242</v>
      </c>
      <c r="H32" s="474">
        <v>1287242</v>
      </c>
      <c r="I32" s="1">
        <f t="shared" si="1"/>
        <v>0</v>
      </c>
    </row>
    <row r="33" spans="1:9" ht="13.5" customHeight="1">
      <c r="A33" s="23" t="s">
        <v>250</v>
      </c>
      <c r="B33" s="24">
        <v>1030170</v>
      </c>
      <c r="C33" s="24">
        <v>0</v>
      </c>
      <c r="D33" s="24">
        <v>97150</v>
      </c>
      <c r="E33" s="24">
        <v>91550</v>
      </c>
      <c r="F33" s="24">
        <f>-Data!M32-Data!N32</f>
        <v>-21000</v>
      </c>
      <c r="G33" s="24">
        <f t="shared" si="0"/>
        <v>1197870</v>
      </c>
      <c r="H33" s="475">
        <v>1197870</v>
      </c>
      <c r="I33" s="1">
        <f t="shared" si="1"/>
        <v>0</v>
      </c>
    </row>
    <row r="34" spans="1:9" ht="13.5" customHeight="1">
      <c r="A34" s="360" t="s">
        <v>251</v>
      </c>
      <c r="B34" s="361">
        <v>878000</v>
      </c>
      <c r="C34" s="361">
        <v>0</v>
      </c>
      <c r="D34" s="361">
        <v>66100</v>
      </c>
      <c r="E34" s="361">
        <v>87700</v>
      </c>
      <c r="F34" s="361">
        <f>-Data!M33-Data!N33</f>
        <v>-32000</v>
      </c>
      <c r="G34" s="361">
        <f t="shared" si="0"/>
        <v>999800</v>
      </c>
      <c r="H34" s="474">
        <v>999800</v>
      </c>
      <c r="I34" s="1">
        <f t="shared" si="1"/>
        <v>0</v>
      </c>
    </row>
    <row r="35" spans="1:9" ht="13.5" customHeight="1">
      <c r="A35" s="23" t="s">
        <v>252</v>
      </c>
      <c r="B35" s="24">
        <v>988240</v>
      </c>
      <c r="C35" s="24">
        <v>6575</v>
      </c>
      <c r="D35" s="24">
        <v>91144</v>
      </c>
      <c r="E35" s="24">
        <v>65173</v>
      </c>
      <c r="F35" s="24">
        <f>-Data!M34-Data!N34</f>
        <v>-39000</v>
      </c>
      <c r="G35" s="24">
        <f t="shared" si="0"/>
        <v>1112132</v>
      </c>
      <c r="H35" s="475">
        <v>1112132</v>
      </c>
      <c r="I35" s="1">
        <f t="shared" si="1"/>
        <v>0</v>
      </c>
    </row>
    <row r="36" spans="1:9" ht="13.5" customHeight="1">
      <c r="A36" s="360" t="s">
        <v>253</v>
      </c>
      <c r="B36" s="361">
        <v>5032460</v>
      </c>
      <c r="C36" s="361">
        <v>362000</v>
      </c>
      <c r="D36" s="361">
        <v>352600</v>
      </c>
      <c r="E36" s="361">
        <v>782350</v>
      </c>
      <c r="F36" s="361">
        <f>-Data!M35-Data!N35</f>
        <v>-60000</v>
      </c>
      <c r="G36" s="361">
        <f t="shared" si="0"/>
        <v>6469410</v>
      </c>
      <c r="H36" s="474">
        <v>6469410</v>
      </c>
      <c r="I36" s="1">
        <f t="shared" si="1"/>
        <v>0</v>
      </c>
    </row>
    <row r="37" spans="1:9" ht="13.5" customHeight="1">
      <c r="A37" s="23" t="s">
        <v>254</v>
      </c>
      <c r="B37" s="24">
        <v>952700</v>
      </c>
      <c r="C37" s="24">
        <v>34530</v>
      </c>
      <c r="D37" s="24">
        <v>56725</v>
      </c>
      <c r="E37" s="24">
        <v>59315</v>
      </c>
      <c r="F37" s="24">
        <f>-Data!M36-Data!N36</f>
        <v>-27000</v>
      </c>
      <c r="G37" s="24">
        <f t="shared" si="0"/>
        <v>1076270</v>
      </c>
      <c r="H37" s="475">
        <v>1076270</v>
      </c>
      <c r="I37" s="1">
        <f t="shared" si="1"/>
        <v>0</v>
      </c>
    </row>
    <row r="38" spans="1:9" ht="13.5" customHeight="1">
      <c r="A38" s="360" t="s">
        <v>255</v>
      </c>
      <c r="B38" s="361">
        <v>1479026</v>
      </c>
      <c r="C38" s="361">
        <v>48808</v>
      </c>
      <c r="D38" s="361">
        <v>160713</v>
      </c>
      <c r="E38" s="361">
        <v>110791</v>
      </c>
      <c r="F38" s="361">
        <f>-Data!M37-Data!N37</f>
        <v>-37000</v>
      </c>
      <c r="G38" s="361">
        <f t="shared" si="0"/>
        <v>1762338</v>
      </c>
      <c r="H38" s="474">
        <v>1762338</v>
      </c>
      <c r="I38" s="1">
        <f t="shared" si="1"/>
        <v>0</v>
      </c>
    </row>
    <row r="39" spans="1:9" ht="13.5" customHeight="1">
      <c r="A39" s="23" t="s">
        <v>256</v>
      </c>
      <c r="B39" s="24">
        <v>3482000</v>
      </c>
      <c r="C39" s="24">
        <v>77700</v>
      </c>
      <c r="D39" s="24">
        <v>277550</v>
      </c>
      <c r="E39" s="24">
        <v>567150</v>
      </c>
      <c r="F39" s="24">
        <f>-Data!M38-Data!N38</f>
        <v>-62000</v>
      </c>
      <c r="G39" s="24">
        <f t="shared" si="0"/>
        <v>4342400</v>
      </c>
      <c r="H39" s="475">
        <v>4342400</v>
      </c>
      <c r="I39" s="1">
        <f t="shared" si="1"/>
        <v>0</v>
      </c>
    </row>
    <row r="40" spans="1:9" ht="13.5" customHeight="1">
      <c r="A40" s="360" t="s">
        <v>257</v>
      </c>
      <c r="B40" s="361">
        <v>845342</v>
      </c>
      <c r="C40" s="361">
        <v>0</v>
      </c>
      <c r="D40" s="361">
        <v>66925</v>
      </c>
      <c r="E40" s="361">
        <v>71821</v>
      </c>
      <c r="F40" s="361">
        <f>-Data!M39-Data!N39</f>
        <v>-13168</v>
      </c>
      <c r="G40" s="361">
        <f t="shared" si="0"/>
        <v>970920</v>
      </c>
      <c r="H40" s="474">
        <v>970920</v>
      </c>
      <c r="I40" s="1">
        <f t="shared" si="1"/>
        <v>0</v>
      </c>
    </row>
    <row r="41" spans="1:9" ht="13.5" customHeight="1">
      <c r="A41" s="23" t="s">
        <v>258</v>
      </c>
      <c r="B41" s="24">
        <v>3315731</v>
      </c>
      <c r="C41" s="24">
        <v>0</v>
      </c>
      <c r="D41" s="24">
        <v>113648</v>
      </c>
      <c r="E41" s="24">
        <v>446680</v>
      </c>
      <c r="F41" s="24">
        <f>-Data!M40-Data!N40</f>
        <v>-315477</v>
      </c>
      <c r="G41" s="24">
        <f t="shared" si="0"/>
        <v>3560582</v>
      </c>
      <c r="H41" s="475">
        <v>3560582</v>
      </c>
      <c r="I41" s="1">
        <f t="shared" si="1"/>
        <v>0</v>
      </c>
    </row>
    <row r="42" spans="1:9" ht="13.5" customHeight="1">
      <c r="A42" s="360" t="s">
        <v>259</v>
      </c>
      <c r="B42" s="361">
        <v>1942984</v>
      </c>
      <c r="C42" s="361">
        <v>41632</v>
      </c>
      <c r="D42" s="361">
        <v>255369</v>
      </c>
      <c r="E42" s="361">
        <v>182336</v>
      </c>
      <c r="F42" s="361">
        <f>-Data!M41-Data!N41</f>
        <v>-45000</v>
      </c>
      <c r="G42" s="361">
        <f t="shared" si="0"/>
        <v>2377321</v>
      </c>
      <c r="H42" s="474">
        <v>2377321</v>
      </c>
      <c r="I42" s="1">
        <f t="shared" si="1"/>
        <v>0</v>
      </c>
    </row>
    <row r="43" spans="1:9" ht="13.5" customHeight="1">
      <c r="A43" s="23" t="s">
        <v>260</v>
      </c>
      <c r="B43" s="24">
        <v>820433</v>
      </c>
      <c r="C43" s="24">
        <v>0</v>
      </c>
      <c r="D43" s="24">
        <v>95484</v>
      </c>
      <c r="E43" s="24">
        <v>52459</v>
      </c>
      <c r="F43" s="24">
        <f>-Data!M42-Data!N42</f>
        <v>-30300</v>
      </c>
      <c r="G43" s="24">
        <f t="shared" si="0"/>
        <v>938076</v>
      </c>
      <c r="H43" s="475">
        <v>938076</v>
      </c>
      <c r="I43" s="1">
        <f t="shared" si="1"/>
        <v>0</v>
      </c>
    </row>
    <row r="44" spans="1:9" ht="13.5" customHeight="1">
      <c r="A44" s="360" t="s">
        <v>261</v>
      </c>
      <c r="B44" s="361">
        <v>520987</v>
      </c>
      <c r="C44" s="361">
        <v>18251</v>
      </c>
      <c r="D44" s="361">
        <v>7427</v>
      </c>
      <c r="E44" s="361">
        <v>21388</v>
      </c>
      <c r="F44" s="361">
        <f>-Data!M43-Data!N43</f>
        <v>-17600</v>
      </c>
      <c r="G44" s="361">
        <f t="shared" si="0"/>
        <v>550453</v>
      </c>
      <c r="H44" s="474">
        <v>550453</v>
      </c>
      <c r="I44" s="1">
        <f t="shared" si="1"/>
        <v>0</v>
      </c>
    </row>
    <row r="45" spans="1:9" ht="13.5" customHeight="1">
      <c r="A45" s="23" t="s">
        <v>262</v>
      </c>
      <c r="B45" s="24">
        <v>395654</v>
      </c>
      <c r="C45" s="24">
        <v>0</v>
      </c>
      <c r="D45" s="24">
        <v>29663</v>
      </c>
      <c r="E45" s="24">
        <v>29663</v>
      </c>
      <c r="F45" s="24">
        <f>-Data!M44-Data!N44</f>
        <v>-14000</v>
      </c>
      <c r="G45" s="24">
        <f t="shared" si="0"/>
        <v>440980</v>
      </c>
      <c r="H45" s="475">
        <v>440980</v>
      </c>
      <c r="I45" s="1">
        <f t="shared" si="1"/>
        <v>0</v>
      </c>
    </row>
    <row r="46" spans="1:9" ht="13.5" customHeight="1">
      <c r="A46" s="360" t="s">
        <v>263</v>
      </c>
      <c r="B46" s="361">
        <v>676090</v>
      </c>
      <c r="C46" s="361">
        <v>0</v>
      </c>
      <c r="D46" s="361">
        <v>44168</v>
      </c>
      <c r="E46" s="361">
        <v>66349</v>
      </c>
      <c r="F46" s="361">
        <f>-Data!M45-Data!N45</f>
        <v>-15000</v>
      </c>
      <c r="G46" s="361">
        <f t="shared" si="0"/>
        <v>771607</v>
      </c>
      <c r="H46" s="474">
        <v>771607</v>
      </c>
      <c r="I46" s="1">
        <f t="shared" si="1"/>
        <v>0</v>
      </c>
    </row>
    <row r="47" spans="1:9" ht="13.5" customHeight="1">
      <c r="A47" s="23" t="s">
        <v>264</v>
      </c>
      <c r="B47" s="24">
        <v>10271900</v>
      </c>
      <c r="C47" s="24">
        <v>236300</v>
      </c>
      <c r="D47" s="24">
        <v>271500</v>
      </c>
      <c r="E47" s="24">
        <v>1034000</v>
      </c>
      <c r="F47" s="24">
        <f>-Data!M46-Data!N46</f>
        <v>0</v>
      </c>
      <c r="G47" s="24">
        <f t="shared" si="0"/>
        <v>11813700</v>
      </c>
      <c r="H47" s="475">
        <v>11813700</v>
      </c>
      <c r="I47" s="1">
        <f t="shared" si="1"/>
        <v>0</v>
      </c>
    </row>
    <row r="48" spans="1:9" ht="5.0999999999999996" customHeight="1">
      <c r="A48"/>
      <c r="B48"/>
      <c r="C48"/>
      <c r="D48"/>
      <c r="E48"/>
      <c r="F48"/>
      <c r="G48"/>
      <c r="H48" s="476"/>
    </row>
    <row r="49" spans="1:9" ht="13.5" customHeight="1">
      <c r="A49" s="363" t="s">
        <v>265</v>
      </c>
      <c r="B49" s="364">
        <f t="shared" ref="B49:H49" si="2">SUM(B12:B47)</f>
        <v>62576190</v>
      </c>
      <c r="C49" s="364">
        <f t="shared" si="2"/>
        <v>1268559</v>
      </c>
      <c r="D49" s="364">
        <f t="shared" si="2"/>
        <v>4118432</v>
      </c>
      <c r="E49" s="364">
        <f t="shared" si="2"/>
        <v>7282641</v>
      </c>
      <c r="F49" s="364">
        <f t="shared" si="2"/>
        <v>-2546120</v>
      </c>
      <c r="G49" s="364">
        <f t="shared" si="2"/>
        <v>72699702</v>
      </c>
      <c r="H49" s="477">
        <f t="shared" si="2"/>
        <v>72699702</v>
      </c>
      <c r="I49" s="1">
        <f t="shared" si="1"/>
        <v>0</v>
      </c>
    </row>
    <row r="50" spans="1:9" ht="5.0999999999999996" customHeight="1">
      <c r="A50" s="25" t="s">
        <v>3</v>
      </c>
      <c r="B50" s="26"/>
      <c r="C50" s="26"/>
      <c r="D50" s="26"/>
      <c r="E50" s="26"/>
      <c r="F50" s="26"/>
      <c r="G50" s="26"/>
      <c r="H50" s="478"/>
    </row>
    <row r="51" spans="1:9" ht="13.5" customHeight="1">
      <c r="A51" s="23" t="s">
        <v>266</v>
      </c>
      <c r="B51" s="24">
        <v>284212</v>
      </c>
      <c r="C51" s="24">
        <v>0</v>
      </c>
      <c r="D51" s="24">
        <v>0</v>
      </c>
      <c r="E51" s="24">
        <v>0</v>
      </c>
      <c r="F51" s="24">
        <f>-Data!M51-Data!N51</f>
        <v>-12000</v>
      </c>
      <c r="G51" s="24">
        <f>SUM(B51:F51)</f>
        <v>272212</v>
      </c>
      <c r="H51" s="475">
        <v>272212</v>
      </c>
    </row>
    <row r="52" spans="1:9" ht="13.5" customHeight="1">
      <c r="A52" s="360" t="s">
        <v>375</v>
      </c>
      <c r="B52" s="361"/>
      <c r="C52" s="361"/>
      <c r="D52" s="361"/>
      <c r="E52" s="361"/>
      <c r="F52" s="361"/>
      <c r="G52" s="361"/>
      <c r="H52" s="474"/>
      <c r="I52" s="1">
        <f>G52-H52</f>
        <v>0</v>
      </c>
    </row>
    <row r="53" spans="1:9" ht="12" customHeight="1">
      <c r="A53" s="27"/>
      <c r="B53" s="27"/>
      <c r="C53" s="27"/>
      <c r="D53" s="27"/>
      <c r="E53" s="27"/>
      <c r="F53" s="27"/>
      <c r="G53" s="27"/>
    </row>
    <row r="54" spans="1:9" ht="14.45" customHeight="1">
      <c r="A54" s="300" t="s">
        <v>588</v>
      </c>
      <c r="B54" s="305"/>
      <c r="C54" s="305"/>
      <c r="D54" s="305"/>
      <c r="E54" s="305"/>
      <c r="F54" s="305"/>
      <c r="G54" s="305"/>
    </row>
    <row r="55" spans="1:9" ht="12" customHeight="1">
      <c r="A55" s="300" t="s">
        <v>422</v>
      </c>
      <c r="B55" s="305"/>
      <c r="C55" s="305"/>
      <c r="D55" s="305"/>
      <c r="E55" s="305"/>
      <c r="F55" s="305"/>
      <c r="G55" s="305"/>
    </row>
    <row r="56" spans="1:9" ht="12" customHeight="1">
      <c r="A56" s="28" t="s">
        <v>615</v>
      </c>
      <c r="B56" s="39"/>
      <c r="C56" s="39"/>
      <c r="D56" s="39"/>
    </row>
    <row r="57" spans="1:9" ht="12" customHeight="1">
      <c r="A57" s="28" t="s">
        <v>413</v>
      </c>
      <c r="B57" s="39"/>
      <c r="C57" s="39"/>
      <c r="D57" s="39"/>
    </row>
    <row r="58" spans="1:9" ht="12" customHeight="1">
      <c r="A58" s="160" t="s">
        <v>494</v>
      </c>
      <c r="B58" s="39"/>
      <c r="C58" s="39"/>
      <c r="D58" s="39"/>
    </row>
    <row r="59" spans="1:9" ht="12" customHeight="1">
      <c r="A59" s="160" t="s">
        <v>553</v>
      </c>
      <c r="B59" s="39"/>
      <c r="C59" s="39"/>
      <c r="D59" s="39"/>
    </row>
    <row r="60" spans="1:9" ht="12" customHeight="1">
      <c r="A60" s="160" t="s">
        <v>467</v>
      </c>
      <c r="B60" s="39"/>
      <c r="C60" s="39"/>
      <c r="D60" s="39"/>
    </row>
    <row r="61" spans="1:9" ht="12" customHeight="1">
      <c r="A61" s="300" t="s">
        <v>585</v>
      </c>
      <c r="B61" s="39"/>
      <c r="C61" s="39"/>
      <c r="D61" s="39"/>
    </row>
    <row r="62" spans="1:9" ht="12" customHeight="1">
      <c r="A62" s="300" t="s">
        <v>672</v>
      </c>
    </row>
    <row r="63" spans="1:9" ht="12" customHeight="1">
      <c r="A63" s="300" t="s">
        <v>586</v>
      </c>
    </row>
    <row r="64" spans="1:9" ht="12" customHeight="1">
      <c r="A64" s="300" t="s">
        <v>587</v>
      </c>
    </row>
  </sheetData>
  <phoneticPr fontId="0" type="noConversion"/>
  <printOptions horizontalCentered="1"/>
  <pageMargins left="0.51181102362204722" right="0.51181102362204722" top="0.59055118110236227" bottom="0" header="0.31496062992125984" footer="0"/>
  <pageSetup scale="87" orientation="portrait" r:id="rId1"/>
  <headerFooter alignWithMargins="0">
    <oddHeader>&amp;C&amp;"Arial,Bold"&amp;10&amp;A</oddHeader>
  </headerFooter>
</worksheet>
</file>

<file path=xl/worksheets/sheet51.xml><?xml version="1.0" encoding="utf-8"?>
<worksheet xmlns="http://schemas.openxmlformats.org/spreadsheetml/2006/main" xmlns:r="http://schemas.openxmlformats.org/officeDocument/2006/relationships">
  <sheetPr codeName="Sheet6111">
    <pageSetUpPr fitToPage="1"/>
  </sheetPr>
  <dimension ref="A1:J60"/>
  <sheetViews>
    <sheetView showGridLines="0" showZeros="0" workbookViewId="0"/>
  </sheetViews>
  <sheetFormatPr defaultColWidth="14.83203125" defaultRowHeight="12"/>
  <cols>
    <col min="1" max="1" width="26.83203125" style="1" customWidth="1"/>
    <col min="2" max="2" width="16.83203125" style="1" customWidth="1"/>
    <col min="3" max="3" width="17.83203125" style="1" customWidth="1"/>
    <col min="4" max="4" width="18.83203125" style="1" customWidth="1"/>
    <col min="5" max="5" width="16.83203125" style="1" customWidth="1"/>
    <col min="6" max="7" width="18.83203125" style="1" customWidth="1"/>
    <col min="8" max="9" width="0" style="1" hidden="1" customWidth="1"/>
    <col min="10" max="16384" width="14.83203125" style="1"/>
  </cols>
  <sheetData>
    <row r="1" spans="1:10" ht="6.95" customHeight="1">
      <c r="A1" s="3"/>
      <c r="B1" s="4"/>
      <c r="C1" s="4"/>
      <c r="D1" s="4"/>
    </row>
    <row r="2" spans="1:10" ht="20.100000000000001" customHeight="1">
      <c r="A2" s="287"/>
      <c r="B2" s="287" t="str">
        <f>"ADMINISTRATION EXPENSES "&amp;YEAR&amp;"/"&amp;YEAR+1&amp;" BUDGET"</f>
        <v>ADMINISTRATION EXPENSES 2013/2014 BUDGET</v>
      </c>
      <c r="C2" s="517"/>
      <c r="D2" s="517"/>
      <c r="E2" s="517"/>
      <c r="F2" s="517"/>
      <c r="G2" s="519" t="s">
        <v>371</v>
      </c>
    </row>
    <row r="3" spans="1:10" ht="20.100000000000001" customHeight="1">
      <c r="A3" s="5"/>
      <c r="B3" s="288"/>
      <c r="C3" s="289"/>
      <c r="D3" s="289"/>
      <c r="E3" s="289"/>
      <c r="F3" s="289"/>
      <c r="G3" s="290"/>
    </row>
    <row r="4" spans="1:10" ht="15.95" customHeight="1">
      <c r="A4" s="291"/>
      <c r="B4" s="292" t="s">
        <v>374</v>
      </c>
      <c r="C4" s="293"/>
      <c r="D4" s="293"/>
      <c r="E4" s="293"/>
      <c r="F4" s="293"/>
      <c r="G4" s="294"/>
    </row>
    <row r="5" spans="1:10" ht="14.1" customHeight="1">
      <c r="A5" s="295"/>
      <c r="B5" s="296"/>
      <c r="C5" s="296"/>
      <c r="D5" s="296"/>
      <c r="E5" s="296"/>
      <c r="F5" s="296"/>
      <c r="G5" s="296"/>
    </row>
    <row r="6" spans="1:10" ht="14.1" customHeight="1">
      <c r="A6" s="295"/>
      <c r="B6" s="278"/>
      <c r="C6" s="278"/>
      <c r="D6" s="278"/>
      <c r="E6" s="278"/>
      <c r="F6" s="278"/>
      <c r="G6" s="278" t="s">
        <v>54</v>
      </c>
    </row>
    <row r="7" spans="1:10" ht="14.1" customHeight="1">
      <c r="A7" s="295"/>
      <c r="B7" s="297"/>
      <c r="C7" s="142"/>
      <c r="D7" s="297"/>
      <c r="E7" s="297"/>
      <c r="F7" s="297"/>
      <c r="G7" s="297" t="s">
        <v>324</v>
      </c>
    </row>
    <row r="8" spans="1:10" ht="14.1" customHeight="1">
      <c r="A8" s="295"/>
      <c r="B8" s="297" t="s">
        <v>54</v>
      </c>
      <c r="C8" s="297" t="s">
        <v>327</v>
      </c>
      <c r="D8" s="297" t="s">
        <v>330</v>
      </c>
      <c r="E8" s="297"/>
      <c r="F8" s="297" t="s">
        <v>54</v>
      </c>
      <c r="G8" s="298" t="s">
        <v>273</v>
      </c>
    </row>
    <row r="9" spans="1:10" ht="14.1" customHeight="1">
      <c r="A9" s="295"/>
      <c r="B9" s="297" t="s">
        <v>108</v>
      </c>
      <c r="C9" s="297" t="s">
        <v>95</v>
      </c>
      <c r="D9" s="297" t="s">
        <v>331</v>
      </c>
      <c r="E9" s="297" t="s">
        <v>372</v>
      </c>
      <c r="F9" s="297" t="s">
        <v>324</v>
      </c>
      <c r="G9" s="297" t="s">
        <v>329</v>
      </c>
    </row>
    <row r="10" spans="1:10" ht="14.1" customHeight="1">
      <c r="A10" s="17"/>
      <c r="B10" s="298" t="s">
        <v>273</v>
      </c>
      <c r="C10" s="297" t="s">
        <v>328</v>
      </c>
      <c r="D10" s="298" t="s">
        <v>326</v>
      </c>
      <c r="E10" s="298" t="s">
        <v>188</v>
      </c>
      <c r="F10" s="298" t="s">
        <v>273</v>
      </c>
      <c r="G10" s="298" t="s">
        <v>188</v>
      </c>
    </row>
    <row r="11" spans="1:10" ht="14.1" customHeight="1">
      <c r="A11" s="19" t="s">
        <v>81</v>
      </c>
      <c r="B11" s="299" t="s">
        <v>373</v>
      </c>
      <c r="C11" s="299" t="s">
        <v>131</v>
      </c>
      <c r="D11" s="299" t="s">
        <v>407</v>
      </c>
      <c r="E11" s="299" t="s">
        <v>117</v>
      </c>
      <c r="F11" s="299" t="s">
        <v>541</v>
      </c>
      <c r="G11" s="299" t="s">
        <v>117</v>
      </c>
    </row>
    <row r="12" spans="1:10" ht="5.0999999999999996" customHeight="1">
      <c r="A12" s="22"/>
      <c r="C12" s="272"/>
      <c r="D12" s="247"/>
      <c r="E12" s="3"/>
    </row>
    <row r="13" spans="1:10" ht="14.1" customHeight="1">
      <c r="A13" s="360" t="s">
        <v>230</v>
      </c>
      <c r="B13" s="361">
        <f>'- 3 -'!B11</f>
        <v>16803931</v>
      </c>
      <c r="C13" s="361">
        <v>140000</v>
      </c>
      <c r="D13" s="361">
        <v>0</v>
      </c>
      <c r="E13" s="361">
        <f>SUM(B13:D13)</f>
        <v>16943931</v>
      </c>
      <c r="F13" s="361">
        <f>'- 57 -'!G12</f>
        <v>705340</v>
      </c>
      <c r="G13" s="362">
        <f>F13/E13*100</f>
        <v>4.1627884343957726</v>
      </c>
      <c r="H13" s="487">
        <v>4.1627884343957727E-2</v>
      </c>
      <c r="I13" s="474">
        <v>16943931</v>
      </c>
      <c r="J13" s="1">
        <f>I13-E13</f>
        <v>0</v>
      </c>
    </row>
    <row r="14" spans="1:10" ht="14.1" customHeight="1">
      <c r="A14" s="23" t="s">
        <v>231</v>
      </c>
      <c r="B14" s="24">
        <f>'- 3 -'!B12</f>
        <v>31302402</v>
      </c>
      <c r="C14" s="24">
        <v>350000</v>
      </c>
      <c r="D14" s="24">
        <v>-525141</v>
      </c>
      <c r="E14" s="24">
        <f t="shared" ref="E14:E48" si="0">SUM(B14:D14)</f>
        <v>31127261</v>
      </c>
      <c r="F14" s="24">
        <f>'- 57 -'!G13</f>
        <v>1173808</v>
      </c>
      <c r="G14" s="353">
        <f>F14/E14*100</f>
        <v>3.7709967478346393</v>
      </c>
      <c r="H14" s="488">
        <v>3.7709967478346394E-2</v>
      </c>
      <c r="I14" s="475">
        <v>31127261</v>
      </c>
      <c r="J14" s="1">
        <f t="shared" ref="J14:J52" si="1">I14-E14</f>
        <v>0</v>
      </c>
    </row>
    <row r="15" spans="1:10" ht="14.1" customHeight="1">
      <c r="A15" s="360" t="s">
        <v>232</v>
      </c>
      <c r="B15" s="361">
        <f>'- 3 -'!B13</f>
        <v>86510300</v>
      </c>
      <c r="C15" s="361">
        <v>254500</v>
      </c>
      <c r="D15" s="361">
        <v>0</v>
      </c>
      <c r="E15" s="361">
        <f t="shared" si="0"/>
        <v>86764800</v>
      </c>
      <c r="F15" s="361">
        <f>'- 57 -'!G14</f>
        <v>3063300</v>
      </c>
      <c r="G15" s="362">
        <f>F15/E15*100</f>
        <v>3.5305792210666076</v>
      </c>
      <c r="H15" s="487">
        <v>3.5305792210666077E-2</v>
      </c>
      <c r="I15" s="474">
        <v>86764800</v>
      </c>
      <c r="J15" s="1">
        <f t="shared" si="1"/>
        <v>0</v>
      </c>
    </row>
    <row r="16" spans="1:10" ht="14.1" customHeight="1">
      <c r="A16" s="23" t="s">
        <v>578</v>
      </c>
      <c r="B16" s="24"/>
      <c r="C16" s="24"/>
      <c r="D16" s="24"/>
      <c r="E16" s="24"/>
      <c r="F16" s="24"/>
      <c r="G16" s="483" t="s">
        <v>184</v>
      </c>
      <c r="H16" s="489"/>
      <c r="I16" s="475"/>
      <c r="J16" s="1">
        <f t="shared" si="1"/>
        <v>0</v>
      </c>
    </row>
    <row r="17" spans="1:10" ht="14.1" customHeight="1">
      <c r="A17" s="360" t="s">
        <v>233</v>
      </c>
      <c r="B17" s="361">
        <f>'- 3 -'!B15</f>
        <v>19583726</v>
      </c>
      <c r="C17" s="361">
        <v>329810</v>
      </c>
      <c r="D17" s="361">
        <v>0</v>
      </c>
      <c r="E17" s="361">
        <f t="shared" si="0"/>
        <v>19913536</v>
      </c>
      <c r="F17" s="361">
        <f>'- 57 -'!G16</f>
        <v>936955</v>
      </c>
      <c r="G17" s="362">
        <f>F17/E17*100</f>
        <v>4.7051161581750227</v>
      </c>
      <c r="H17" s="487">
        <v>4.7051161581750225E-2</v>
      </c>
      <c r="I17" s="474">
        <v>19913536</v>
      </c>
      <c r="J17" s="1">
        <f t="shared" si="1"/>
        <v>0</v>
      </c>
    </row>
    <row r="18" spans="1:10" ht="14.1" customHeight="1">
      <c r="A18" s="23" t="s">
        <v>234</v>
      </c>
      <c r="B18" s="24">
        <f>'- 3 -'!B16</f>
        <v>13095657</v>
      </c>
      <c r="C18" s="24">
        <v>200000</v>
      </c>
      <c r="D18" s="24">
        <v>-96290</v>
      </c>
      <c r="E18" s="24">
        <f t="shared" si="0"/>
        <v>13199367</v>
      </c>
      <c r="F18" s="24">
        <f>'- 57 -'!G17</f>
        <v>727583</v>
      </c>
      <c r="G18" s="353">
        <f>F18/E18*100</f>
        <v>5.5122567620098755</v>
      </c>
      <c r="H18" s="488">
        <v>5.5122567620098754E-2</v>
      </c>
      <c r="I18" s="475">
        <v>13199367</v>
      </c>
      <c r="J18" s="1">
        <f t="shared" si="1"/>
        <v>0</v>
      </c>
    </row>
    <row r="19" spans="1:10" ht="14.1" customHeight="1">
      <c r="A19" s="360" t="s">
        <v>235</v>
      </c>
      <c r="B19" s="361">
        <f>'- 3 -'!B17</f>
        <v>16713574</v>
      </c>
      <c r="C19" s="361">
        <v>300000</v>
      </c>
      <c r="D19" s="361">
        <v>0</v>
      </c>
      <c r="E19" s="361">
        <f t="shared" si="0"/>
        <v>17013574</v>
      </c>
      <c r="F19" s="361">
        <f>'- 57 -'!G18</f>
        <v>835610</v>
      </c>
      <c r="G19" s="362">
        <f>F19/E19*100</f>
        <v>4.9114313077311094</v>
      </c>
      <c r="H19" s="487">
        <v>4.9114313077311095E-2</v>
      </c>
      <c r="I19" s="474">
        <v>17013574</v>
      </c>
      <c r="J19" s="1">
        <f t="shared" si="1"/>
        <v>0</v>
      </c>
    </row>
    <row r="20" spans="1:10" ht="14.1" customHeight="1">
      <c r="A20" s="23" t="s">
        <v>236</v>
      </c>
      <c r="B20" s="24"/>
      <c r="C20" s="24"/>
      <c r="D20" s="24"/>
      <c r="E20" s="24"/>
      <c r="F20" s="24"/>
      <c r="G20" s="483" t="s">
        <v>184</v>
      </c>
      <c r="H20" s="489"/>
      <c r="I20" s="475"/>
      <c r="J20" s="1">
        <f t="shared" si="1"/>
        <v>0</v>
      </c>
    </row>
    <row r="21" spans="1:10" ht="14.1" customHeight="1">
      <c r="A21" s="360" t="s">
        <v>237</v>
      </c>
      <c r="B21" s="361">
        <f>'- 3 -'!B19</f>
        <v>43706995</v>
      </c>
      <c r="C21" s="361">
        <v>1146900</v>
      </c>
      <c r="D21" s="361">
        <v>0</v>
      </c>
      <c r="E21" s="361">
        <f t="shared" si="0"/>
        <v>44853895</v>
      </c>
      <c r="F21" s="361">
        <f>'- 57 -'!G20</f>
        <v>1661445</v>
      </c>
      <c r="G21" s="362">
        <f t="shared" ref="G21:G48" si="2">F21/E21*100</f>
        <v>3.7041264755268184</v>
      </c>
      <c r="H21" s="487">
        <v>3.7041264755268186E-2</v>
      </c>
      <c r="I21" s="474">
        <v>44853895</v>
      </c>
      <c r="J21" s="1">
        <f t="shared" si="1"/>
        <v>0</v>
      </c>
    </row>
    <row r="22" spans="1:10" ht="14.1" customHeight="1">
      <c r="A22" s="23" t="s">
        <v>238</v>
      </c>
      <c r="B22" s="24">
        <f>'- 3 -'!B20</f>
        <v>72070900</v>
      </c>
      <c r="C22" s="24">
        <v>1984500</v>
      </c>
      <c r="D22" s="24">
        <v>0</v>
      </c>
      <c r="E22" s="24">
        <f t="shared" si="0"/>
        <v>74055400</v>
      </c>
      <c r="F22" s="24">
        <f>'- 57 -'!G21</f>
        <v>2442300</v>
      </c>
      <c r="G22" s="353">
        <f t="shared" si="2"/>
        <v>3.2979364097689028</v>
      </c>
      <c r="H22" s="488">
        <v>3.2979364097689028E-2</v>
      </c>
      <c r="I22" s="475">
        <v>74055400</v>
      </c>
      <c r="J22" s="1">
        <f t="shared" si="1"/>
        <v>0</v>
      </c>
    </row>
    <row r="23" spans="1:10" ht="14.1" customHeight="1">
      <c r="A23" s="360" t="s">
        <v>239</v>
      </c>
      <c r="B23" s="361">
        <f>'- 3 -'!B21</f>
        <v>34424500</v>
      </c>
      <c r="C23" s="361">
        <v>279500</v>
      </c>
      <c r="D23" s="361">
        <v>0</v>
      </c>
      <c r="E23" s="361">
        <f t="shared" si="0"/>
        <v>34704000</v>
      </c>
      <c r="F23" s="361">
        <f>'- 57 -'!G22</f>
        <v>1585000</v>
      </c>
      <c r="G23" s="362">
        <f t="shared" si="2"/>
        <v>4.567196864914707</v>
      </c>
      <c r="H23" s="487">
        <v>4.567196864914707E-2</v>
      </c>
      <c r="I23" s="474">
        <v>34704000</v>
      </c>
      <c r="J23" s="1">
        <f t="shared" si="1"/>
        <v>0</v>
      </c>
    </row>
    <row r="24" spans="1:10" ht="14.1" customHeight="1">
      <c r="A24" s="23" t="s">
        <v>240</v>
      </c>
      <c r="B24" s="24">
        <f>'- 3 -'!B22</f>
        <v>19940502</v>
      </c>
      <c r="C24" s="24">
        <v>143400</v>
      </c>
      <c r="D24" s="24">
        <v>-792200</v>
      </c>
      <c r="E24" s="24">
        <f t="shared" si="0"/>
        <v>19291702</v>
      </c>
      <c r="F24" s="24">
        <f>'- 57 -'!G23</f>
        <v>965330</v>
      </c>
      <c r="G24" s="353">
        <f t="shared" si="2"/>
        <v>5.0038612456277836</v>
      </c>
      <c r="H24" s="488">
        <v>5.0038612456277831E-2</v>
      </c>
      <c r="I24" s="475">
        <v>19291702</v>
      </c>
      <c r="J24" s="1">
        <f t="shared" si="1"/>
        <v>0</v>
      </c>
    </row>
    <row r="25" spans="1:10" ht="14.1" customHeight="1">
      <c r="A25" s="360" t="s">
        <v>241</v>
      </c>
      <c r="B25" s="361">
        <f>'- 3 -'!B23</f>
        <v>16060080</v>
      </c>
      <c r="C25" s="361">
        <v>200000</v>
      </c>
      <c r="D25" s="361">
        <v>-240000</v>
      </c>
      <c r="E25" s="361">
        <f t="shared" si="0"/>
        <v>16020080</v>
      </c>
      <c r="F25" s="361">
        <f>'- 57 -'!G24</f>
        <v>695800</v>
      </c>
      <c r="G25" s="362">
        <f t="shared" si="2"/>
        <v>4.3432991595547588</v>
      </c>
      <c r="H25" s="487">
        <v>4.3432991595547588E-2</v>
      </c>
      <c r="I25" s="474">
        <v>16020080</v>
      </c>
      <c r="J25" s="1">
        <f t="shared" si="1"/>
        <v>0</v>
      </c>
    </row>
    <row r="26" spans="1:10" ht="14.1" customHeight="1">
      <c r="A26" s="23" t="s">
        <v>242</v>
      </c>
      <c r="B26" s="24">
        <f>'- 3 -'!B24</f>
        <v>52922255</v>
      </c>
      <c r="C26" s="24">
        <v>492250</v>
      </c>
      <c r="D26" s="24">
        <v>-363525</v>
      </c>
      <c r="E26" s="24">
        <f t="shared" si="0"/>
        <v>53050980</v>
      </c>
      <c r="F26" s="24">
        <f>'- 57 -'!G25</f>
        <v>2153550</v>
      </c>
      <c r="G26" s="353">
        <f t="shared" si="2"/>
        <v>4.0593972062344559</v>
      </c>
      <c r="H26" s="488">
        <v>4.0593972062344559E-2</v>
      </c>
      <c r="I26" s="475">
        <v>53050980</v>
      </c>
      <c r="J26" s="1">
        <f t="shared" si="1"/>
        <v>0</v>
      </c>
    </row>
    <row r="27" spans="1:10" ht="14.1" customHeight="1">
      <c r="A27" s="360" t="s">
        <v>243</v>
      </c>
      <c r="B27" s="361">
        <f>'- 3 -'!B25</f>
        <v>156024865</v>
      </c>
      <c r="C27" s="361">
        <v>508740</v>
      </c>
      <c r="D27" s="361">
        <v>0</v>
      </c>
      <c r="E27" s="361">
        <f t="shared" si="0"/>
        <v>156533605</v>
      </c>
      <c r="F27" s="361">
        <f>'- 57 -'!G26</f>
        <v>5363250</v>
      </c>
      <c r="G27" s="362">
        <f t="shared" si="2"/>
        <v>3.4262610894318826</v>
      </c>
      <c r="H27" s="487">
        <v>3.4262610894318826E-2</v>
      </c>
      <c r="I27" s="474">
        <v>156533605</v>
      </c>
      <c r="J27" s="1">
        <f t="shared" si="1"/>
        <v>0</v>
      </c>
    </row>
    <row r="28" spans="1:10" ht="14.1" customHeight="1">
      <c r="A28" s="23" t="s">
        <v>244</v>
      </c>
      <c r="B28" s="24">
        <f>'- 3 -'!B26</f>
        <v>37950459</v>
      </c>
      <c r="C28" s="24">
        <v>688472</v>
      </c>
      <c r="D28" s="24">
        <v>0</v>
      </c>
      <c r="E28" s="24">
        <f t="shared" si="0"/>
        <v>38638931</v>
      </c>
      <c r="F28" s="24">
        <f>'- 57 -'!G27</f>
        <v>1546513</v>
      </c>
      <c r="G28" s="353">
        <f t="shared" si="2"/>
        <v>4.0024735673976073</v>
      </c>
      <c r="H28" s="488">
        <v>4.0024735673976075E-2</v>
      </c>
      <c r="I28" s="475">
        <v>38638931</v>
      </c>
      <c r="J28" s="1">
        <f t="shared" si="1"/>
        <v>0</v>
      </c>
    </row>
    <row r="29" spans="1:10" ht="14.1" customHeight="1">
      <c r="A29" s="360" t="s">
        <v>245</v>
      </c>
      <c r="B29" s="361">
        <f>'- 3 -'!B27</f>
        <v>38487695</v>
      </c>
      <c r="C29" s="361">
        <v>125000</v>
      </c>
      <c r="D29" s="361">
        <v>0</v>
      </c>
      <c r="E29" s="361">
        <f t="shared" si="0"/>
        <v>38612695</v>
      </c>
      <c r="F29" s="361">
        <f>'- 57 -'!G28</f>
        <v>1922236</v>
      </c>
      <c r="G29" s="362">
        <f t="shared" si="2"/>
        <v>4.9782487339979768</v>
      </c>
      <c r="H29" s="487">
        <v>4.9782487339979767E-2</v>
      </c>
      <c r="I29" s="474">
        <v>38612695</v>
      </c>
      <c r="J29" s="1">
        <f t="shared" si="1"/>
        <v>0</v>
      </c>
    </row>
    <row r="30" spans="1:10" ht="14.1" customHeight="1">
      <c r="A30" s="23" t="s">
        <v>246</v>
      </c>
      <c r="B30" s="24">
        <f>'- 3 -'!B28</f>
        <v>26168054</v>
      </c>
      <c r="C30" s="24">
        <v>81000</v>
      </c>
      <c r="D30" s="24">
        <v>-142342</v>
      </c>
      <c r="E30" s="24">
        <f t="shared" si="0"/>
        <v>26106712</v>
      </c>
      <c r="F30" s="24">
        <f>'- 57 -'!G29</f>
        <v>1186647</v>
      </c>
      <c r="G30" s="353">
        <f t="shared" si="2"/>
        <v>4.5453713206013839</v>
      </c>
      <c r="H30" s="488">
        <v>4.5453713206013838E-2</v>
      </c>
      <c r="I30" s="475">
        <v>26106712</v>
      </c>
      <c r="J30" s="1">
        <f t="shared" si="1"/>
        <v>0</v>
      </c>
    </row>
    <row r="31" spans="1:10" ht="14.1" customHeight="1">
      <c r="A31" s="360" t="s">
        <v>247</v>
      </c>
      <c r="B31" s="361">
        <f>'- 3 -'!B29</f>
        <v>143911933</v>
      </c>
      <c r="C31" s="361">
        <v>1025000</v>
      </c>
      <c r="D31" s="361">
        <v>0</v>
      </c>
      <c r="E31" s="361">
        <f t="shared" si="0"/>
        <v>144936933</v>
      </c>
      <c r="F31" s="361">
        <f>'- 57 -'!G30</f>
        <v>5426447</v>
      </c>
      <c r="G31" s="362">
        <f t="shared" si="2"/>
        <v>3.7440056772830981</v>
      </c>
      <c r="H31" s="487">
        <v>3.7440056772830979E-2</v>
      </c>
      <c r="I31" s="474">
        <v>144936933</v>
      </c>
      <c r="J31" s="1">
        <f t="shared" si="1"/>
        <v>0</v>
      </c>
    </row>
    <row r="32" spans="1:10" ht="14.1" customHeight="1">
      <c r="A32" s="23" t="s">
        <v>248</v>
      </c>
      <c r="B32" s="24">
        <f>'- 3 -'!B30</f>
        <v>13484269</v>
      </c>
      <c r="C32" s="24">
        <v>186000</v>
      </c>
      <c r="D32" s="24">
        <v>0</v>
      </c>
      <c r="E32" s="24">
        <f t="shared" si="0"/>
        <v>13670269</v>
      </c>
      <c r="F32" s="24">
        <f>'- 57 -'!G31</f>
        <v>637487</v>
      </c>
      <c r="G32" s="353">
        <f t="shared" si="2"/>
        <v>4.6633098441588823</v>
      </c>
      <c r="H32" s="488">
        <v>4.6633098441588826E-2</v>
      </c>
      <c r="I32" s="475">
        <v>13670269</v>
      </c>
      <c r="J32" s="1">
        <f t="shared" si="1"/>
        <v>0</v>
      </c>
    </row>
    <row r="33" spans="1:10" ht="14.1" customHeight="1">
      <c r="A33" s="360" t="s">
        <v>249</v>
      </c>
      <c r="B33" s="361">
        <f>'- 3 -'!B31</f>
        <v>33675333</v>
      </c>
      <c r="C33" s="361">
        <v>586000</v>
      </c>
      <c r="D33" s="361">
        <v>0</v>
      </c>
      <c r="E33" s="361">
        <f t="shared" si="0"/>
        <v>34261333</v>
      </c>
      <c r="F33" s="361">
        <f>'- 57 -'!G32</f>
        <v>1287242</v>
      </c>
      <c r="G33" s="362">
        <f t="shared" si="2"/>
        <v>3.7571276050467741</v>
      </c>
      <c r="H33" s="487">
        <v>3.7571276050467742E-2</v>
      </c>
      <c r="I33" s="474">
        <v>34261333</v>
      </c>
      <c r="J33" s="1">
        <f t="shared" si="1"/>
        <v>0</v>
      </c>
    </row>
    <row r="34" spans="1:10" ht="14.1" customHeight="1">
      <c r="A34" s="23" t="s">
        <v>250</v>
      </c>
      <c r="B34" s="24">
        <f>'- 3 -'!B32</f>
        <v>25745018</v>
      </c>
      <c r="C34" s="24">
        <v>375100</v>
      </c>
      <c r="D34" s="24">
        <v>-257250</v>
      </c>
      <c r="E34" s="24">
        <f t="shared" si="0"/>
        <v>25862868</v>
      </c>
      <c r="F34" s="24">
        <f>'- 57 -'!G33</f>
        <v>1197870</v>
      </c>
      <c r="G34" s="353">
        <f t="shared" si="2"/>
        <v>4.6316209014406295</v>
      </c>
      <c r="H34" s="488">
        <v>4.6316209014406293E-2</v>
      </c>
      <c r="I34" s="475">
        <v>25862868</v>
      </c>
      <c r="J34" s="1">
        <f t="shared" si="1"/>
        <v>0</v>
      </c>
    </row>
    <row r="35" spans="1:10" ht="14.1" customHeight="1">
      <c r="A35" s="360" t="s">
        <v>251</v>
      </c>
      <c r="B35" s="361">
        <f>'- 3 -'!B33</f>
        <v>26389300</v>
      </c>
      <c r="C35" s="361">
        <v>810188</v>
      </c>
      <c r="D35" s="361">
        <v>0</v>
      </c>
      <c r="E35" s="361">
        <f t="shared" si="0"/>
        <v>27199488</v>
      </c>
      <c r="F35" s="361">
        <f>'- 57 -'!G34</f>
        <v>999800</v>
      </c>
      <c r="G35" s="362">
        <f t="shared" si="2"/>
        <v>3.6758044857314958</v>
      </c>
      <c r="H35" s="487">
        <v>3.6758044857314959E-2</v>
      </c>
      <c r="I35" s="474">
        <v>27199488</v>
      </c>
      <c r="J35" s="1">
        <f t="shared" si="1"/>
        <v>0</v>
      </c>
    </row>
    <row r="36" spans="1:10" ht="14.1" customHeight="1">
      <c r="A36" s="23" t="s">
        <v>252</v>
      </c>
      <c r="B36" s="24">
        <f>'- 3 -'!B34</f>
        <v>25925938</v>
      </c>
      <c r="C36" s="24">
        <v>387543</v>
      </c>
      <c r="D36" s="24">
        <v>0</v>
      </c>
      <c r="E36" s="24">
        <f t="shared" si="0"/>
        <v>26313481</v>
      </c>
      <c r="F36" s="24">
        <f>'- 57 -'!G35</f>
        <v>1112132</v>
      </c>
      <c r="G36" s="353">
        <f t="shared" si="2"/>
        <v>4.2264723546078908</v>
      </c>
      <c r="H36" s="488">
        <v>4.2264723546078908E-2</v>
      </c>
      <c r="I36" s="475">
        <v>26313481</v>
      </c>
      <c r="J36" s="1">
        <f t="shared" si="1"/>
        <v>0</v>
      </c>
    </row>
    <row r="37" spans="1:10" ht="14.1" customHeight="1">
      <c r="A37" s="360" t="s">
        <v>253</v>
      </c>
      <c r="B37" s="361">
        <f>'- 3 -'!B35</f>
        <v>167584966</v>
      </c>
      <c r="C37" s="361">
        <v>2477984</v>
      </c>
      <c r="D37" s="361">
        <v>0</v>
      </c>
      <c r="E37" s="361">
        <f t="shared" si="0"/>
        <v>170062950</v>
      </c>
      <c r="F37" s="361">
        <f>'- 57 -'!G36</f>
        <v>6469410</v>
      </c>
      <c r="G37" s="362">
        <f t="shared" si="2"/>
        <v>3.8041266483969611</v>
      </c>
      <c r="H37" s="487">
        <v>3.8041266483969612E-2</v>
      </c>
      <c r="I37" s="474">
        <v>170062950</v>
      </c>
      <c r="J37" s="1">
        <f t="shared" si="1"/>
        <v>0</v>
      </c>
    </row>
    <row r="38" spans="1:10" ht="14.1" customHeight="1">
      <c r="A38" s="23" t="s">
        <v>254</v>
      </c>
      <c r="B38" s="24">
        <f>'- 3 -'!B36</f>
        <v>21861640</v>
      </c>
      <c r="C38" s="24">
        <v>465000</v>
      </c>
      <c r="D38" s="24">
        <v>0</v>
      </c>
      <c r="E38" s="24">
        <f t="shared" si="0"/>
        <v>22326640</v>
      </c>
      <c r="F38" s="24">
        <f>'- 57 -'!G37</f>
        <v>1076270</v>
      </c>
      <c r="G38" s="353">
        <f t="shared" si="2"/>
        <v>4.8205641332506817</v>
      </c>
      <c r="H38" s="488">
        <v>4.8205641332506814E-2</v>
      </c>
      <c r="I38" s="475">
        <v>22326640</v>
      </c>
      <c r="J38" s="1">
        <f t="shared" si="1"/>
        <v>0</v>
      </c>
    </row>
    <row r="39" spans="1:10" ht="14.1" customHeight="1">
      <c r="A39" s="360" t="s">
        <v>255</v>
      </c>
      <c r="B39" s="361">
        <f>'- 3 -'!B37</f>
        <v>42216000</v>
      </c>
      <c r="C39" s="361">
        <v>495000</v>
      </c>
      <c r="D39" s="361">
        <v>0</v>
      </c>
      <c r="E39" s="361">
        <f t="shared" si="0"/>
        <v>42711000</v>
      </c>
      <c r="F39" s="361">
        <f>'- 57 -'!G38</f>
        <v>1762338</v>
      </c>
      <c r="G39" s="362">
        <f t="shared" si="2"/>
        <v>4.1261923157968674</v>
      </c>
      <c r="H39" s="487">
        <v>4.1261923157968672E-2</v>
      </c>
      <c r="I39" s="474">
        <v>42711000</v>
      </c>
      <c r="J39" s="1">
        <f t="shared" si="1"/>
        <v>0</v>
      </c>
    </row>
    <row r="40" spans="1:10" ht="14.1" customHeight="1">
      <c r="A40" s="23" t="s">
        <v>256</v>
      </c>
      <c r="B40" s="24">
        <f>'- 3 -'!B38</f>
        <v>118581660</v>
      </c>
      <c r="C40" s="24">
        <v>1796000</v>
      </c>
      <c r="D40" s="24">
        <v>-609300</v>
      </c>
      <c r="E40" s="24">
        <f t="shared" si="0"/>
        <v>119768360</v>
      </c>
      <c r="F40" s="24">
        <f>'- 57 -'!G39</f>
        <v>4342400</v>
      </c>
      <c r="G40" s="353">
        <f t="shared" si="2"/>
        <v>3.6256654094620653</v>
      </c>
      <c r="H40" s="488">
        <v>3.6256654094620651E-2</v>
      </c>
      <c r="I40" s="475">
        <v>119768360</v>
      </c>
      <c r="J40" s="1">
        <f t="shared" si="1"/>
        <v>0</v>
      </c>
    </row>
    <row r="41" spans="1:10" ht="14.1" customHeight="1">
      <c r="A41" s="360" t="s">
        <v>257</v>
      </c>
      <c r="B41" s="361">
        <f>'- 3 -'!B39</f>
        <v>20655974</v>
      </c>
      <c r="C41" s="361">
        <v>449000</v>
      </c>
      <c r="D41" s="361">
        <v>0</v>
      </c>
      <c r="E41" s="361">
        <f t="shared" si="0"/>
        <v>21104974</v>
      </c>
      <c r="F41" s="361">
        <f>'- 57 -'!G40</f>
        <v>970920</v>
      </c>
      <c r="G41" s="362">
        <f t="shared" si="2"/>
        <v>4.6004321066683147</v>
      </c>
      <c r="H41" s="487">
        <v>4.6004321066683146E-2</v>
      </c>
      <c r="I41" s="474">
        <v>21104974</v>
      </c>
      <c r="J41" s="1">
        <f t="shared" si="1"/>
        <v>0</v>
      </c>
    </row>
    <row r="42" spans="1:10" ht="14.1" customHeight="1">
      <c r="A42" s="23" t="s">
        <v>258</v>
      </c>
      <c r="B42" s="24">
        <f>'- 3 -'!B40</f>
        <v>97688404</v>
      </c>
      <c r="C42" s="24">
        <v>760956</v>
      </c>
      <c r="D42" s="24">
        <v>0</v>
      </c>
      <c r="E42" s="24">
        <f t="shared" si="0"/>
        <v>98449360</v>
      </c>
      <c r="F42" s="24">
        <f>'- 57 -'!G41</f>
        <v>3560582</v>
      </c>
      <c r="G42" s="353">
        <f t="shared" si="2"/>
        <v>3.6166634298079745</v>
      </c>
      <c r="H42" s="488">
        <v>3.6166634298079745E-2</v>
      </c>
      <c r="I42" s="475">
        <v>98449360</v>
      </c>
      <c r="J42" s="1">
        <f t="shared" si="1"/>
        <v>0</v>
      </c>
    </row>
    <row r="43" spans="1:10" ht="14.1" customHeight="1">
      <c r="A43" s="360" t="s">
        <v>259</v>
      </c>
      <c r="B43" s="361">
        <f>'- 3 -'!B41</f>
        <v>58349210</v>
      </c>
      <c r="C43" s="361">
        <v>1450916</v>
      </c>
      <c r="D43" s="361">
        <v>-991435</v>
      </c>
      <c r="E43" s="361">
        <f t="shared" si="0"/>
        <v>58808691</v>
      </c>
      <c r="F43" s="361">
        <f>'- 57 -'!G42</f>
        <v>2377321</v>
      </c>
      <c r="G43" s="362">
        <f t="shared" si="2"/>
        <v>4.0424654240306079</v>
      </c>
      <c r="H43" s="487">
        <v>4.0424654240306078E-2</v>
      </c>
      <c r="I43" s="474">
        <v>58808691</v>
      </c>
      <c r="J43" s="1">
        <f t="shared" si="1"/>
        <v>0</v>
      </c>
    </row>
    <row r="44" spans="1:10" ht="14.1" customHeight="1">
      <c r="A44" s="23" t="s">
        <v>260</v>
      </c>
      <c r="B44" s="24">
        <f>'- 3 -'!B42</f>
        <v>20176941</v>
      </c>
      <c r="C44" s="24">
        <v>198000</v>
      </c>
      <c r="D44" s="24">
        <v>0</v>
      </c>
      <c r="E44" s="24">
        <f t="shared" si="0"/>
        <v>20374941</v>
      </c>
      <c r="F44" s="24">
        <f>'- 57 -'!G43</f>
        <v>938076</v>
      </c>
      <c r="G44" s="353">
        <f t="shared" si="2"/>
        <v>4.60406731975322</v>
      </c>
      <c r="H44" s="488">
        <v>4.6040673197532203E-2</v>
      </c>
      <c r="I44" s="475">
        <v>20374941</v>
      </c>
      <c r="J44" s="1">
        <f t="shared" si="1"/>
        <v>0</v>
      </c>
    </row>
    <row r="45" spans="1:10" ht="14.1" customHeight="1">
      <c r="A45" s="360" t="s">
        <v>261</v>
      </c>
      <c r="B45" s="361">
        <f>'- 3 -'!B43</f>
        <v>11981970</v>
      </c>
      <c r="C45" s="361">
        <v>296000</v>
      </c>
      <c r="D45" s="361">
        <v>-251762</v>
      </c>
      <c r="E45" s="361">
        <f t="shared" si="0"/>
        <v>12026208</v>
      </c>
      <c r="F45" s="361">
        <f>'- 57 -'!G44</f>
        <v>550453</v>
      </c>
      <c r="G45" s="362">
        <f t="shared" si="2"/>
        <v>4.5771119208980924</v>
      </c>
      <c r="H45" s="487">
        <v>4.5771119208980922E-2</v>
      </c>
      <c r="I45" s="474">
        <v>12026208</v>
      </c>
      <c r="J45" s="1">
        <f t="shared" si="1"/>
        <v>0</v>
      </c>
    </row>
    <row r="46" spans="1:10" ht="14.1" customHeight="1">
      <c r="A46" s="23" t="s">
        <v>262</v>
      </c>
      <c r="B46" s="24">
        <f>'- 3 -'!B44</f>
        <v>10674247</v>
      </c>
      <c r="C46" s="24">
        <v>100000</v>
      </c>
      <c r="D46" s="24">
        <v>0</v>
      </c>
      <c r="E46" s="24">
        <f t="shared" si="0"/>
        <v>10774247</v>
      </c>
      <c r="F46" s="24">
        <f>'- 57 -'!G45</f>
        <v>440980</v>
      </c>
      <c r="G46" s="353">
        <f t="shared" si="2"/>
        <v>4.0929078384781787</v>
      </c>
      <c r="H46" s="488">
        <v>4.0929078384781784E-2</v>
      </c>
      <c r="I46" s="475">
        <v>10774247</v>
      </c>
      <c r="J46" s="1">
        <f t="shared" si="1"/>
        <v>0</v>
      </c>
    </row>
    <row r="47" spans="1:10" ht="14.1" customHeight="1">
      <c r="A47" s="360" t="s">
        <v>263</v>
      </c>
      <c r="B47" s="361">
        <f>'- 3 -'!B45</f>
        <v>17098724</v>
      </c>
      <c r="C47" s="361">
        <v>466100</v>
      </c>
      <c r="D47" s="361">
        <v>-385501</v>
      </c>
      <c r="E47" s="361">
        <f>SUM(B47:D47)</f>
        <v>17179323</v>
      </c>
      <c r="F47" s="361">
        <f>'- 57 -'!G46</f>
        <v>771607</v>
      </c>
      <c r="G47" s="362">
        <f>F47/E47*100</f>
        <v>4.4914866552075425</v>
      </c>
      <c r="H47" s="487">
        <v>4.4914866552075425E-2</v>
      </c>
      <c r="I47" s="474">
        <v>17179323</v>
      </c>
      <c r="J47" s="1">
        <f>I47-E47</f>
        <v>0</v>
      </c>
    </row>
    <row r="48" spans="1:10" ht="14.1" customHeight="1">
      <c r="A48" s="23" t="s">
        <v>264</v>
      </c>
      <c r="B48" s="24">
        <f>'- 3 -'!B46</f>
        <v>362976900</v>
      </c>
      <c r="C48" s="24">
        <v>2034200</v>
      </c>
      <c r="D48" s="24">
        <v>-756700</v>
      </c>
      <c r="E48" s="24">
        <f t="shared" si="0"/>
        <v>364254400</v>
      </c>
      <c r="F48" s="24">
        <f>'- 57 -'!G47</f>
        <v>11813700</v>
      </c>
      <c r="G48" s="353">
        <f t="shared" si="2"/>
        <v>3.2432552633544027</v>
      </c>
      <c r="H48" s="488">
        <v>3.2432552633544026E-2</v>
      </c>
      <c r="I48" s="475">
        <v>364254400</v>
      </c>
      <c r="J48" s="1">
        <f t="shared" si="1"/>
        <v>0</v>
      </c>
    </row>
    <row r="49" spans="1:10" ht="5.0999999999999996" customHeight="1">
      <c r="A49"/>
      <c r="B49"/>
      <c r="C49"/>
      <c r="D49"/>
      <c r="E49"/>
      <c r="F49"/>
      <c r="G49"/>
      <c r="H49" s="490"/>
      <c r="I49" s="476"/>
    </row>
    <row r="50" spans="1:10" ht="14.45" customHeight="1">
      <c r="A50" s="363" t="s">
        <v>265</v>
      </c>
      <c r="B50" s="364">
        <f>SUM(B13:B48)</f>
        <v>1900744322</v>
      </c>
      <c r="C50" s="364">
        <f>SUM(C13:C48)</f>
        <v>21583059</v>
      </c>
      <c r="D50" s="364">
        <f>SUM(D13:D48)</f>
        <v>-5411446</v>
      </c>
      <c r="E50" s="364">
        <f>SUM(E13:E48)</f>
        <v>1916915935</v>
      </c>
      <c r="F50" s="364">
        <f>SUM(F13:F48)</f>
        <v>72699702</v>
      </c>
      <c r="G50" s="365">
        <f>F50/E50*100</f>
        <v>3.792534699754583</v>
      </c>
      <c r="H50" s="491"/>
      <c r="I50" s="492">
        <f>SUM(I13:I48)</f>
        <v>1916915935</v>
      </c>
      <c r="J50" s="1">
        <f t="shared" si="1"/>
        <v>0</v>
      </c>
    </row>
    <row r="51" spans="1:10" ht="5.0999999999999996" customHeight="1">
      <c r="A51" s="25" t="s">
        <v>3</v>
      </c>
      <c r="B51" s="26"/>
      <c r="C51" s="26"/>
      <c r="D51" s="26"/>
      <c r="E51" s="26"/>
      <c r="F51" s="26"/>
      <c r="G51" s="351"/>
      <c r="H51" s="490"/>
      <c r="I51" s="478"/>
    </row>
    <row r="52" spans="1:10" ht="14.45" customHeight="1">
      <c r="A52" s="23" t="s">
        <v>266</v>
      </c>
      <c r="B52" s="24">
        <f>'- 3 -'!B50</f>
        <v>3293751</v>
      </c>
      <c r="C52" s="24">
        <v>45500</v>
      </c>
      <c r="D52" s="24">
        <v>0</v>
      </c>
      <c r="E52" s="24">
        <f>SUM(B52:D52)</f>
        <v>3339251</v>
      </c>
      <c r="F52" s="24">
        <f>'- 57 -'!G51</f>
        <v>272212</v>
      </c>
      <c r="G52" s="353">
        <f>F52/E52*100</f>
        <v>8.1518879533164785</v>
      </c>
      <c r="H52" s="488">
        <v>8.1518879533164779E-2</v>
      </c>
      <c r="I52" s="475">
        <v>3339251</v>
      </c>
      <c r="J52" s="1">
        <f t="shared" si="1"/>
        <v>0</v>
      </c>
    </row>
    <row r="53" spans="1:10" ht="14.45" customHeight="1">
      <c r="A53" s="360" t="s">
        <v>375</v>
      </c>
      <c r="B53" s="361"/>
      <c r="C53" s="361"/>
      <c r="D53" s="361"/>
      <c r="E53" s="361"/>
      <c r="F53" s="361"/>
      <c r="G53" s="484" t="s">
        <v>184</v>
      </c>
      <c r="H53" s="328"/>
      <c r="I53" s="322"/>
    </row>
    <row r="54" spans="1:10" ht="25.5" customHeight="1">
      <c r="A54" s="27"/>
      <c r="B54" s="27"/>
      <c r="C54" s="27"/>
      <c r="D54" s="27"/>
      <c r="E54" s="27"/>
      <c r="F54" s="27"/>
      <c r="G54" s="27"/>
    </row>
    <row r="55" spans="1:10" ht="14.45" customHeight="1">
      <c r="A55" s="300" t="s">
        <v>634</v>
      </c>
      <c r="B55" s="301"/>
      <c r="C55" s="301"/>
      <c r="D55" s="301"/>
      <c r="E55" s="207"/>
      <c r="F55" s="207"/>
      <c r="G55" s="207"/>
    </row>
    <row r="56" spans="1:10" ht="12" customHeight="1">
      <c r="A56" s="39" t="s">
        <v>424</v>
      </c>
      <c r="B56" s="39"/>
      <c r="C56" s="39"/>
      <c r="D56" s="39"/>
    </row>
    <row r="57" spans="1:10" ht="14.45" customHeight="1">
      <c r="A57" s="39"/>
      <c r="B57" s="39"/>
      <c r="C57" s="39"/>
      <c r="D57" s="39"/>
    </row>
    <row r="58" spans="1:10" ht="14.45" customHeight="1">
      <c r="A58" s="39"/>
      <c r="B58" s="39"/>
      <c r="C58" s="39"/>
      <c r="D58" s="39"/>
    </row>
    <row r="59" spans="1:10" ht="14.45" customHeight="1">
      <c r="A59" s="39"/>
      <c r="B59" s="39"/>
      <c r="C59" s="39"/>
      <c r="D59" s="39"/>
    </row>
    <row r="60" spans="1:10">
      <c r="A60" s="39"/>
    </row>
  </sheetData>
  <phoneticPr fontId="0" type="noConversion"/>
  <printOptions horizontalCentered="1"/>
  <pageMargins left="0.51181102362204722" right="0.51181102362204722" top="0.59055118110236227" bottom="0" header="0.31496062992125984" footer="0"/>
  <pageSetup scale="87" orientation="portrait" r:id="rId1"/>
  <headerFooter alignWithMargins="0">
    <oddHeader>&amp;C&amp;"Arial,Bold"&amp;10&amp;A</oddHeader>
  </headerFooter>
</worksheet>
</file>

<file path=xl/worksheets/sheet52.xml><?xml version="1.0" encoding="utf-8"?>
<worksheet xmlns="http://schemas.openxmlformats.org/spreadsheetml/2006/main" xmlns:r="http://schemas.openxmlformats.org/officeDocument/2006/relationships">
  <sheetPr transitionEvaluation="1" transitionEntry="1" codeName="Sheet39">
    <pageSetUpPr autoPageBreaks="0" fitToPage="1"/>
  </sheetPr>
  <dimension ref="A1:I55"/>
  <sheetViews>
    <sheetView showGridLines="0" showZeros="0" defaultGridColor="0" colorId="22" workbookViewId="0"/>
  </sheetViews>
  <sheetFormatPr defaultColWidth="15.83203125" defaultRowHeight="12"/>
  <cols>
    <col min="1" max="1" width="26.1640625" style="544" bestFit="1" customWidth="1"/>
    <col min="2" max="2" width="15.83203125" style="561" customWidth="1"/>
    <col min="3" max="3" width="13.33203125" style="544" customWidth="1"/>
    <col min="4" max="4" width="13.1640625" style="544" customWidth="1"/>
    <col min="5" max="5" width="16" style="544" customWidth="1"/>
    <col min="6" max="6" width="15.33203125" style="544" customWidth="1"/>
    <col min="7" max="7" width="14.83203125" style="544" customWidth="1"/>
    <col min="8" max="8" width="10.5" style="544" customWidth="1"/>
    <col min="9" max="9" width="13" style="544" customWidth="1"/>
    <col min="10" max="16384" width="15.83203125" style="544"/>
  </cols>
  <sheetData>
    <row r="1" spans="1:9" ht="20.25">
      <c r="A1" s="542"/>
      <c r="B1" s="543"/>
    </row>
    <row r="2" spans="1:9" s="546" customFormat="1" ht="15.95" customHeight="1">
      <c r="A2" s="664" t="s">
        <v>557</v>
      </c>
      <c r="B2" s="664"/>
      <c r="C2" s="664"/>
      <c r="D2" s="664"/>
      <c r="E2" s="664"/>
      <c r="F2" s="664"/>
      <c r="G2" s="664"/>
      <c r="H2" s="664"/>
      <c r="I2" s="545"/>
    </row>
    <row r="3" spans="1:9" s="546" customFormat="1" ht="15.95" customHeight="1">
      <c r="A3" s="665" t="s">
        <v>674</v>
      </c>
      <c r="B3" s="666"/>
      <c r="C3" s="666"/>
      <c r="D3" s="666"/>
      <c r="E3" s="666"/>
      <c r="F3" s="666"/>
      <c r="G3" s="666"/>
      <c r="H3" s="666"/>
      <c r="I3" s="547"/>
    </row>
    <row r="4" spans="1:9">
      <c r="B4" s="548"/>
    </row>
    <row r="5" spans="1:9">
      <c r="B5" s="548"/>
    </row>
    <row r="6" spans="1:9">
      <c r="B6" s="544"/>
    </row>
    <row r="7" spans="1:9">
      <c r="B7" s="663"/>
      <c r="C7" s="663"/>
      <c r="D7" s="663"/>
      <c r="E7" s="663"/>
      <c r="F7" s="663"/>
      <c r="G7" s="663"/>
      <c r="H7" s="663"/>
    </row>
    <row r="8" spans="1:9" ht="36" customHeight="1">
      <c r="A8" s="549"/>
      <c r="B8" s="667" t="s">
        <v>554</v>
      </c>
      <c r="C8" s="610" t="s">
        <v>218</v>
      </c>
      <c r="D8" s="611"/>
      <c r="E8" s="668" t="s">
        <v>555</v>
      </c>
      <c r="F8" s="661" t="s">
        <v>556</v>
      </c>
      <c r="G8" s="661" t="s">
        <v>616</v>
      </c>
      <c r="H8" s="661" t="s">
        <v>558</v>
      </c>
      <c r="I8" s="661" t="s">
        <v>29</v>
      </c>
    </row>
    <row r="9" spans="1:9" ht="18.75" customHeight="1">
      <c r="A9" s="550" t="s">
        <v>504</v>
      </c>
      <c r="B9" s="662"/>
      <c r="C9" s="606" t="s">
        <v>617</v>
      </c>
      <c r="D9" s="606" t="s">
        <v>44</v>
      </c>
      <c r="E9" s="662"/>
      <c r="F9" s="662"/>
      <c r="G9" s="662"/>
      <c r="H9" s="662"/>
      <c r="I9" s="662"/>
    </row>
    <row r="10" spans="1:9" ht="3.95" customHeight="1">
      <c r="A10" s="551"/>
      <c r="B10" s="548"/>
    </row>
    <row r="11" spans="1:9">
      <c r="A11" s="552" t="s">
        <v>230</v>
      </c>
      <c r="B11" s="553">
        <v>10.35</v>
      </c>
      <c r="C11" s="553">
        <v>107.28</v>
      </c>
      <c r="D11" s="553">
        <v>51.65</v>
      </c>
      <c r="E11" s="553">
        <v>39.5</v>
      </c>
      <c r="F11" s="553">
        <v>8.5</v>
      </c>
      <c r="G11" s="553">
        <v>1.2</v>
      </c>
      <c r="H11" s="553">
        <v>2.25</v>
      </c>
      <c r="I11" s="553">
        <f t="shared" ref="I11:I46" si="0">SUM(B11:H11)</f>
        <v>220.73</v>
      </c>
    </row>
    <row r="12" spans="1:9">
      <c r="A12" s="554" t="s">
        <v>231</v>
      </c>
      <c r="B12" s="555">
        <v>20.99</v>
      </c>
      <c r="C12" s="555">
        <v>175.07</v>
      </c>
      <c r="D12" s="555">
        <v>107.3</v>
      </c>
      <c r="E12" s="555">
        <v>73.22</v>
      </c>
      <c r="F12" s="555">
        <v>23.73</v>
      </c>
      <c r="G12" s="555">
        <v>5.0999999999999996</v>
      </c>
      <c r="H12" s="555">
        <v>4.62</v>
      </c>
      <c r="I12" s="555">
        <f t="shared" si="0"/>
        <v>410.03000000000009</v>
      </c>
    </row>
    <row r="13" spans="1:9">
      <c r="A13" s="552" t="s">
        <v>232</v>
      </c>
      <c r="B13" s="553">
        <v>42.75</v>
      </c>
      <c r="C13" s="553">
        <v>609.79999999999995</v>
      </c>
      <c r="D13" s="553">
        <v>286.95</v>
      </c>
      <c r="E13" s="553">
        <v>121.83000000000001</v>
      </c>
      <c r="F13" s="553">
        <v>45.85</v>
      </c>
      <c r="G13" s="553">
        <v>20.13</v>
      </c>
      <c r="H13" s="553">
        <v>7</v>
      </c>
      <c r="I13" s="553">
        <f t="shared" si="0"/>
        <v>1134.31</v>
      </c>
    </row>
    <row r="14" spans="1:9">
      <c r="A14" s="554" t="s">
        <v>578</v>
      </c>
      <c r="B14" s="555">
        <v>54.19</v>
      </c>
      <c r="C14" s="555">
        <v>378.11</v>
      </c>
      <c r="D14" s="555">
        <v>235.04999999999998</v>
      </c>
      <c r="E14" s="555">
        <v>70.45</v>
      </c>
      <c r="F14" s="555">
        <v>54.68</v>
      </c>
      <c r="G14" s="555">
        <v>13.8</v>
      </c>
      <c r="H14" s="555">
        <v>7</v>
      </c>
      <c r="I14" s="555">
        <f t="shared" si="0"/>
        <v>813.28</v>
      </c>
    </row>
    <row r="15" spans="1:9">
      <c r="A15" s="552" t="s">
        <v>233</v>
      </c>
      <c r="B15" s="553">
        <v>13.75</v>
      </c>
      <c r="C15" s="553">
        <v>104.33999999999999</v>
      </c>
      <c r="D15" s="553">
        <v>62.9</v>
      </c>
      <c r="E15" s="553">
        <v>35.950000000000003</v>
      </c>
      <c r="F15" s="553">
        <v>13.5</v>
      </c>
      <c r="G15" s="553">
        <v>2</v>
      </c>
      <c r="H15" s="553">
        <v>2</v>
      </c>
      <c r="I15" s="553">
        <f t="shared" si="0"/>
        <v>234.44</v>
      </c>
    </row>
    <row r="16" spans="1:9">
      <c r="A16" s="554" t="s">
        <v>234</v>
      </c>
      <c r="B16" s="555">
        <v>10.32</v>
      </c>
      <c r="C16" s="555">
        <v>70.849999999999994</v>
      </c>
      <c r="D16" s="555">
        <v>35.75</v>
      </c>
      <c r="E16" s="555">
        <v>24.08</v>
      </c>
      <c r="F16" s="555">
        <v>9.5</v>
      </c>
      <c r="G16" s="555">
        <v>1.8</v>
      </c>
      <c r="H16" s="555">
        <v>2</v>
      </c>
      <c r="I16" s="555">
        <f t="shared" si="0"/>
        <v>154.30000000000001</v>
      </c>
    </row>
    <row r="17" spans="1:9">
      <c r="A17" s="552" t="s">
        <v>505</v>
      </c>
      <c r="B17" s="553">
        <v>11</v>
      </c>
      <c r="C17" s="553">
        <v>93.94</v>
      </c>
      <c r="D17" s="553">
        <v>59.69</v>
      </c>
      <c r="E17" s="553">
        <v>50.53</v>
      </c>
      <c r="F17" s="553">
        <v>12.17</v>
      </c>
      <c r="G17" s="553">
        <v>2.5</v>
      </c>
      <c r="H17" s="553">
        <v>3</v>
      </c>
      <c r="I17" s="553">
        <f t="shared" si="0"/>
        <v>232.82999999999998</v>
      </c>
    </row>
    <row r="18" spans="1:9">
      <c r="A18" s="554" t="s">
        <v>506</v>
      </c>
      <c r="B18" s="555">
        <v>69.41</v>
      </c>
      <c r="C18" s="555">
        <v>502.37</v>
      </c>
      <c r="D18" s="555">
        <v>480.43</v>
      </c>
      <c r="E18" s="555">
        <v>284.14999999999998</v>
      </c>
      <c r="F18" s="555">
        <v>64.930000000000007</v>
      </c>
      <c r="G18" s="555">
        <v>9.83</v>
      </c>
      <c r="H18" s="555">
        <v>8</v>
      </c>
      <c r="I18" s="555">
        <f t="shared" si="0"/>
        <v>1419.1200000000001</v>
      </c>
    </row>
    <row r="19" spans="1:9">
      <c r="A19" s="552" t="s">
        <v>507</v>
      </c>
      <c r="B19" s="553">
        <v>21.75</v>
      </c>
      <c r="C19" s="553">
        <v>271.2</v>
      </c>
      <c r="D19" s="553">
        <v>158.80000000000001</v>
      </c>
      <c r="E19" s="553">
        <v>106.75</v>
      </c>
      <c r="F19" s="553">
        <v>19</v>
      </c>
      <c r="G19" s="553">
        <v>9.1999999999999993</v>
      </c>
      <c r="H19" s="553">
        <v>7</v>
      </c>
      <c r="I19" s="553">
        <f t="shared" si="0"/>
        <v>593.70000000000005</v>
      </c>
    </row>
    <row r="20" spans="1:9">
      <c r="A20" s="554" t="s">
        <v>508</v>
      </c>
      <c r="B20" s="555">
        <v>43.603000000000002</v>
      </c>
      <c r="C20" s="555">
        <v>461.79399999999998</v>
      </c>
      <c r="D20" s="555">
        <v>201.155</v>
      </c>
      <c r="E20" s="555">
        <v>202.803</v>
      </c>
      <c r="F20" s="555">
        <v>63.920999999999999</v>
      </c>
      <c r="G20" s="555">
        <v>13.3</v>
      </c>
      <c r="H20" s="555">
        <v>10.33</v>
      </c>
      <c r="I20" s="555">
        <f t="shared" si="0"/>
        <v>996.90600000000006</v>
      </c>
    </row>
    <row r="21" spans="1:9">
      <c r="A21" s="552" t="s">
        <v>509</v>
      </c>
      <c r="B21" s="553">
        <v>24.25</v>
      </c>
      <c r="C21" s="553">
        <v>234.41000000000003</v>
      </c>
      <c r="D21" s="553">
        <v>102</v>
      </c>
      <c r="E21" s="553">
        <v>77.5</v>
      </c>
      <c r="F21" s="553">
        <v>24.45</v>
      </c>
      <c r="G21" s="553">
        <v>6.75</v>
      </c>
      <c r="H21" s="553">
        <v>7</v>
      </c>
      <c r="I21" s="553">
        <f t="shared" si="0"/>
        <v>476.36</v>
      </c>
    </row>
    <row r="22" spans="1:9">
      <c r="A22" s="554" t="s">
        <v>510</v>
      </c>
      <c r="B22" s="555">
        <v>11.4</v>
      </c>
      <c r="C22" s="555">
        <v>120</v>
      </c>
      <c r="D22" s="555">
        <v>60.5</v>
      </c>
      <c r="E22" s="555">
        <v>34.120000000000005</v>
      </c>
      <c r="F22" s="555">
        <v>18.5</v>
      </c>
      <c r="G22" s="555">
        <v>2</v>
      </c>
      <c r="H22" s="555">
        <v>2</v>
      </c>
      <c r="I22" s="555">
        <f t="shared" si="0"/>
        <v>248.52</v>
      </c>
    </row>
    <row r="23" spans="1:9">
      <c r="A23" s="552" t="s">
        <v>511</v>
      </c>
      <c r="B23" s="553">
        <v>11.75</v>
      </c>
      <c r="C23" s="553">
        <v>93.4</v>
      </c>
      <c r="D23" s="553">
        <v>77</v>
      </c>
      <c r="E23" s="553">
        <v>36.700000000000003</v>
      </c>
      <c r="F23" s="553">
        <v>11.353000000000002</v>
      </c>
      <c r="G23" s="553">
        <v>4</v>
      </c>
      <c r="H23" s="553">
        <v>2</v>
      </c>
      <c r="I23" s="553">
        <f t="shared" si="0"/>
        <v>236.20300000000003</v>
      </c>
    </row>
    <row r="24" spans="1:9">
      <c r="A24" s="554" t="s">
        <v>512</v>
      </c>
      <c r="B24" s="555">
        <v>30.7</v>
      </c>
      <c r="C24" s="555">
        <v>310.23</v>
      </c>
      <c r="D24" s="555">
        <v>190.83999999999997</v>
      </c>
      <c r="E24" s="555">
        <v>123.49</v>
      </c>
      <c r="F24" s="555">
        <v>32.5</v>
      </c>
      <c r="G24" s="555">
        <v>10</v>
      </c>
      <c r="H24" s="555">
        <v>9</v>
      </c>
      <c r="I24" s="555">
        <f t="shared" si="0"/>
        <v>706.76</v>
      </c>
    </row>
    <row r="25" spans="1:9">
      <c r="A25" s="552" t="s">
        <v>513</v>
      </c>
      <c r="B25" s="553">
        <v>81</v>
      </c>
      <c r="C25" s="553">
        <v>919.75</v>
      </c>
      <c r="D25" s="553">
        <v>509.22</v>
      </c>
      <c r="E25" s="553">
        <v>168.97</v>
      </c>
      <c r="F25" s="553">
        <v>119.60000000000001</v>
      </c>
      <c r="G25" s="553">
        <v>34.68</v>
      </c>
      <c r="H25" s="553">
        <v>16</v>
      </c>
      <c r="I25" s="553">
        <f t="shared" si="0"/>
        <v>1849.22</v>
      </c>
    </row>
    <row r="26" spans="1:9">
      <c r="A26" s="554" t="s">
        <v>514</v>
      </c>
      <c r="B26" s="555">
        <v>26.46</v>
      </c>
      <c r="C26" s="555">
        <v>214.94</v>
      </c>
      <c r="D26" s="555">
        <v>155.66999999999999</v>
      </c>
      <c r="E26" s="555">
        <v>115.88</v>
      </c>
      <c r="F26" s="555">
        <v>25.86</v>
      </c>
      <c r="G26" s="555">
        <v>6.1</v>
      </c>
      <c r="H26" s="555">
        <v>6</v>
      </c>
      <c r="I26" s="555">
        <f t="shared" si="0"/>
        <v>550.91000000000008</v>
      </c>
    </row>
    <row r="27" spans="1:9">
      <c r="A27" s="552" t="s">
        <v>515</v>
      </c>
      <c r="B27" s="553">
        <v>19.619999999999997</v>
      </c>
      <c r="C27" s="553">
        <v>227.4</v>
      </c>
      <c r="D27" s="553">
        <v>68</v>
      </c>
      <c r="E27" s="553">
        <v>38.869999999999997</v>
      </c>
      <c r="F27" s="553">
        <v>25</v>
      </c>
      <c r="G27" s="553">
        <v>9.8800000000000008</v>
      </c>
      <c r="H27" s="553">
        <v>6</v>
      </c>
      <c r="I27" s="553">
        <f t="shared" si="0"/>
        <v>394.77</v>
      </c>
    </row>
    <row r="28" spans="1:9">
      <c r="A28" s="554" t="s">
        <v>516</v>
      </c>
      <c r="B28" s="555">
        <v>15.15</v>
      </c>
      <c r="C28" s="555">
        <v>157.32199999999997</v>
      </c>
      <c r="D28" s="555">
        <v>92.5</v>
      </c>
      <c r="E28" s="555">
        <v>54.95</v>
      </c>
      <c r="F28" s="555">
        <v>18.395</v>
      </c>
      <c r="G28" s="555">
        <v>4.2</v>
      </c>
      <c r="H28" s="555">
        <v>3</v>
      </c>
      <c r="I28" s="555">
        <f t="shared" si="0"/>
        <v>345.51699999999994</v>
      </c>
    </row>
    <row r="29" spans="1:9">
      <c r="A29" s="552" t="s">
        <v>517</v>
      </c>
      <c r="B29" s="553">
        <v>73.150000000000006</v>
      </c>
      <c r="C29" s="553">
        <v>817.51</v>
      </c>
      <c r="D29" s="553">
        <v>521.66999999999996</v>
      </c>
      <c r="E29" s="553">
        <v>174.67</v>
      </c>
      <c r="F29" s="553">
        <v>110</v>
      </c>
      <c r="G29" s="553">
        <v>28.35</v>
      </c>
      <c r="H29" s="553">
        <v>19</v>
      </c>
      <c r="I29" s="553">
        <f t="shared" si="0"/>
        <v>1744.35</v>
      </c>
    </row>
    <row r="30" spans="1:9">
      <c r="A30" s="554" t="s">
        <v>518</v>
      </c>
      <c r="B30" s="555">
        <v>10.370000000000001</v>
      </c>
      <c r="C30" s="555">
        <v>77.38000000000001</v>
      </c>
      <c r="D30" s="555">
        <v>39.07</v>
      </c>
      <c r="E30" s="555">
        <v>40</v>
      </c>
      <c r="F30" s="555">
        <v>8.9700000000000006</v>
      </c>
      <c r="G30" s="555">
        <v>2.5</v>
      </c>
      <c r="H30" s="555">
        <v>3</v>
      </c>
      <c r="I30" s="555">
        <f t="shared" si="0"/>
        <v>181.29000000000002</v>
      </c>
    </row>
    <row r="31" spans="1:9">
      <c r="A31" s="552" t="s">
        <v>519</v>
      </c>
      <c r="B31" s="553">
        <v>19.34</v>
      </c>
      <c r="C31" s="553">
        <v>225.08</v>
      </c>
      <c r="D31" s="553">
        <v>144.28</v>
      </c>
      <c r="E31" s="553">
        <v>68.91</v>
      </c>
      <c r="F31" s="553">
        <v>21.14</v>
      </c>
      <c r="G31" s="553">
        <v>8.02</v>
      </c>
      <c r="H31" s="553">
        <v>6</v>
      </c>
      <c r="I31" s="553">
        <f t="shared" si="0"/>
        <v>492.77</v>
      </c>
    </row>
    <row r="32" spans="1:9">
      <c r="A32" s="554" t="s">
        <v>520</v>
      </c>
      <c r="B32" s="555">
        <v>15.599999999999998</v>
      </c>
      <c r="C32" s="555">
        <v>155.25</v>
      </c>
      <c r="D32" s="555">
        <v>97.14</v>
      </c>
      <c r="E32" s="555">
        <v>63.07</v>
      </c>
      <c r="F32" s="555">
        <v>20.5</v>
      </c>
      <c r="G32" s="555">
        <v>3.2</v>
      </c>
      <c r="H32" s="555">
        <v>5</v>
      </c>
      <c r="I32" s="555">
        <f t="shared" si="0"/>
        <v>359.76</v>
      </c>
    </row>
    <row r="33" spans="1:9">
      <c r="A33" s="552" t="s">
        <v>521</v>
      </c>
      <c r="B33" s="553">
        <v>18.53</v>
      </c>
      <c r="C33" s="553">
        <v>137.42500000000001</v>
      </c>
      <c r="D33" s="553">
        <v>87.97</v>
      </c>
      <c r="E33" s="553">
        <v>98.688000000000002</v>
      </c>
      <c r="F33" s="553">
        <v>19.369999999999997</v>
      </c>
      <c r="G33" s="553">
        <v>4.0999999999999996</v>
      </c>
      <c r="H33" s="553">
        <v>5</v>
      </c>
      <c r="I33" s="553">
        <f t="shared" si="0"/>
        <v>371.08300000000003</v>
      </c>
    </row>
    <row r="34" spans="1:9">
      <c r="A34" s="554" t="s">
        <v>522</v>
      </c>
      <c r="B34" s="555">
        <v>15.450000000000001</v>
      </c>
      <c r="C34" s="555">
        <v>141.46</v>
      </c>
      <c r="D34" s="555">
        <v>78.14</v>
      </c>
      <c r="E34" s="555">
        <v>79.84</v>
      </c>
      <c r="F34" s="555">
        <v>19.350000000000001</v>
      </c>
      <c r="G34" s="555">
        <v>4.95</v>
      </c>
      <c r="H34" s="555">
        <v>3</v>
      </c>
      <c r="I34" s="555">
        <f t="shared" si="0"/>
        <v>342.19</v>
      </c>
    </row>
    <row r="35" spans="1:9">
      <c r="A35" s="552" t="s">
        <v>523</v>
      </c>
      <c r="B35" s="553">
        <v>93.21</v>
      </c>
      <c r="C35" s="553">
        <v>1053.72</v>
      </c>
      <c r="D35" s="553">
        <v>463.42</v>
      </c>
      <c r="E35" s="553">
        <v>276.62</v>
      </c>
      <c r="F35" s="553">
        <v>122.57</v>
      </c>
      <c r="G35" s="553">
        <v>27.62</v>
      </c>
      <c r="H35" s="553">
        <v>16.5</v>
      </c>
      <c r="I35" s="553">
        <f t="shared" si="0"/>
        <v>2053.66</v>
      </c>
    </row>
    <row r="36" spans="1:9">
      <c r="A36" s="554" t="s">
        <v>524</v>
      </c>
      <c r="B36" s="555">
        <v>14.13</v>
      </c>
      <c r="C36" s="555">
        <v>121.57799999999999</v>
      </c>
      <c r="D36" s="555">
        <v>81.5</v>
      </c>
      <c r="E36" s="555">
        <v>62.07</v>
      </c>
      <c r="F36" s="555">
        <v>14.81</v>
      </c>
      <c r="G36" s="555">
        <v>2</v>
      </c>
      <c r="H36" s="555">
        <v>2.4</v>
      </c>
      <c r="I36" s="555">
        <f t="shared" si="0"/>
        <v>298.488</v>
      </c>
    </row>
    <row r="37" spans="1:9">
      <c r="A37" s="552" t="s">
        <v>525</v>
      </c>
      <c r="B37" s="553">
        <v>27.25</v>
      </c>
      <c r="C37" s="553">
        <v>245.82999999999998</v>
      </c>
      <c r="D37" s="553">
        <v>142.53</v>
      </c>
      <c r="E37" s="553">
        <v>126</v>
      </c>
      <c r="F37" s="553">
        <v>28.5</v>
      </c>
      <c r="G37" s="553">
        <v>9</v>
      </c>
      <c r="H37" s="553">
        <v>4</v>
      </c>
      <c r="I37" s="553">
        <f t="shared" si="0"/>
        <v>583.11</v>
      </c>
    </row>
    <row r="38" spans="1:9">
      <c r="A38" s="554" t="s">
        <v>526</v>
      </c>
      <c r="B38" s="555">
        <v>68.099999999999994</v>
      </c>
      <c r="C38" s="555">
        <v>691.68000000000006</v>
      </c>
      <c r="D38" s="555">
        <v>314.92</v>
      </c>
      <c r="E38" s="555">
        <v>130.72</v>
      </c>
      <c r="F38" s="555">
        <v>71.349999999999994</v>
      </c>
      <c r="G38" s="555">
        <v>20</v>
      </c>
      <c r="H38" s="555">
        <v>8</v>
      </c>
      <c r="I38" s="555">
        <f t="shared" si="0"/>
        <v>1304.77</v>
      </c>
    </row>
    <row r="39" spans="1:9">
      <c r="A39" s="552" t="s">
        <v>527</v>
      </c>
      <c r="B39" s="553">
        <v>11.469999999999999</v>
      </c>
      <c r="C39" s="553">
        <v>116.52500000000001</v>
      </c>
      <c r="D39" s="553">
        <v>67.17</v>
      </c>
      <c r="E39" s="553">
        <v>58.57</v>
      </c>
      <c r="F39" s="553">
        <v>13.3</v>
      </c>
      <c r="G39" s="553">
        <v>3.5</v>
      </c>
      <c r="H39" s="553">
        <v>4</v>
      </c>
      <c r="I39" s="553">
        <f t="shared" si="0"/>
        <v>274.53500000000003</v>
      </c>
    </row>
    <row r="40" spans="1:9">
      <c r="A40" s="554" t="s">
        <v>528</v>
      </c>
      <c r="B40" s="555">
        <v>58.199999999999996</v>
      </c>
      <c r="C40" s="555">
        <v>529.6</v>
      </c>
      <c r="D40" s="555">
        <v>315.24</v>
      </c>
      <c r="E40" s="555">
        <v>100.33999999999999</v>
      </c>
      <c r="F40" s="555">
        <v>92.12</v>
      </c>
      <c r="G40" s="555">
        <v>22.59</v>
      </c>
      <c r="H40" s="555">
        <v>12</v>
      </c>
      <c r="I40" s="555">
        <f t="shared" si="0"/>
        <v>1130.0899999999999</v>
      </c>
    </row>
    <row r="41" spans="1:9">
      <c r="A41" s="552" t="s">
        <v>529</v>
      </c>
      <c r="B41" s="553">
        <v>28.88</v>
      </c>
      <c r="C41" s="553">
        <v>336.3</v>
      </c>
      <c r="D41" s="553">
        <v>156.00000000000003</v>
      </c>
      <c r="E41" s="553">
        <v>146.22999999999999</v>
      </c>
      <c r="F41" s="553">
        <v>41.8</v>
      </c>
      <c r="G41" s="553">
        <v>14.379999999999999</v>
      </c>
      <c r="H41" s="553">
        <v>7</v>
      </c>
      <c r="I41" s="553">
        <f t="shared" si="0"/>
        <v>730.59</v>
      </c>
    </row>
    <row r="42" spans="1:9">
      <c r="A42" s="554" t="s">
        <v>530</v>
      </c>
      <c r="B42" s="555">
        <v>11.26</v>
      </c>
      <c r="C42" s="555">
        <v>110.31</v>
      </c>
      <c r="D42" s="555">
        <v>74.53</v>
      </c>
      <c r="E42" s="555">
        <v>61.190000000000005</v>
      </c>
      <c r="F42" s="555">
        <v>19.080000000000002</v>
      </c>
      <c r="G42" s="555">
        <v>3.4</v>
      </c>
      <c r="H42" s="555">
        <v>3</v>
      </c>
      <c r="I42" s="555">
        <f t="shared" si="0"/>
        <v>282.77</v>
      </c>
    </row>
    <row r="43" spans="1:9">
      <c r="A43" s="552" t="s">
        <v>531</v>
      </c>
      <c r="B43" s="553">
        <v>6.81</v>
      </c>
      <c r="C43" s="553">
        <v>73.39</v>
      </c>
      <c r="D43" s="553">
        <v>41.85</v>
      </c>
      <c r="E43" s="553">
        <v>32.17</v>
      </c>
      <c r="F43" s="553">
        <v>6.7332999999999998</v>
      </c>
      <c r="G43" s="553">
        <v>2.9950000000000001</v>
      </c>
      <c r="H43" s="553">
        <v>1</v>
      </c>
      <c r="I43" s="553">
        <f t="shared" si="0"/>
        <v>164.94830000000002</v>
      </c>
    </row>
    <row r="44" spans="1:9">
      <c r="A44" s="554" t="s">
        <v>532</v>
      </c>
      <c r="B44" s="555">
        <v>5.15</v>
      </c>
      <c r="C44" s="555">
        <v>59.519999999999996</v>
      </c>
      <c r="D44" s="555">
        <v>53.599999999999994</v>
      </c>
      <c r="E44" s="555">
        <v>34.130000000000003</v>
      </c>
      <c r="F44" s="555">
        <v>7.26</v>
      </c>
      <c r="G44" s="555">
        <v>2.1</v>
      </c>
      <c r="H44" s="555">
        <v>2.5</v>
      </c>
      <c r="I44" s="555">
        <f t="shared" si="0"/>
        <v>164.26</v>
      </c>
    </row>
    <row r="45" spans="1:9">
      <c r="A45" s="552" t="s">
        <v>533</v>
      </c>
      <c r="B45" s="553">
        <v>10.379999999999999</v>
      </c>
      <c r="C45" s="553">
        <v>107.3</v>
      </c>
      <c r="D45" s="553">
        <v>81.22</v>
      </c>
      <c r="E45" s="553">
        <v>35.549999999999997</v>
      </c>
      <c r="F45" s="553">
        <v>10.430000000000001</v>
      </c>
      <c r="G45" s="553">
        <v>2.2000000000000002</v>
      </c>
      <c r="H45" s="553">
        <v>3</v>
      </c>
      <c r="I45" s="553">
        <f t="shared" si="0"/>
        <v>250.07999999999998</v>
      </c>
    </row>
    <row r="46" spans="1:9">
      <c r="A46" s="554" t="s">
        <v>534</v>
      </c>
      <c r="B46" s="555">
        <v>138.67000000000002</v>
      </c>
      <c r="C46" s="555">
        <v>2115.46</v>
      </c>
      <c r="D46" s="555">
        <v>1135.82</v>
      </c>
      <c r="E46" s="555">
        <v>579.99</v>
      </c>
      <c r="F46" s="555">
        <v>277.42</v>
      </c>
      <c r="G46" s="555">
        <v>85.49</v>
      </c>
      <c r="H46" s="555">
        <v>17</v>
      </c>
      <c r="I46" s="555">
        <f t="shared" si="0"/>
        <v>4349.8499999999995</v>
      </c>
    </row>
    <row r="47" spans="1:9" ht="6" customHeight="1">
      <c r="A47" s="554"/>
      <c r="B47" s="555"/>
      <c r="C47" s="555"/>
      <c r="D47" s="555"/>
      <c r="E47" s="555"/>
      <c r="F47" s="555"/>
      <c r="G47" s="555"/>
      <c r="H47" s="555"/>
      <c r="I47" s="555"/>
    </row>
    <row r="48" spans="1:9">
      <c r="A48" s="556" t="s">
        <v>367</v>
      </c>
      <c r="B48" s="557">
        <f t="shared" ref="B48:I48" si="1">SUM(B11:B46)</f>
        <v>1144.393</v>
      </c>
      <c r="C48" s="557">
        <f t="shared" si="1"/>
        <v>12167.523999999998</v>
      </c>
      <c r="D48" s="557">
        <f t="shared" si="1"/>
        <v>6831.4749999999995</v>
      </c>
      <c r="E48" s="557">
        <f t="shared" si="1"/>
        <v>3828.5010000000002</v>
      </c>
      <c r="F48" s="557">
        <f t="shared" si="1"/>
        <v>1496.1423</v>
      </c>
      <c r="G48" s="557">
        <f t="shared" si="1"/>
        <v>402.8649999999999</v>
      </c>
      <c r="H48" s="557">
        <f t="shared" si="1"/>
        <v>225.6</v>
      </c>
      <c r="I48" s="557">
        <f t="shared" si="1"/>
        <v>26096.500300000007</v>
      </c>
    </row>
    <row r="49" spans="1:9" ht="6" customHeight="1">
      <c r="B49" s="558"/>
      <c r="C49" s="558"/>
      <c r="D49" s="558"/>
      <c r="E49" s="558"/>
      <c r="F49" s="558"/>
      <c r="G49" s="558"/>
      <c r="H49" s="558"/>
      <c r="I49" s="558"/>
    </row>
    <row r="50" spans="1:9">
      <c r="A50" s="554" t="s">
        <v>535</v>
      </c>
      <c r="B50" s="555">
        <v>2.25</v>
      </c>
      <c r="C50" s="555">
        <v>19</v>
      </c>
      <c r="D50" s="555">
        <v>9.5</v>
      </c>
      <c r="E50" s="555">
        <v>4</v>
      </c>
      <c r="F50" s="555">
        <v>3.3</v>
      </c>
      <c r="G50" s="555">
        <v>0.3</v>
      </c>
      <c r="H50" s="555">
        <v>0</v>
      </c>
      <c r="I50" s="555">
        <f>SUM(B50:H50)</f>
        <v>38.349999999999994</v>
      </c>
    </row>
    <row r="51" spans="1:9">
      <c r="A51" s="552" t="s">
        <v>536</v>
      </c>
      <c r="B51" s="553">
        <v>12.2</v>
      </c>
      <c r="C51" s="553">
        <v>32.049999999999997</v>
      </c>
      <c r="D51" s="553">
        <v>98</v>
      </c>
      <c r="E51" s="553">
        <v>18.25</v>
      </c>
      <c r="F51" s="553">
        <v>20.37</v>
      </c>
      <c r="G51" s="553">
        <v>0</v>
      </c>
      <c r="H51" s="553">
        <v>4</v>
      </c>
      <c r="I51" s="553">
        <f>SUM(B51:H51)</f>
        <v>184.87</v>
      </c>
    </row>
    <row r="52" spans="1:9" ht="49.5" customHeight="1">
      <c r="A52" s="559"/>
      <c r="B52" s="559"/>
      <c r="C52" s="560">
        <v>0</v>
      </c>
      <c r="D52" s="559"/>
      <c r="E52" s="559"/>
      <c r="F52" s="559"/>
      <c r="G52" s="559"/>
      <c r="H52" s="559"/>
      <c r="I52" s="559"/>
    </row>
    <row r="53" spans="1:9">
      <c r="A53" s="315" t="s">
        <v>618</v>
      </c>
      <c r="B53" s="544"/>
      <c r="C53" s="561"/>
    </row>
    <row r="54" spans="1:9">
      <c r="A54" s="315" t="s">
        <v>658</v>
      </c>
      <c r="B54" s="544"/>
      <c r="C54" s="561"/>
    </row>
    <row r="55" spans="1:9">
      <c r="A55" s="315" t="s">
        <v>589</v>
      </c>
      <c r="B55" s="544"/>
      <c r="C55" s="561"/>
    </row>
  </sheetData>
  <mergeCells count="9">
    <mergeCell ref="I8:I9"/>
    <mergeCell ref="B7:H7"/>
    <mergeCell ref="A2:H2"/>
    <mergeCell ref="A3:H3"/>
    <mergeCell ref="B8:B9"/>
    <mergeCell ref="E8:E9"/>
    <mergeCell ref="F8:F9"/>
    <mergeCell ref="G8:G9"/>
    <mergeCell ref="H8:H9"/>
  </mergeCells>
  <phoneticPr fontId="21" type="noConversion"/>
  <printOptions horizontalCentered="1"/>
  <pageMargins left="0.51180000000000003" right="0.51180000000000003" top="0.59055118110236204" bottom="0" header="0.31496062992126" footer="0"/>
  <pageSetup scale="85" orientation="portrait" r:id="rId1"/>
  <headerFooter alignWithMargins="0">
    <oddHeader>&amp;C&amp;"Arial,Bold"&amp;10&amp;A</oddHeader>
  </headerFooter>
</worksheet>
</file>

<file path=xl/worksheets/sheet53.xml><?xml version="1.0" encoding="utf-8"?>
<worksheet xmlns="http://schemas.openxmlformats.org/spreadsheetml/2006/main" xmlns:r="http://schemas.openxmlformats.org/officeDocument/2006/relationships">
  <sheetPr codeName="Sheet26"/>
  <dimension ref="A1:I57"/>
  <sheetViews>
    <sheetView showGridLines="0" workbookViewId="0"/>
  </sheetViews>
  <sheetFormatPr defaultColWidth="19.83203125" defaultRowHeight="12"/>
  <cols>
    <col min="1" max="1" width="30.83203125" style="567" customWidth="1"/>
    <col min="2" max="2" width="17" style="567" customWidth="1"/>
    <col min="3" max="3" width="12" style="567" customWidth="1"/>
    <col min="4" max="4" width="16.83203125" style="567" customWidth="1"/>
    <col min="5" max="5" width="11.5" style="567" customWidth="1"/>
    <col min="6" max="6" width="13.33203125" style="567" customWidth="1"/>
    <col min="7" max="7" width="12.5" style="567" customWidth="1"/>
    <col min="8" max="8" width="19.83203125" style="567"/>
    <col min="9" max="9" width="19.83203125" style="600"/>
    <col min="10" max="16384" width="19.83203125" style="567"/>
  </cols>
  <sheetData>
    <row r="1" spans="1:9" ht="6.95" customHeight="1">
      <c r="A1" s="565"/>
      <c r="B1" s="566"/>
      <c r="C1" s="566"/>
    </row>
    <row r="2" spans="1:9" ht="15.95" customHeight="1">
      <c r="A2" s="568" t="s">
        <v>563</v>
      </c>
      <c r="B2" s="569"/>
      <c r="C2" s="569"/>
      <c r="D2" s="569"/>
      <c r="E2" s="569"/>
      <c r="F2" s="569"/>
      <c r="G2" s="569"/>
    </row>
    <row r="3" spans="1:9" ht="15.95" customHeight="1">
      <c r="A3" s="596" t="str">
        <f>+'- 61 -'!A3</f>
        <v>2012/13 AND 2013/14 BUDGET</v>
      </c>
      <c r="B3" s="570"/>
      <c r="C3" s="570"/>
      <c r="D3" s="570"/>
      <c r="E3" s="570"/>
      <c r="F3" s="570"/>
      <c r="G3" s="570"/>
    </row>
    <row r="4" spans="1:9" ht="15.95" customHeight="1">
      <c r="B4" s="566"/>
      <c r="C4" s="566"/>
    </row>
    <row r="5" spans="1:9" ht="12" customHeight="1">
      <c r="B5" s="566"/>
      <c r="C5" s="566"/>
    </row>
    <row r="6" spans="1:9" ht="15.75" customHeight="1">
      <c r="B6" s="571" t="s">
        <v>564</v>
      </c>
      <c r="C6" s="572"/>
      <c r="D6" s="573"/>
      <c r="E6" s="572"/>
      <c r="F6" s="571" t="s">
        <v>564</v>
      </c>
      <c r="G6" s="573"/>
    </row>
    <row r="7" spans="1:9">
      <c r="B7" s="574" t="s">
        <v>565</v>
      </c>
      <c r="C7" s="575"/>
      <c r="D7" s="576"/>
      <c r="E7" s="575"/>
      <c r="F7" s="574" t="s">
        <v>565</v>
      </c>
      <c r="G7" s="576"/>
    </row>
    <row r="8" spans="1:9" ht="13.5">
      <c r="A8" s="577"/>
      <c r="B8" s="578" t="s">
        <v>619</v>
      </c>
      <c r="C8" s="579"/>
      <c r="D8" s="580"/>
      <c r="E8" s="579"/>
      <c r="F8" s="578" t="s">
        <v>566</v>
      </c>
      <c r="G8" s="580"/>
    </row>
    <row r="9" spans="1:9" ht="25.5" customHeight="1">
      <c r="A9" s="581" t="s">
        <v>81</v>
      </c>
      <c r="B9" s="582" t="str">
        <f>+'- 61 -'!B9</f>
        <v>2012/13</v>
      </c>
      <c r="C9" s="597" t="s">
        <v>567</v>
      </c>
      <c r="D9" s="582" t="str">
        <f>+'- 61 -'!C9</f>
        <v>2013/14</v>
      </c>
      <c r="E9" s="597" t="s">
        <v>567</v>
      </c>
      <c r="F9" s="582" t="str">
        <f>+B9</f>
        <v>2012/13</v>
      </c>
      <c r="G9" s="582" t="str">
        <f>+D9</f>
        <v>2013/14</v>
      </c>
    </row>
    <row r="10" spans="1:9" ht="5.0999999999999996" customHeight="1">
      <c r="A10" s="583"/>
      <c r="B10" s="584"/>
      <c r="C10" s="584"/>
      <c r="D10" s="565"/>
      <c r="E10" s="565"/>
      <c r="F10" s="565"/>
    </row>
    <row r="11" spans="1:9" ht="14.1" customHeight="1">
      <c r="A11" s="585" t="s">
        <v>230</v>
      </c>
      <c r="B11" s="586">
        <v>12096786</v>
      </c>
      <c r="C11" s="587">
        <v>76.341175423727208</v>
      </c>
      <c r="D11" s="586">
        <v>12861856</v>
      </c>
      <c r="E11" s="587">
        <f>+D11/'- 3 -'!F11*100</f>
        <v>76.856113550412758</v>
      </c>
      <c r="F11" s="586">
        <v>8179.0304259634886</v>
      </c>
      <c r="G11" s="586">
        <f>+D11/'- 7 -'!F11</f>
        <v>8398.20829252367</v>
      </c>
      <c r="I11" s="601" t="str">
        <f>IF(+D11-'- 15 -'!B11-'- 15 -'!E11-'- 16 -'!G11=0,"","Ckeck")</f>
        <v/>
      </c>
    </row>
    <row r="12" spans="1:9" ht="14.1" customHeight="1">
      <c r="A12" s="588" t="s">
        <v>231</v>
      </c>
      <c r="B12" s="589">
        <v>22398581</v>
      </c>
      <c r="C12" s="590">
        <v>76.173246893439497</v>
      </c>
      <c r="D12" s="589">
        <v>23187192</v>
      </c>
      <c r="E12" s="590">
        <f>+D12/'- 3 -'!F12*100</f>
        <v>76.271748592082943</v>
      </c>
      <c r="F12" s="589">
        <v>9697.1110302967318</v>
      </c>
      <c r="G12" s="589">
        <f>+D12/'- 7 -'!F12</f>
        <v>10178.302971774723</v>
      </c>
      <c r="I12" s="601" t="str">
        <f>IF(+D12-'- 15 -'!B12-'- 15 -'!E12-'- 16 -'!G12=0,"","Ckeck")</f>
        <v/>
      </c>
    </row>
    <row r="13" spans="1:9" ht="14.1" customHeight="1">
      <c r="A13" s="585" t="s">
        <v>232</v>
      </c>
      <c r="B13" s="586">
        <v>65730600</v>
      </c>
      <c r="C13" s="587">
        <v>84.129568335931566</v>
      </c>
      <c r="D13" s="586">
        <v>72466700</v>
      </c>
      <c r="E13" s="587">
        <f>+D13/'- 3 -'!F13*100</f>
        <v>84.192432676098221</v>
      </c>
      <c r="F13" s="586">
        <v>8505.5124223602488</v>
      </c>
      <c r="G13" s="586">
        <f>+D13/'- 7 -'!F13</f>
        <v>8964.1799943839887</v>
      </c>
      <c r="I13" s="601" t="str">
        <f>IF(+D13-'- 15 -'!B13-'- 15 -'!E13-'- 16 -'!G13=0,"","Ckeck")</f>
        <v/>
      </c>
    </row>
    <row r="14" spans="1:9" ht="14.1" customHeight="1">
      <c r="A14" s="588" t="s">
        <v>578</v>
      </c>
      <c r="B14" s="589">
        <v>51276580</v>
      </c>
      <c r="C14" s="590">
        <v>72.70615910450438</v>
      </c>
      <c r="D14" s="589">
        <v>53754971</v>
      </c>
      <c r="E14" s="590">
        <f>+D14/'- 3 -'!F14*100</f>
        <v>72.862176107764569</v>
      </c>
      <c r="F14" s="589">
        <v>10173.924603174602</v>
      </c>
      <c r="G14" s="589">
        <f>+D14/'- 7 -'!F14</f>
        <v>10307.76049856184</v>
      </c>
      <c r="I14" s="601" t="str">
        <f>IF(+D14-'- 15 -'!B14-'- 15 -'!E14-'- 16 -'!G14=0,"","Ckeck")</f>
        <v/>
      </c>
    </row>
    <row r="15" spans="1:9" ht="14.1" customHeight="1">
      <c r="A15" s="585" t="s">
        <v>233</v>
      </c>
      <c r="B15" s="586">
        <v>13966323</v>
      </c>
      <c r="C15" s="587">
        <v>74.845183216138793</v>
      </c>
      <c r="D15" s="586">
        <v>14600346</v>
      </c>
      <c r="E15" s="587">
        <f>+D15/'- 3 -'!F15*100</f>
        <v>74.899588195406963</v>
      </c>
      <c r="F15" s="586">
        <v>9348.2751004016063</v>
      </c>
      <c r="G15" s="586">
        <f>+D15/'- 7 -'!F15</f>
        <v>9605.4907894736843</v>
      </c>
      <c r="I15" s="601" t="str">
        <f>IF(+D15-'- 15 -'!B15-'- 15 -'!E15-'- 16 -'!G15=0,"","Ckeck")</f>
        <v/>
      </c>
    </row>
    <row r="16" spans="1:9" ht="14.1" customHeight="1">
      <c r="A16" s="588" t="s">
        <v>234</v>
      </c>
      <c r="B16" s="589">
        <v>9341174</v>
      </c>
      <c r="C16" s="590">
        <v>74.425782440144971</v>
      </c>
      <c r="D16" s="589">
        <v>9746695</v>
      </c>
      <c r="E16" s="590">
        <f>+D16/'- 3 -'!F16*100</f>
        <v>75.059064560901518</v>
      </c>
      <c r="F16" s="589">
        <v>9440.2971197574534</v>
      </c>
      <c r="G16" s="589">
        <f>+D16/'- 7 -'!F16</f>
        <v>9795.6733668341712</v>
      </c>
      <c r="I16" s="601" t="str">
        <f>IF(+D16-'- 15 -'!B16-'- 15 -'!E16-'- 16 -'!G16=0,"","Ckeck")</f>
        <v/>
      </c>
    </row>
    <row r="17" spans="1:9" ht="14.1" customHeight="1">
      <c r="A17" s="585" t="s">
        <v>235</v>
      </c>
      <c r="B17" s="586">
        <v>11812973</v>
      </c>
      <c r="C17" s="587">
        <v>73.488157946960257</v>
      </c>
      <c r="D17" s="586">
        <v>12016669</v>
      </c>
      <c r="E17" s="587">
        <f>+D17/'- 3 -'!F17*100</f>
        <v>73.947940495898692</v>
      </c>
      <c r="F17" s="586">
        <v>9189.3994554647998</v>
      </c>
      <c r="G17" s="586">
        <f>+D17/'- 7 -'!F17</f>
        <v>9240.0376778162245</v>
      </c>
      <c r="I17" s="601" t="str">
        <f>IF(+D17-'- 15 -'!B17-'- 15 -'!E17-'- 16 -'!G17=0,"","Ckeck")</f>
        <v/>
      </c>
    </row>
    <row r="18" spans="1:9" ht="14.1" customHeight="1">
      <c r="A18" s="588" t="s">
        <v>236</v>
      </c>
      <c r="B18" s="589">
        <v>74012977</v>
      </c>
      <c r="C18" s="590">
        <v>66.784887977300656</v>
      </c>
      <c r="D18" s="589">
        <v>76065928</v>
      </c>
      <c r="E18" s="590">
        <f>+D18/'- 3 -'!F18*100</f>
        <v>66.146817777727605</v>
      </c>
      <c r="F18" s="589">
        <v>11704.432197359058</v>
      </c>
      <c r="G18" s="589">
        <f>+D18/'- 7 -'!F18</f>
        <v>12204.721700762135</v>
      </c>
      <c r="I18" s="601" t="str">
        <f>IF(+D18-'- 15 -'!B18-'- 15 -'!E18-'- 16 -'!G18=0,"","Ckeck")</f>
        <v/>
      </c>
    </row>
    <row r="19" spans="1:9" ht="14.1" customHeight="1">
      <c r="A19" s="585" t="s">
        <v>237</v>
      </c>
      <c r="B19" s="586">
        <v>31263990</v>
      </c>
      <c r="C19" s="587">
        <v>80.150852032491557</v>
      </c>
      <c r="D19" s="586">
        <v>34686650</v>
      </c>
      <c r="E19" s="587">
        <f>+D19/'- 3 -'!F19*100</f>
        <v>80.038982679889642</v>
      </c>
      <c r="F19" s="586">
        <v>7420.8378827438883</v>
      </c>
      <c r="G19" s="586">
        <f>+D19/'- 7 -'!F19</f>
        <v>8241.0667617011168</v>
      </c>
      <c r="I19" s="601" t="str">
        <f>IF(+D19-'- 15 -'!B19-'- 15 -'!E19-'- 16 -'!G19=0,"","Ckeck")</f>
        <v/>
      </c>
    </row>
    <row r="20" spans="1:9" ht="14.1" customHeight="1">
      <c r="A20" s="588" t="s">
        <v>238</v>
      </c>
      <c r="B20" s="589">
        <v>53340900</v>
      </c>
      <c r="C20" s="590">
        <v>78.972895905293356</v>
      </c>
      <c r="D20" s="589">
        <v>56168600</v>
      </c>
      <c r="E20" s="590">
        <f>+D20/'- 3 -'!F20*100</f>
        <v>79.164781576147092</v>
      </c>
      <c r="F20" s="589">
        <v>7183.9595959595963</v>
      </c>
      <c r="G20" s="589">
        <f>+D20/'- 7 -'!F20</f>
        <v>7449.9104715166786</v>
      </c>
      <c r="I20" s="601" t="str">
        <f>IF(+D20-'- 15 -'!B20-'- 15 -'!E20-'- 16 -'!G20=0,"","Ckeck")</f>
        <v/>
      </c>
    </row>
    <row r="21" spans="1:9" ht="14.1" customHeight="1">
      <c r="A21" s="585" t="s">
        <v>239</v>
      </c>
      <c r="B21" s="586">
        <v>24928760</v>
      </c>
      <c r="C21" s="587">
        <v>77.051533441967081</v>
      </c>
      <c r="D21" s="586">
        <v>26287047</v>
      </c>
      <c r="E21" s="587">
        <f>+D21/'- 3 -'!F21*100</f>
        <v>77.753587027410873</v>
      </c>
      <c r="F21" s="586">
        <v>8935.0394265232972</v>
      </c>
      <c r="G21" s="586">
        <f>+D21/'- 7 -'!F21</f>
        <v>9772.1364312267651</v>
      </c>
      <c r="I21" s="601" t="str">
        <f>IF(+D21-'- 15 -'!B21-'- 15 -'!E21-'- 16 -'!G21=0,"","Ckeck")</f>
        <v/>
      </c>
    </row>
    <row r="22" spans="1:9" ht="14.1" customHeight="1">
      <c r="A22" s="588" t="s">
        <v>240</v>
      </c>
      <c r="B22" s="589">
        <v>14155840</v>
      </c>
      <c r="C22" s="590">
        <v>77.426772321092827</v>
      </c>
      <c r="D22" s="589">
        <v>14897557</v>
      </c>
      <c r="E22" s="590">
        <f>+D22/'- 3 -'!F22*100</f>
        <v>78.249833547391361</v>
      </c>
      <c r="F22" s="589">
        <v>8767.9405388665218</v>
      </c>
      <c r="G22" s="589">
        <f>+D22/'- 7 -'!F22</f>
        <v>9201.7029030265603</v>
      </c>
      <c r="I22" s="601" t="str">
        <f>IF(+D22-'- 15 -'!B22-'- 15 -'!E22-'- 16 -'!G22=0,"","Ckeck")</f>
        <v/>
      </c>
    </row>
    <row r="23" spans="1:9" ht="14.1" customHeight="1">
      <c r="A23" s="585" t="s">
        <v>241</v>
      </c>
      <c r="B23" s="586">
        <v>11353140</v>
      </c>
      <c r="C23" s="587">
        <v>75.426222995247144</v>
      </c>
      <c r="D23" s="586">
        <v>11699208</v>
      </c>
      <c r="E23" s="587">
        <f>+D23/'- 3 -'!F23*100</f>
        <v>75.420468566875414</v>
      </c>
      <c r="F23" s="586">
        <v>9496.5621079046432</v>
      </c>
      <c r="G23" s="586">
        <f>+D23/'- 7 -'!F23</f>
        <v>9897.8071065989843</v>
      </c>
      <c r="I23" s="601" t="str">
        <f>IF(+D23-'- 15 -'!B23-'- 15 -'!E23-'- 16 -'!G23=0,"","Ckeck")</f>
        <v/>
      </c>
    </row>
    <row r="24" spans="1:9" ht="14.1" customHeight="1">
      <c r="A24" s="588" t="s">
        <v>242</v>
      </c>
      <c r="B24" s="589">
        <v>39673635</v>
      </c>
      <c r="C24" s="590">
        <v>78.904403255845907</v>
      </c>
      <c r="D24" s="589">
        <v>41043640</v>
      </c>
      <c r="E24" s="590">
        <f>+D24/'- 3 -'!F24*100</f>
        <v>78.914468551748953</v>
      </c>
      <c r="F24" s="589">
        <v>9286.8995786516862</v>
      </c>
      <c r="G24" s="589">
        <f>+D24/'- 7 -'!F24</f>
        <v>9780.4456094364359</v>
      </c>
      <c r="I24" s="601" t="str">
        <f>IF(+D24-'- 15 -'!B24-'- 15 -'!E24-'- 16 -'!G24=0,"","Ckeck")</f>
        <v/>
      </c>
    </row>
    <row r="25" spans="1:9" ht="14.1" customHeight="1">
      <c r="A25" s="585" t="s">
        <v>243</v>
      </c>
      <c r="B25" s="586">
        <v>122283116</v>
      </c>
      <c r="C25" s="587">
        <v>81.980154563783202</v>
      </c>
      <c r="D25" s="586">
        <v>126526813</v>
      </c>
      <c r="E25" s="587">
        <f>+D25/'- 3 -'!F25*100</f>
        <v>82.234314842443226</v>
      </c>
      <c r="F25" s="586">
        <v>8996.6977633902297</v>
      </c>
      <c r="G25" s="586">
        <f>+D25/'- 7 -'!F25</f>
        <v>9163.9612515390745</v>
      </c>
      <c r="I25" s="601" t="str">
        <f>IF(+D25-'- 15 -'!B25-'- 15 -'!E25-'- 16 -'!G25=0,"","Ckeck")</f>
        <v/>
      </c>
    </row>
    <row r="26" spans="1:9" ht="14.1" customHeight="1">
      <c r="A26" s="588" t="s">
        <v>244</v>
      </c>
      <c r="B26" s="589">
        <v>27663860</v>
      </c>
      <c r="C26" s="590">
        <v>75.429974023098637</v>
      </c>
      <c r="D26" s="589">
        <v>28396888</v>
      </c>
      <c r="E26" s="590">
        <f>+D26/'- 3 -'!F26*100</f>
        <v>75.040755030778811</v>
      </c>
      <c r="F26" s="589">
        <v>9255.2224824355981</v>
      </c>
      <c r="G26" s="589">
        <f>+D26/'- 7 -'!F26</f>
        <v>9194.3946899789535</v>
      </c>
      <c r="I26" s="601" t="str">
        <f>IF(+D26-'- 15 -'!B26-'- 15 -'!E26-'- 16 -'!G26=0,"","Ckeck")</f>
        <v/>
      </c>
    </row>
    <row r="27" spans="1:9" ht="14.1" customHeight="1">
      <c r="A27" s="585" t="s">
        <v>245</v>
      </c>
      <c r="B27" s="586">
        <v>30283586</v>
      </c>
      <c r="C27" s="587">
        <v>79.148110684150481</v>
      </c>
      <c r="D27" s="586">
        <v>30719523</v>
      </c>
      <c r="E27" s="587">
        <f>+D27/'- 3 -'!F27*100</f>
        <v>79.941686942556174</v>
      </c>
      <c r="F27" s="586">
        <v>10823.297355253753</v>
      </c>
      <c r="G27" s="586">
        <f>+D27/'- 7 -'!F27</f>
        <v>11166.675027262814</v>
      </c>
      <c r="I27" s="601" t="str">
        <f>IF(+D27-'- 15 -'!B27-'- 15 -'!E27-'- 16 -'!G27=0,"","Ckeck")</f>
        <v/>
      </c>
    </row>
    <row r="28" spans="1:9" ht="14.1" customHeight="1">
      <c r="A28" s="588" t="s">
        <v>246</v>
      </c>
      <c r="B28" s="589">
        <v>18875861</v>
      </c>
      <c r="C28" s="590">
        <v>74.236432981559801</v>
      </c>
      <c r="D28" s="589">
        <v>19231300</v>
      </c>
      <c r="E28" s="590">
        <f>+D28/'- 3 -'!F28*100</f>
        <v>74.394564728373751</v>
      </c>
      <c r="F28" s="589">
        <v>9655.1718670076734</v>
      </c>
      <c r="G28" s="589">
        <f>+D28/'- 7 -'!F28</f>
        <v>9737.3670886075943</v>
      </c>
      <c r="I28" s="601" t="str">
        <f>IF(+D28-'- 15 -'!B28-'- 15 -'!E28-'- 16 -'!G28=0,"","Ckeck")</f>
        <v/>
      </c>
    </row>
    <row r="29" spans="1:9" ht="14.1" customHeight="1">
      <c r="A29" s="585" t="s">
        <v>247</v>
      </c>
      <c r="B29" s="586">
        <v>111432048</v>
      </c>
      <c r="C29" s="587">
        <v>81.519762044800828</v>
      </c>
      <c r="D29" s="586">
        <v>114627279</v>
      </c>
      <c r="E29" s="587">
        <f>+D29/'- 3 -'!F29*100</f>
        <v>81.051145674851441</v>
      </c>
      <c r="F29" s="586">
        <v>9175.8932806324119</v>
      </c>
      <c r="G29" s="586">
        <f>+D29/'- 7 -'!F29</f>
        <v>9483.1254601861419</v>
      </c>
      <c r="I29" s="601" t="str">
        <f>IF(+D29-'- 15 -'!B29-'- 15 -'!E29-'- 16 -'!G29=0,"","Ckeck")</f>
        <v/>
      </c>
    </row>
    <row r="30" spans="1:9" ht="14.1" customHeight="1">
      <c r="A30" s="588" t="s">
        <v>248</v>
      </c>
      <c r="B30" s="589">
        <v>9779758</v>
      </c>
      <c r="C30" s="590">
        <v>73.808608636319008</v>
      </c>
      <c r="D30" s="589">
        <v>9986008</v>
      </c>
      <c r="E30" s="590">
        <f>+D30/'- 3 -'!F30*100</f>
        <v>74.288709977510308</v>
      </c>
      <c r="F30" s="589">
        <v>9110.1611551001406</v>
      </c>
      <c r="G30" s="589">
        <f>+D30/'- 7 -'!F30</f>
        <v>9332.7177570093463</v>
      </c>
      <c r="I30" s="601" t="str">
        <f>IF(+D30-'- 15 -'!B30-'- 15 -'!E30-'- 16 -'!G30=0,"","Ckeck")</f>
        <v/>
      </c>
    </row>
    <row r="31" spans="1:9" ht="14.1" customHeight="1">
      <c r="A31" s="585" t="s">
        <v>249</v>
      </c>
      <c r="B31" s="586">
        <v>25771633</v>
      </c>
      <c r="C31" s="587">
        <v>80.392102059120845</v>
      </c>
      <c r="D31" s="586">
        <v>27053894</v>
      </c>
      <c r="E31" s="587">
        <f>+D31/'- 3 -'!F31*100</f>
        <v>80.57362186669566</v>
      </c>
      <c r="F31" s="586">
        <v>8129.8526813880126</v>
      </c>
      <c r="G31" s="586">
        <f>+D31/'- 7 -'!F31</f>
        <v>8480.8445141065822</v>
      </c>
      <c r="I31" s="601" t="str">
        <f>IF(+D31-'- 15 -'!B31-'- 15 -'!E31-'- 16 -'!G31=0,"","Ckeck")</f>
        <v/>
      </c>
    </row>
    <row r="32" spans="1:9" ht="14.1" customHeight="1">
      <c r="A32" s="588" t="s">
        <v>250</v>
      </c>
      <c r="B32" s="589">
        <v>18440831</v>
      </c>
      <c r="C32" s="590">
        <v>75.517038050559009</v>
      </c>
      <c r="D32" s="589">
        <v>19070123</v>
      </c>
      <c r="E32" s="590">
        <f>+D32/'- 3 -'!F32*100</f>
        <v>75.505898132708026</v>
      </c>
      <c r="F32" s="589">
        <v>8991.0098828393529</v>
      </c>
      <c r="G32" s="589">
        <f>+D32/'- 7 -'!F32</f>
        <v>9322.9640674651673</v>
      </c>
      <c r="I32" s="601" t="str">
        <f>IF(+D32-'- 15 -'!B32-'- 15 -'!E32-'- 16 -'!G32=0,"","Ckeck")</f>
        <v/>
      </c>
    </row>
    <row r="33" spans="1:9" ht="14.1" customHeight="1">
      <c r="A33" s="585" t="s">
        <v>251</v>
      </c>
      <c r="B33" s="586">
        <v>18495000</v>
      </c>
      <c r="C33" s="587">
        <v>72.566691123675298</v>
      </c>
      <c r="D33" s="586">
        <v>19278700</v>
      </c>
      <c r="E33" s="587">
        <f>+D33/'- 3 -'!F33*100</f>
        <v>73.489419935730538</v>
      </c>
      <c r="F33" s="586">
        <v>9226.7398353704157</v>
      </c>
      <c r="G33" s="586">
        <f>+D33/'- 7 -'!F33</f>
        <v>9515.6465942744326</v>
      </c>
      <c r="I33" s="601" t="str">
        <f>IF(+D33-'- 15 -'!B33-'- 15 -'!E33-'- 16 -'!G33=0,"","Ckeck")</f>
        <v/>
      </c>
    </row>
    <row r="34" spans="1:9" ht="14.1" customHeight="1">
      <c r="A34" s="588" t="s">
        <v>252</v>
      </c>
      <c r="B34" s="589">
        <v>17332483</v>
      </c>
      <c r="C34" s="590">
        <v>72.486377398932376</v>
      </c>
      <c r="D34" s="589">
        <v>18821036</v>
      </c>
      <c r="E34" s="590">
        <f>+D34/'- 3 -'!F34*100</f>
        <v>73.769829400785611</v>
      </c>
      <c r="F34" s="589">
        <v>8669.2757465112791</v>
      </c>
      <c r="G34" s="589">
        <f>+D34/'- 7 -'!F34</f>
        <v>9343.3857732194192</v>
      </c>
      <c r="I34" s="601" t="str">
        <f>IF(+D34-'- 15 -'!B34-'- 15 -'!E34-'- 16 -'!G34=0,"","Ckeck")</f>
        <v/>
      </c>
    </row>
    <row r="35" spans="1:9" ht="14.1" customHeight="1">
      <c r="A35" s="585" t="s">
        <v>253</v>
      </c>
      <c r="B35" s="586">
        <v>132113852</v>
      </c>
      <c r="C35" s="587">
        <v>81.044887258659472</v>
      </c>
      <c r="D35" s="586">
        <v>135397508</v>
      </c>
      <c r="E35" s="587">
        <f>+D35/'- 3 -'!F35*100</f>
        <v>81.106624779255938</v>
      </c>
      <c r="F35" s="586">
        <v>8472.0951648069768</v>
      </c>
      <c r="G35" s="586">
        <f>+D35/'- 7 -'!F35</f>
        <v>8577.3341357574991</v>
      </c>
      <c r="I35" s="601" t="str">
        <f>IF(+D35-'- 15 -'!B35-'- 15 -'!E35-'- 16 -'!G35=0,"","Ckeck")</f>
        <v/>
      </c>
    </row>
    <row r="36" spans="1:9" ht="14.1" customHeight="1">
      <c r="A36" s="588" t="s">
        <v>254</v>
      </c>
      <c r="B36" s="589">
        <v>15777890</v>
      </c>
      <c r="C36" s="590">
        <v>74.809490032601957</v>
      </c>
      <c r="D36" s="589">
        <v>16107550</v>
      </c>
      <c r="E36" s="590">
        <f>+D36/'- 3 -'!F36*100</f>
        <v>74.78009404876255</v>
      </c>
      <c r="F36" s="589">
        <v>9632.4114774114769</v>
      </c>
      <c r="G36" s="589">
        <f>+D36/'- 7 -'!F36</f>
        <v>9596.395591301758</v>
      </c>
      <c r="I36" s="601" t="str">
        <f>IF(+D36-'- 15 -'!B36-'- 15 -'!E36-'- 16 -'!G36=0,"","Ckeck")</f>
        <v/>
      </c>
    </row>
    <row r="37" spans="1:9" ht="14.1" customHeight="1">
      <c r="A37" s="585" t="s">
        <v>255</v>
      </c>
      <c r="B37" s="586">
        <v>30911994</v>
      </c>
      <c r="C37" s="587">
        <v>77.707066925174104</v>
      </c>
      <c r="D37" s="586">
        <v>32051721</v>
      </c>
      <c r="E37" s="587">
        <f>+D37/'- 3 -'!F37*100</f>
        <v>77.246879604513353</v>
      </c>
      <c r="F37" s="586">
        <v>8405.708769544528</v>
      </c>
      <c r="G37" s="586">
        <f>+D37/'- 7 -'!F37</f>
        <v>8596.4116937106082</v>
      </c>
      <c r="I37" s="601" t="str">
        <f>IF(+D37-'- 15 -'!B37-'- 15 -'!E37-'- 16 -'!G37=0,"","Ckeck")</f>
        <v/>
      </c>
    </row>
    <row r="38" spans="1:9" ht="14.1" customHeight="1">
      <c r="A38" s="588" t="s">
        <v>256</v>
      </c>
      <c r="B38" s="589">
        <v>89816795</v>
      </c>
      <c r="C38" s="590">
        <v>81.349971333573052</v>
      </c>
      <c r="D38" s="589">
        <v>93931460</v>
      </c>
      <c r="E38" s="590">
        <f>+D38/'- 3 -'!F38*100</f>
        <v>81.458431003014937</v>
      </c>
      <c r="F38" s="589">
        <v>8527.1807652140888</v>
      </c>
      <c r="G38" s="589">
        <f>+D38/'- 7 -'!F38</f>
        <v>8901.768385140258</v>
      </c>
      <c r="I38" s="601" t="str">
        <f>IF(+D38-'- 15 -'!B38-'- 15 -'!E38-'- 16 -'!G38=0,"","Ckeck")</f>
        <v/>
      </c>
    </row>
    <row r="39" spans="1:9" ht="14.1" customHeight="1">
      <c r="A39" s="585" t="s">
        <v>257</v>
      </c>
      <c r="B39" s="586">
        <v>14399628</v>
      </c>
      <c r="C39" s="587">
        <v>72.953195820099452</v>
      </c>
      <c r="D39" s="586">
        <v>14885190</v>
      </c>
      <c r="E39" s="587">
        <f>+D39/'- 3 -'!F39*100</f>
        <v>73.053063772522975</v>
      </c>
      <c r="F39" s="586">
        <v>9224.6175528507374</v>
      </c>
      <c r="G39" s="586">
        <f>+D39/'- 7 -'!F39</f>
        <v>9403.1522425773856</v>
      </c>
      <c r="I39" s="601" t="str">
        <f>IF(+D39-'- 15 -'!B39-'- 15 -'!E39-'- 16 -'!G39=0,"","Ckeck")</f>
        <v/>
      </c>
    </row>
    <row r="40" spans="1:9" ht="14.1" customHeight="1">
      <c r="A40" s="588" t="s">
        <v>258</v>
      </c>
      <c r="B40" s="589">
        <v>76713894</v>
      </c>
      <c r="C40" s="590">
        <v>82.442679131776814</v>
      </c>
      <c r="D40" s="589">
        <v>79090429</v>
      </c>
      <c r="E40" s="590">
        <f>+D40/'- 3 -'!F40*100</f>
        <v>82.221952366666372</v>
      </c>
      <c r="F40" s="589">
        <v>9435.4390927875647</v>
      </c>
      <c r="G40" s="589">
        <f>+D40/'- 7 -'!F40</f>
        <v>9907.7290891553002</v>
      </c>
      <c r="I40" s="601" t="str">
        <f>IF(+D40-'- 15 -'!B40-'- 15 -'!E40-'- 16 -'!G40=0,"","Ckeck")</f>
        <v/>
      </c>
    </row>
    <row r="41" spans="1:9" ht="14.1" customHeight="1">
      <c r="A41" s="585" t="s">
        <v>259</v>
      </c>
      <c r="B41" s="586">
        <v>43195624</v>
      </c>
      <c r="C41" s="587">
        <v>77.69502279689587</v>
      </c>
      <c r="D41" s="586">
        <v>43608811</v>
      </c>
      <c r="E41" s="587">
        <f>+D41/'- 3 -'!F41*100</f>
        <v>77.34873688250444</v>
      </c>
      <c r="F41" s="586">
        <v>9591.5674475408014</v>
      </c>
      <c r="G41" s="586">
        <f>+D41/'- 7 -'!F41</f>
        <v>9806.3438272993026</v>
      </c>
      <c r="I41" s="601" t="str">
        <f>IF(+D41-'- 15 -'!B41-'- 15 -'!E41-'- 16 -'!G41=0,"","Ckeck")</f>
        <v/>
      </c>
    </row>
    <row r="42" spans="1:9" ht="14.1" customHeight="1">
      <c r="A42" s="588" t="s">
        <v>260</v>
      </c>
      <c r="B42" s="589">
        <v>14880854</v>
      </c>
      <c r="C42" s="590">
        <v>75.634226223422672</v>
      </c>
      <c r="D42" s="589">
        <v>15001209</v>
      </c>
      <c r="E42" s="590">
        <f>+D42/'- 3 -'!F42*100</f>
        <v>75.191512384447478</v>
      </c>
      <c r="F42" s="589">
        <v>10206.347050754459</v>
      </c>
      <c r="G42" s="589">
        <f>+D42/'- 7 -'!F42</f>
        <v>10722.80843459614</v>
      </c>
      <c r="I42" s="601" t="str">
        <f>IF(+D42-'- 15 -'!B42-'- 15 -'!E42-'- 16 -'!G42=0,"","Ckeck")</f>
        <v/>
      </c>
    </row>
    <row r="43" spans="1:9" ht="14.1" customHeight="1">
      <c r="A43" s="585" t="s">
        <v>261</v>
      </c>
      <c r="B43" s="586">
        <v>8795198</v>
      </c>
      <c r="C43" s="587">
        <v>76.065564186215383</v>
      </c>
      <c r="D43" s="586">
        <v>8956880</v>
      </c>
      <c r="E43" s="587">
        <f>+D43/'- 3 -'!F43*100</f>
        <v>76.62813877364762</v>
      </c>
      <c r="F43" s="586">
        <v>9266.6382194126163</v>
      </c>
      <c r="G43" s="586">
        <f>+D43/'- 7 -'!F43</f>
        <v>9276.9342309684107</v>
      </c>
      <c r="I43" s="601" t="str">
        <f>IF(+D43-'- 15 -'!B43-'- 15 -'!E43-'- 16 -'!G43=0,"","Ckeck")</f>
        <v/>
      </c>
    </row>
    <row r="44" spans="1:9" ht="14.1" customHeight="1">
      <c r="A44" s="588" t="s">
        <v>262</v>
      </c>
      <c r="B44" s="589">
        <v>7362062</v>
      </c>
      <c r="C44" s="590">
        <v>73.296678001902791</v>
      </c>
      <c r="D44" s="589">
        <v>7763381</v>
      </c>
      <c r="E44" s="590">
        <f>+D44/'- 3 -'!F44*100</f>
        <v>73.733464564797785</v>
      </c>
      <c r="F44" s="589">
        <v>9842.3288770053477</v>
      </c>
      <c r="G44" s="589">
        <f>+D44/'- 7 -'!F44</f>
        <v>10309.934926958831</v>
      </c>
      <c r="I44" s="601" t="str">
        <f>IF(+D44-'- 15 -'!B44-'- 15 -'!E44-'- 16 -'!G44=0,"","Ckeck")</f>
        <v/>
      </c>
    </row>
    <row r="45" spans="1:9" ht="14.1" customHeight="1">
      <c r="A45" s="585" t="s">
        <v>263</v>
      </c>
      <c r="B45" s="586">
        <v>12700539</v>
      </c>
      <c r="C45" s="587">
        <v>79.591026022654276</v>
      </c>
      <c r="D45" s="586">
        <v>13163639</v>
      </c>
      <c r="E45" s="587">
        <f>+D45/'- 3 -'!F45*100</f>
        <v>79.785118552094332</v>
      </c>
      <c r="F45" s="586">
        <v>7644.0198615708696</v>
      </c>
      <c r="G45" s="586">
        <f>+D45/'- 7 -'!F45</f>
        <v>7812.2486646884272</v>
      </c>
      <c r="I45" s="601" t="str">
        <f>IF(+D45-'- 15 -'!B45-'- 15 -'!E45-'- 16 -'!G45=0,"","Ckeck")</f>
        <v/>
      </c>
    </row>
    <row r="46" spans="1:9" ht="14.1" customHeight="1">
      <c r="A46" s="588" t="s">
        <v>264</v>
      </c>
      <c r="B46" s="589">
        <v>276582600</v>
      </c>
      <c r="C46" s="590">
        <v>80.534167882083111</v>
      </c>
      <c r="D46" s="589">
        <v>283694700</v>
      </c>
      <c r="E46" s="590">
        <f>+D46/'- 3 -'!F46*100</f>
        <v>80.764553121976974</v>
      </c>
      <c r="F46" s="589">
        <v>9076.6145970070884</v>
      </c>
      <c r="G46" s="589">
        <f>+D46/'- 7 -'!F46</f>
        <v>9350.5174686882001</v>
      </c>
      <c r="I46" s="601" t="str">
        <f>IF(+D46-'- 15 -'!B46-'- 15 -'!E46-'- 16 -'!G46=0,"","Ckeck")</f>
        <v/>
      </c>
    </row>
    <row r="47" spans="1:9" ht="5.0999999999999996" customHeight="1">
      <c r="B47" s="591"/>
      <c r="C47" s="591"/>
      <c r="D47" s="591"/>
      <c r="E47" s="591"/>
      <c r="F47" s="591"/>
      <c r="G47" s="591"/>
      <c r="I47" s="601"/>
    </row>
    <row r="48" spans="1:9" ht="14.1" customHeight="1">
      <c r="A48" s="592" t="s">
        <v>265</v>
      </c>
      <c r="B48" s="593">
        <v>1558961365</v>
      </c>
      <c r="C48" s="594">
        <v>78.607207964962058</v>
      </c>
      <c r="D48" s="593">
        <f>SUM(D11:D46)</f>
        <v>1616847101</v>
      </c>
      <c r="E48" s="594">
        <f>+D48/'- 3 -'!F48*100</f>
        <v>78.680491968029543</v>
      </c>
      <c r="F48" s="593">
        <v>9018.5482988059666</v>
      </c>
      <c r="G48" s="593">
        <f>+D48/'- 7 -'!F48</f>
        <v>9316.4689548434071</v>
      </c>
      <c r="I48" s="601" t="str">
        <f>IF(+D48-'- 15 -'!B48-'- 15 -'!E48-'- 16 -'!G48=0,"","Ckeck")</f>
        <v/>
      </c>
    </row>
    <row r="49" spans="1:7" ht="5.0999999999999996" customHeight="1">
      <c r="B49" s="591"/>
      <c r="C49" s="591"/>
      <c r="D49" s="591"/>
      <c r="E49" s="591"/>
      <c r="F49" s="591"/>
      <c r="G49" s="591"/>
    </row>
    <row r="50" spans="1:7" ht="49.5" customHeight="1">
      <c r="A50" s="598"/>
      <c r="B50" s="599"/>
      <c r="C50" s="599"/>
      <c r="D50" s="599"/>
      <c r="E50" s="599"/>
      <c r="F50" s="599"/>
      <c r="G50" s="599"/>
    </row>
    <row r="51" spans="1:7" ht="18" customHeight="1">
      <c r="A51" s="595" t="s">
        <v>568</v>
      </c>
      <c r="B51" s="591"/>
      <c r="C51" s="591"/>
      <c r="D51" s="591"/>
      <c r="E51" s="591"/>
      <c r="F51" s="591"/>
      <c r="G51" s="591"/>
    </row>
    <row r="52" spans="1:7" ht="13.5" customHeight="1">
      <c r="A52" s="595" t="s">
        <v>622</v>
      </c>
      <c r="B52" s="591"/>
      <c r="C52" s="591"/>
      <c r="D52" s="591"/>
      <c r="E52" s="591"/>
      <c r="F52" s="591"/>
      <c r="G52" s="591"/>
    </row>
    <row r="53" spans="1:7" ht="15" customHeight="1">
      <c r="B53" s="595"/>
      <c r="C53" s="595"/>
    </row>
    <row r="54" spans="1:7" ht="12" customHeight="1">
      <c r="B54" s="595"/>
      <c r="C54" s="595"/>
    </row>
    <row r="55" spans="1:7" ht="12" customHeight="1">
      <c r="A55" s="595"/>
      <c r="B55" s="595"/>
      <c r="C55" s="595"/>
    </row>
    <row r="56" spans="1:7" ht="12" customHeight="1">
      <c r="A56" s="595"/>
      <c r="B56" s="595"/>
      <c r="C56" s="595"/>
    </row>
    <row r="57" spans="1:7" ht="14.45" customHeight="1">
      <c r="A57" s="595"/>
    </row>
  </sheetData>
  <phoneticPr fontId="16" type="noConversion"/>
  <printOptions horizontalCentered="1"/>
  <pageMargins left="0.51180000000000003" right="0.51180000000000003" top="0.59050000000000002" bottom="0" header="0.31490000000000001" footer="0"/>
  <pageSetup scale="88" orientation="portrait" r:id="rId1"/>
  <headerFooter alignWithMargins="0">
    <oddHeader>&amp;C&amp;"Arial,Bold"&amp;10&amp;A</oddHeader>
  </headerFooter>
</worksheet>
</file>

<file path=xl/worksheets/sheet54.xml><?xml version="1.0" encoding="utf-8"?>
<worksheet xmlns="http://schemas.openxmlformats.org/spreadsheetml/2006/main" xmlns:r="http://schemas.openxmlformats.org/officeDocument/2006/relationships">
  <sheetPr codeName="Sheet61">
    <pageSetUpPr fitToPage="1"/>
  </sheetPr>
  <dimension ref="A1:I55"/>
  <sheetViews>
    <sheetView showGridLines="0" showZeros="0" workbookViewId="0"/>
  </sheetViews>
  <sheetFormatPr defaultColWidth="19.83203125" defaultRowHeight="12"/>
  <cols>
    <col min="1" max="1" width="30.83203125" style="1" customWidth="1"/>
    <col min="2" max="9" width="12.83203125" style="1" customWidth="1"/>
    <col min="10" max="16384" width="19.83203125" style="1"/>
  </cols>
  <sheetData>
    <row r="1" spans="1:9" ht="6.95" customHeight="1">
      <c r="A1" s="3"/>
      <c r="B1" s="4"/>
      <c r="C1" s="4"/>
      <c r="D1" s="4"/>
      <c r="E1" s="4"/>
      <c r="F1" s="4"/>
    </row>
    <row r="2" spans="1:9" ht="15.95" customHeight="1">
      <c r="A2" s="5" t="s">
        <v>192</v>
      </c>
      <c r="B2" s="6"/>
      <c r="C2" s="6"/>
      <c r="D2" s="6"/>
      <c r="E2" s="6"/>
      <c r="F2" s="6"/>
      <c r="G2" s="6"/>
      <c r="H2" s="6"/>
      <c r="I2" s="6"/>
    </row>
    <row r="3" spans="1:9" ht="15.95" customHeight="1">
      <c r="A3" s="46" t="str">
        <f>B9&amp;" AND "&amp;C9&amp;" BUDGET"</f>
        <v>2012/13 AND 2013/14 BUDGET</v>
      </c>
      <c r="B3" s="48"/>
      <c r="C3" s="48"/>
      <c r="D3" s="8"/>
      <c r="E3" s="8"/>
      <c r="F3" s="8"/>
      <c r="G3" s="8"/>
      <c r="H3" s="8"/>
      <c r="I3" s="8"/>
    </row>
    <row r="4" spans="1:9" ht="15.95" customHeight="1">
      <c r="B4" s="30"/>
      <c r="C4" s="30"/>
      <c r="D4" s="4"/>
      <c r="E4" s="4"/>
      <c r="F4" s="4"/>
    </row>
    <row r="5" spans="1:9" ht="15.95" customHeight="1">
      <c r="B5" s="285"/>
      <c r="C5" s="285"/>
      <c r="D5" s="4"/>
      <c r="E5" s="4"/>
      <c r="F5" s="4"/>
    </row>
    <row r="6" spans="1:9" ht="15.95" customHeight="1">
      <c r="B6" s="463" t="s">
        <v>108</v>
      </c>
      <c r="C6" s="464"/>
      <c r="D6" s="465"/>
      <c r="E6" s="466"/>
      <c r="F6" s="463" t="s">
        <v>113</v>
      </c>
      <c r="G6" s="464"/>
      <c r="H6" s="465"/>
      <c r="I6" s="466"/>
    </row>
    <row r="7" spans="1:9" ht="15.95" customHeight="1">
      <c r="B7" s="467" t="s">
        <v>188</v>
      </c>
      <c r="C7" s="468"/>
      <c r="D7" s="467" t="s">
        <v>0</v>
      </c>
      <c r="E7" s="468"/>
      <c r="F7" s="467" t="s">
        <v>191</v>
      </c>
      <c r="G7" s="468"/>
      <c r="H7" s="467" t="s">
        <v>147</v>
      </c>
      <c r="I7" s="468"/>
    </row>
    <row r="8" spans="1:9" ht="15.95" customHeight="1">
      <c r="A8" s="102"/>
      <c r="B8" s="469" t="s">
        <v>406</v>
      </c>
      <c r="C8" s="470"/>
      <c r="D8" s="469" t="s">
        <v>1</v>
      </c>
      <c r="E8" s="470"/>
      <c r="F8" s="469" t="s">
        <v>84</v>
      </c>
      <c r="G8" s="470"/>
      <c r="H8" s="469" t="s">
        <v>334</v>
      </c>
      <c r="I8" s="470"/>
    </row>
    <row r="9" spans="1:9" ht="18" customHeight="1">
      <c r="A9" s="35" t="s">
        <v>81</v>
      </c>
      <c r="B9" s="286" t="s">
        <v>666</v>
      </c>
      <c r="C9" s="286" t="s">
        <v>681</v>
      </c>
      <c r="D9" s="286" t="str">
        <f>+B9</f>
        <v>2012/13</v>
      </c>
      <c r="E9" s="531" t="s">
        <v>682</v>
      </c>
      <c r="F9" s="286" t="s">
        <v>683</v>
      </c>
      <c r="G9" s="286" t="s">
        <v>684</v>
      </c>
      <c r="H9" s="286" t="s">
        <v>683</v>
      </c>
      <c r="I9" s="286" t="s">
        <v>685</v>
      </c>
    </row>
    <row r="10" spans="1:9" ht="5.0999999999999996" customHeight="1">
      <c r="A10" s="37"/>
      <c r="D10" s="272"/>
      <c r="E10" s="272"/>
      <c r="F10" s="247"/>
      <c r="G10" s="3"/>
      <c r="H10" s="3"/>
    </row>
    <row r="11" spans="1:9" ht="14.1" customHeight="1">
      <c r="A11" s="360" t="s">
        <v>230</v>
      </c>
      <c r="B11" s="361">
        <v>10714</v>
      </c>
      <c r="C11" s="361">
        <f>'- 4 -'!E11</f>
        <v>10927</v>
      </c>
      <c r="D11" s="387">
        <v>13.515489353924883</v>
      </c>
      <c r="E11" s="387">
        <f>'- 9 -'!C11</f>
        <v>13.424789621318373</v>
      </c>
      <c r="F11" s="361">
        <v>340743</v>
      </c>
      <c r="G11" s="361">
        <f>'- 51 -'!F11</f>
        <v>334342</v>
      </c>
      <c r="H11" s="387">
        <v>14.633477902941767</v>
      </c>
      <c r="I11" s="387">
        <f>'- 48 -'!G11</f>
        <v>14.773414251757448</v>
      </c>
    </row>
    <row r="12" spans="1:9" ht="14.1" customHeight="1">
      <c r="A12" s="23" t="s">
        <v>231</v>
      </c>
      <c r="B12" s="24">
        <v>12730</v>
      </c>
      <c r="C12" s="24">
        <f>'- 4 -'!E12</f>
        <v>13345</v>
      </c>
      <c r="D12" s="67">
        <v>12.090449894004031</v>
      </c>
      <c r="E12" s="67">
        <f>'- 9 -'!C12</f>
        <v>12.048976569524518</v>
      </c>
      <c r="F12" s="24">
        <v>260483</v>
      </c>
      <c r="G12" s="24">
        <f>'- 51 -'!F12</f>
        <v>266111</v>
      </c>
      <c r="H12" s="67">
        <v>17.849989827623453</v>
      </c>
      <c r="I12" s="67">
        <f>'- 48 -'!G12</f>
        <v>18.149988788655811</v>
      </c>
    </row>
    <row r="13" spans="1:9" ht="14.1" customHeight="1">
      <c r="A13" s="360" t="s">
        <v>232</v>
      </c>
      <c r="B13" s="361">
        <v>10110</v>
      </c>
      <c r="C13" s="361">
        <f>'- 4 -'!E13</f>
        <v>10647</v>
      </c>
      <c r="D13" s="387">
        <v>12.773764855617449</v>
      </c>
      <c r="E13" s="387">
        <f>'- 9 -'!C13</f>
        <v>12.581168780639642</v>
      </c>
      <c r="F13" s="361">
        <v>297557</v>
      </c>
      <c r="G13" s="361">
        <f>'- 51 -'!F13</f>
        <v>293505</v>
      </c>
      <c r="H13" s="387">
        <v>15.378816344401205</v>
      </c>
      <c r="I13" s="387">
        <f>'- 48 -'!G13</f>
        <v>16.577755047306972</v>
      </c>
    </row>
    <row r="14" spans="1:9" ht="14.1" customHeight="1">
      <c r="A14" s="23" t="s">
        <v>578</v>
      </c>
      <c r="B14" s="24">
        <v>13993</v>
      </c>
      <c r="C14" s="24">
        <f>'- 4 -'!E14</f>
        <v>14147</v>
      </c>
      <c r="D14" s="67">
        <v>12.423585091697889</v>
      </c>
      <c r="E14" s="67">
        <f>'- 9 -'!C14</f>
        <v>12.486830763336846</v>
      </c>
      <c r="F14" s="24">
        <v>327875</v>
      </c>
      <c r="G14" s="24">
        <f>'- 51 -'!F14</f>
        <v>332958</v>
      </c>
      <c r="H14" s="67">
        <v>0</v>
      </c>
      <c r="I14" s="67">
        <f>'- 48 -'!G14</f>
        <v>0</v>
      </c>
    </row>
    <row r="15" spans="1:9" ht="14.1" customHeight="1">
      <c r="A15" s="360" t="s">
        <v>233</v>
      </c>
      <c r="B15" s="361">
        <v>12490</v>
      </c>
      <c r="C15" s="361">
        <f>'- 4 -'!E15</f>
        <v>12824</v>
      </c>
      <c r="D15" s="387">
        <v>13.290632506004805</v>
      </c>
      <c r="E15" s="387">
        <f>'- 9 -'!C15</f>
        <v>13.241571565467376</v>
      </c>
      <c r="F15" s="361">
        <v>507300</v>
      </c>
      <c r="G15" s="361">
        <f>'- 51 -'!F15</f>
        <v>523644</v>
      </c>
      <c r="H15" s="387">
        <v>10.715970197555372</v>
      </c>
      <c r="I15" s="387">
        <f>'- 48 -'!G15</f>
        <v>11.506448245555587</v>
      </c>
    </row>
    <row r="16" spans="1:9" ht="14.1" customHeight="1">
      <c r="A16" s="23" t="s">
        <v>234</v>
      </c>
      <c r="B16" s="24">
        <v>12684</v>
      </c>
      <c r="C16" s="24">
        <f>'- 4 -'!E16</f>
        <v>13051</v>
      </c>
      <c r="D16" s="67">
        <v>13.210947930574099</v>
      </c>
      <c r="E16" s="67">
        <f>'- 9 -'!C16</f>
        <v>12.82216494845361</v>
      </c>
      <c r="F16" s="24">
        <v>156848</v>
      </c>
      <c r="G16" s="24">
        <f>'- 51 -'!F16</f>
        <v>161798</v>
      </c>
      <c r="H16" s="67">
        <v>17.81814584473975</v>
      </c>
      <c r="I16" s="67">
        <f>'- 48 -'!G16</f>
        <v>17.976861937571606</v>
      </c>
    </row>
    <row r="17" spans="1:9" ht="14.1" customHeight="1">
      <c r="A17" s="360" t="s">
        <v>235</v>
      </c>
      <c r="B17" s="361">
        <v>12505</v>
      </c>
      <c r="C17" s="361">
        <f>'- 4 -'!E17</f>
        <v>12495</v>
      </c>
      <c r="D17" s="387">
        <v>12.969128329297821</v>
      </c>
      <c r="E17" s="387">
        <f>'- 9 -'!C17</f>
        <v>13.117813193463789</v>
      </c>
      <c r="F17" s="361">
        <v>466048</v>
      </c>
      <c r="G17" s="361">
        <f>'- 51 -'!F17</f>
        <v>500514</v>
      </c>
      <c r="H17" s="387">
        <v>12.171161460132527</v>
      </c>
      <c r="I17" s="387">
        <f>'- 48 -'!G17</f>
        <v>11.830673908994086</v>
      </c>
    </row>
    <row r="18" spans="1:9" ht="14.1" customHeight="1">
      <c r="A18" s="23" t="s">
        <v>236</v>
      </c>
      <c r="B18" s="24">
        <v>17526</v>
      </c>
      <c r="C18" s="24">
        <f>'- 4 -'!E18</f>
        <v>18451</v>
      </c>
      <c r="D18" s="67">
        <v>12.31091209967877</v>
      </c>
      <c r="E18" s="67">
        <f>'- 9 -'!C18</f>
        <v>12.158128828371893</v>
      </c>
      <c r="F18" s="24">
        <v>69713</v>
      </c>
      <c r="G18" s="24">
        <f>'- 51 -'!F18</f>
        <v>74270</v>
      </c>
      <c r="H18" s="67">
        <v>16.50000118268143</v>
      </c>
      <c r="I18" s="67">
        <f>'- 48 -'!G18</f>
        <v>16.500003201250781</v>
      </c>
    </row>
    <row r="19" spans="1:9" ht="14.1" customHeight="1">
      <c r="A19" s="360" t="s">
        <v>237</v>
      </c>
      <c r="B19" s="361">
        <v>9259</v>
      </c>
      <c r="C19" s="361">
        <f>'- 4 -'!E19</f>
        <v>10296</v>
      </c>
      <c r="D19" s="387">
        <v>15.22312556458898</v>
      </c>
      <c r="E19" s="387">
        <f>'- 9 -'!C19</f>
        <v>14.678291194420227</v>
      </c>
      <c r="F19" s="361">
        <v>188101</v>
      </c>
      <c r="G19" s="361">
        <f>'- 51 -'!F19</f>
        <v>191134</v>
      </c>
      <c r="H19" s="387">
        <v>19.124400503801382</v>
      </c>
      <c r="I19" s="387">
        <f>'- 48 -'!G19</f>
        <v>19.810443430881755</v>
      </c>
    </row>
    <row r="20" spans="1:9" ht="14.1" customHeight="1">
      <c r="A20" s="23" t="s">
        <v>238</v>
      </c>
      <c r="B20" s="24">
        <v>9097</v>
      </c>
      <c r="C20" s="24">
        <f>'- 4 -'!E20</f>
        <v>9411</v>
      </c>
      <c r="D20" s="67">
        <v>15.734402439182031</v>
      </c>
      <c r="E20" s="67">
        <f>'- 9 -'!C20</f>
        <v>15.249890270369765</v>
      </c>
      <c r="F20" s="24">
        <v>196027</v>
      </c>
      <c r="G20" s="24">
        <f>'- 51 -'!F20</f>
        <v>200904</v>
      </c>
      <c r="H20" s="67">
        <v>16.402942930568337</v>
      </c>
      <c r="I20" s="67">
        <f>'- 48 -'!G20</f>
        <v>16.786458600169674</v>
      </c>
    </row>
    <row r="21" spans="1:9" ht="14.1" customHeight="1">
      <c r="A21" s="360" t="s">
        <v>239</v>
      </c>
      <c r="B21" s="361">
        <v>11596</v>
      </c>
      <c r="C21" s="361">
        <f>'- 4 -'!E21</f>
        <v>12568</v>
      </c>
      <c r="D21" s="387">
        <v>12.624434389140273</v>
      </c>
      <c r="E21" s="387">
        <f>'- 9 -'!C21</f>
        <v>11.867996117532867</v>
      </c>
      <c r="F21" s="361">
        <v>307690</v>
      </c>
      <c r="G21" s="361">
        <f>'- 51 -'!F21</f>
        <v>326227</v>
      </c>
      <c r="H21" s="387">
        <v>14.362763623388398</v>
      </c>
      <c r="I21" s="387">
        <f>'- 48 -'!G21</f>
        <v>15.034367295845755</v>
      </c>
    </row>
    <row r="22" spans="1:9" ht="14.1" customHeight="1">
      <c r="A22" s="23" t="s">
        <v>240</v>
      </c>
      <c r="B22" s="24">
        <v>11324</v>
      </c>
      <c r="C22" s="24">
        <f>'- 4 -'!E22</f>
        <v>11759</v>
      </c>
      <c r="D22" s="67">
        <v>13.34297520661157</v>
      </c>
      <c r="E22" s="67">
        <f>'- 9 -'!C22</f>
        <v>13.184039087947882</v>
      </c>
      <c r="F22" s="24">
        <v>117664</v>
      </c>
      <c r="G22" s="24">
        <f>'- 51 -'!F22</f>
        <v>117688</v>
      </c>
      <c r="H22" s="67">
        <v>21.62422031121281</v>
      </c>
      <c r="I22" s="67">
        <f>'- 48 -'!G22</f>
        <v>22.353353273156841</v>
      </c>
    </row>
    <row r="23" spans="1:9" ht="14.1" customHeight="1">
      <c r="A23" s="360" t="s">
        <v>241</v>
      </c>
      <c r="B23" s="361">
        <v>12591</v>
      </c>
      <c r="C23" s="361">
        <f>'- 4 -'!E23</f>
        <v>13124</v>
      </c>
      <c r="D23" s="387">
        <v>12.337461300309597</v>
      </c>
      <c r="E23" s="387">
        <f>'- 9 -'!C23</f>
        <v>11.903323262839878</v>
      </c>
      <c r="F23" s="361">
        <v>186803</v>
      </c>
      <c r="G23" s="361">
        <f>'- 51 -'!F23</f>
        <v>192446</v>
      </c>
      <c r="H23" s="387">
        <v>19.710203785160186</v>
      </c>
      <c r="I23" s="387">
        <f>'- 48 -'!G23</f>
        <v>19.995764725935832</v>
      </c>
    </row>
    <row r="24" spans="1:9" ht="14.1" customHeight="1">
      <c r="A24" s="23" t="s">
        <v>242</v>
      </c>
      <c r="B24" s="24">
        <v>11770</v>
      </c>
      <c r="C24" s="24">
        <f>'- 4 -'!E24</f>
        <v>12394</v>
      </c>
      <c r="D24" s="67">
        <v>12.913757141561621</v>
      </c>
      <c r="E24" s="67">
        <f>'- 9 -'!C24</f>
        <v>12.680929501707309</v>
      </c>
      <c r="F24" s="24">
        <v>367776</v>
      </c>
      <c r="G24" s="24">
        <f>'- 51 -'!F24</f>
        <v>378175</v>
      </c>
      <c r="H24" s="67">
        <v>13.560320069760674</v>
      </c>
      <c r="I24" s="67">
        <f>'- 48 -'!G24</f>
        <v>14.466649987853678</v>
      </c>
    </row>
    <row r="25" spans="1:9" ht="14.1" customHeight="1">
      <c r="A25" s="360" t="s">
        <v>243</v>
      </c>
      <c r="B25" s="361">
        <v>10974</v>
      </c>
      <c r="C25" s="361">
        <f>'- 4 -'!E25</f>
        <v>11144</v>
      </c>
      <c r="D25" s="387">
        <v>14.183597867033988</v>
      </c>
      <c r="E25" s="387">
        <f>'- 9 -'!C25</f>
        <v>14.035069885641677</v>
      </c>
      <c r="F25" s="361">
        <v>378060</v>
      </c>
      <c r="G25" s="361">
        <f>'- 51 -'!F25</f>
        <v>386366</v>
      </c>
      <c r="H25" s="387">
        <v>12.76324340447392</v>
      </c>
      <c r="I25" s="387">
        <f>'- 48 -'!G25</f>
        <v>13.283493527850837</v>
      </c>
    </row>
    <row r="26" spans="1:9" ht="14.1" customHeight="1">
      <c r="A26" s="23" t="s">
        <v>244</v>
      </c>
      <c r="B26" s="24">
        <v>12270</v>
      </c>
      <c r="C26" s="24">
        <f>'- 4 -'!E26</f>
        <v>12253</v>
      </c>
      <c r="D26" s="67">
        <v>12.800856531049249</v>
      </c>
      <c r="E26" s="67">
        <f>'- 9 -'!C26</f>
        <v>13.159352364720919</v>
      </c>
      <c r="F26" s="24">
        <v>234446</v>
      </c>
      <c r="G26" s="24">
        <f>'- 51 -'!F26</f>
        <v>239324</v>
      </c>
      <c r="H26" s="67">
        <v>18.958390553674487</v>
      </c>
      <c r="I26" s="67">
        <f>'- 48 -'!G26</f>
        <v>19.090216824236443</v>
      </c>
    </row>
    <row r="27" spans="1:9" ht="14.1" customHeight="1">
      <c r="A27" s="360" t="s">
        <v>245</v>
      </c>
      <c r="B27" s="361">
        <v>13675</v>
      </c>
      <c r="C27" s="361">
        <f>'- 4 -'!E27</f>
        <v>13969</v>
      </c>
      <c r="D27" s="387">
        <v>11.498787654625405</v>
      </c>
      <c r="E27" s="387">
        <f>'- 9 -'!C27</f>
        <v>11.32937978749691</v>
      </c>
      <c r="F27" s="361">
        <v>169376</v>
      </c>
      <c r="G27" s="361">
        <f>'- 51 -'!F27</f>
        <v>176303</v>
      </c>
      <c r="H27" s="387">
        <v>18.266735356602293</v>
      </c>
      <c r="I27" s="387">
        <f>'- 48 -'!G27</f>
        <v>18.635027696905503</v>
      </c>
    </row>
    <row r="28" spans="1:9" ht="14.1" customHeight="1">
      <c r="A28" s="23" t="s">
        <v>246</v>
      </c>
      <c r="B28" s="24">
        <v>13006</v>
      </c>
      <c r="C28" s="24">
        <f>'- 4 -'!E28</f>
        <v>13089</v>
      </c>
      <c r="D28" s="67">
        <v>12.11276332094176</v>
      </c>
      <c r="E28" s="67">
        <f>'- 9 -'!C28</f>
        <v>11.878127405696693</v>
      </c>
      <c r="F28" s="24">
        <v>317147</v>
      </c>
      <c r="G28" s="24">
        <f>'- 51 -'!F28</f>
        <v>328910</v>
      </c>
      <c r="H28" s="67">
        <v>14.822389746303783</v>
      </c>
      <c r="I28" s="67">
        <f>'- 48 -'!G28</f>
        <v>15.160461091796163</v>
      </c>
    </row>
    <row r="29" spans="1:9" ht="14.1" customHeight="1">
      <c r="A29" s="360" t="s">
        <v>247</v>
      </c>
      <c r="B29" s="361">
        <v>11256</v>
      </c>
      <c r="C29" s="361">
        <f>'- 4 -'!E29</f>
        <v>11700</v>
      </c>
      <c r="D29" s="387">
        <v>13.970503646780021</v>
      </c>
      <c r="E29" s="387">
        <f>'- 9 -'!C29</f>
        <v>13.885538362569068</v>
      </c>
      <c r="F29" s="361">
        <v>467839</v>
      </c>
      <c r="G29" s="361">
        <f>'- 51 -'!F29</f>
        <v>477417</v>
      </c>
      <c r="H29" s="387">
        <v>12.877250662813736</v>
      </c>
      <c r="I29" s="387">
        <f>'- 48 -'!G29</f>
        <v>13.227617198353357</v>
      </c>
    </row>
    <row r="30" spans="1:9" ht="14.1" customHeight="1">
      <c r="A30" s="23" t="s">
        <v>248</v>
      </c>
      <c r="B30" s="24">
        <v>12343</v>
      </c>
      <c r="C30" s="24">
        <f>'- 4 -'!E30</f>
        <v>12563</v>
      </c>
      <c r="D30" s="67">
        <v>13.024751273962631</v>
      </c>
      <c r="E30" s="67">
        <f>'- 9 -'!C30</f>
        <v>12.601578141561651</v>
      </c>
      <c r="F30" s="24">
        <v>273276</v>
      </c>
      <c r="G30" s="24">
        <f>'- 51 -'!F30</f>
        <v>281298</v>
      </c>
      <c r="H30" s="67">
        <v>16.943112729889908</v>
      </c>
      <c r="I30" s="67">
        <f>'- 48 -'!G30</f>
        <v>17.092347782855803</v>
      </c>
    </row>
    <row r="31" spans="1:9" ht="14.1" customHeight="1">
      <c r="A31" s="360" t="s">
        <v>249</v>
      </c>
      <c r="B31" s="361">
        <v>10113</v>
      </c>
      <c r="C31" s="361">
        <f>'- 4 -'!E31</f>
        <v>10526</v>
      </c>
      <c r="D31" s="387">
        <v>13.295864440902609</v>
      </c>
      <c r="E31" s="387">
        <f>'- 9 -'!C31</f>
        <v>13.268446884618584</v>
      </c>
      <c r="F31" s="361">
        <v>284341</v>
      </c>
      <c r="G31" s="361">
        <f>'- 51 -'!F31</f>
        <v>291960</v>
      </c>
      <c r="H31" s="387">
        <v>15.45326209450042</v>
      </c>
      <c r="I31" s="387">
        <f>'- 48 -'!G31</f>
        <v>15.729658604768465</v>
      </c>
    </row>
    <row r="32" spans="1:9" ht="14.1" customHeight="1">
      <c r="A32" s="23" t="s">
        <v>250</v>
      </c>
      <c r="B32" s="24">
        <v>11906</v>
      </c>
      <c r="C32" s="24">
        <f>'- 4 -'!E32</f>
        <v>12347</v>
      </c>
      <c r="D32" s="67">
        <v>12.701842390462922</v>
      </c>
      <c r="E32" s="67">
        <f>'- 9 -'!C32</f>
        <v>12.423322198603099</v>
      </c>
      <c r="F32" s="24">
        <v>353238</v>
      </c>
      <c r="G32" s="24">
        <f>'- 51 -'!F32</f>
        <v>361527</v>
      </c>
      <c r="H32" s="67">
        <v>13.705118650003305</v>
      </c>
      <c r="I32" s="67">
        <f>'- 48 -'!G32</f>
        <v>14.473853859252268</v>
      </c>
    </row>
    <row r="33" spans="1:9" ht="14.1" customHeight="1">
      <c r="A33" s="360" t="s">
        <v>251</v>
      </c>
      <c r="B33" s="361">
        <v>12715</v>
      </c>
      <c r="C33" s="361">
        <f>'- 4 -'!E33</f>
        <v>12948</v>
      </c>
      <c r="D33" s="387">
        <v>13.190103309863789</v>
      </c>
      <c r="E33" s="387">
        <f>'- 9 -'!C33</f>
        <v>13.250057225074393</v>
      </c>
      <c r="F33" s="361">
        <v>327177</v>
      </c>
      <c r="G33" s="361">
        <f>'- 51 -'!F33</f>
        <v>336280</v>
      </c>
      <c r="H33" s="387">
        <v>15.222615790973432</v>
      </c>
      <c r="I33" s="387">
        <f>'- 48 -'!G33</f>
        <v>15.888112386483442</v>
      </c>
    </row>
    <row r="34" spans="1:9" ht="14.1" customHeight="1">
      <c r="A34" s="23" t="s">
        <v>252</v>
      </c>
      <c r="B34" s="24">
        <v>11960</v>
      </c>
      <c r="C34" s="24">
        <f>'- 4 -'!E34</f>
        <v>12666</v>
      </c>
      <c r="D34" s="67">
        <v>13.662953598031846</v>
      </c>
      <c r="E34" s="67">
        <f>'- 9 -'!C34</f>
        <v>13.109267213328124</v>
      </c>
      <c r="F34" s="24">
        <v>345642</v>
      </c>
      <c r="G34" s="24">
        <f>'- 51 -'!F34</f>
        <v>356869</v>
      </c>
      <c r="H34" s="67">
        <v>16.252378172249536</v>
      </c>
      <c r="I34" s="67">
        <f>'- 48 -'!G34</f>
        <v>16.799831080446435</v>
      </c>
    </row>
    <row r="35" spans="1:9" ht="14.1" customHeight="1">
      <c r="A35" s="360" t="s">
        <v>253</v>
      </c>
      <c r="B35" s="361">
        <v>10454</v>
      </c>
      <c r="C35" s="361">
        <f>'- 4 -'!E35</f>
        <v>10575</v>
      </c>
      <c r="D35" s="387">
        <v>14.053713049747659</v>
      </c>
      <c r="E35" s="387">
        <f>'- 9 -'!C35</f>
        <v>14.060551537392667</v>
      </c>
      <c r="F35" s="361">
        <v>317185</v>
      </c>
      <c r="G35" s="361">
        <f>'- 51 -'!F35</f>
        <v>322136</v>
      </c>
      <c r="H35" s="387">
        <v>14.229430792843869</v>
      </c>
      <c r="I35" s="387">
        <f>'- 48 -'!G35</f>
        <v>14.638837452834139</v>
      </c>
    </row>
    <row r="36" spans="1:9" ht="14.1" customHeight="1">
      <c r="A36" s="23" t="s">
        <v>254</v>
      </c>
      <c r="B36" s="24">
        <v>12876</v>
      </c>
      <c r="C36" s="24">
        <f>'- 4 -'!E36</f>
        <v>12833</v>
      </c>
      <c r="D36" s="67">
        <v>12.521978442015136</v>
      </c>
      <c r="E36" s="67">
        <f>'- 9 -'!C36</f>
        <v>12.671941294599042</v>
      </c>
      <c r="F36" s="24">
        <v>368589</v>
      </c>
      <c r="G36" s="24">
        <f>'- 51 -'!F36</f>
        <v>384825</v>
      </c>
      <c r="H36" s="67">
        <v>14.853946723177192</v>
      </c>
      <c r="I36" s="67">
        <f>'- 48 -'!G36</f>
        <v>15.18739967854483</v>
      </c>
    </row>
    <row r="37" spans="1:9" ht="14.1" customHeight="1">
      <c r="A37" s="360" t="s">
        <v>255</v>
      </c>
      <c r="B37" s="361">
        <v>10817</v>
      </c>
      <c r="C37" s="361">
        <f>'- 4 -'!E37</f>
        <v>11128</v>
      </c>
      <c r="D37" s="387">
        <v>14.167116110640263</v>
      </c>
      <c r="E37" s="387">
        <f>'- 9 -'!C37</f>
        <v>13.999549431156836</v>
      </c>
      <c r="F37" s="361">
        <v>241790</v>
      </c>
      <c r="G37" s="361">
        <f>'- 51 -'!F37</f>
        <v>244406</v>
      </c>
      <c r="H37" s="387">
        <v>14.84616126729183</v>
      </c>
      <c r="I37" s="387">
        <f>'- 48 -'!G37</f>
        <v>15.536429544550314</v>
      </c>
    </row>
    <row r="38" spans="1:9" ht="14.1" customHeight="1">
      <c r="A38" s="23" t="s">
        <v>256</v>
      </c>
      <c r="B38" s="24">
        <v>10482</v>
      </c>
      <c r="C38" s="24">
        <f>'- 4 -'!E38</f>
        <v>10928</v>
      </c>
      <c r="D38" s="67">
        <v>14.59511140671766</v>
      </c>
      <c r="E38" s="67">
        <f>'- 9 -'!C38</f>
        <v>14.257918062912116</v>
      </c>
      <c r="F38" s="24">
        <v>253401</v>
      </c>
      <c r="G38" s="24">
        <f>'- 51 -'!F38</f>
        <v>250139</v>
      </c>
      <c r="H38" s="67">
        <v>16.207341577020323</v>
      </c>
      <c r="I38" s="67">
        <f>'- 48 -'!G38</f>
        <v>16.958346909368956</v>
      </c>
    </row>
    <row r="39" spans="1:9" ht="14.1" customHeight="1">
      <c r="A39" s="360" t="s">
        <v>257</v>
      </c>
      <c r="B39" s="361">
        <v>12645</v>
      </c>
      <c r="C39" s="361">
        <f>'- 4 -'!E39</f>
        <v>12872</v>
      </c>
      <c r="D39" s="387">
        <v>12.821355236139631</v>
      </c>
      <c r="E39" s="387">
        <f>'- 9 -'!C39</f>
        <v>12.664506580263209</v>
      </c>
      <c r="F39" s="361">
        <v>411481</v>
      </c>
      <c r="G39" s="361">
        <f>'- 51 -'!F39</f>
        <v>435619</v>
      </c>
      <c r="H39" s="387">
        <v>14.584021483105188</v>
      </c>
      <c r="I39" s="387">
        <f>'- 48 -'!G39</f>
        <v>14.968209923612523</v>
      </c>
    </row>
    <row r="40" spans="1:9" ht="14.1" customHeight="1">
      <c r="A40" s="23" t="s">
        <v>258</v>
      </c>
      <c r="B40" s="24">
        <v>11445</v>
      </c>
      <c r="C40" s="24">
        <f>'- 4 -'!E40</f>
        <v>12050</v>
      </c>
      <c r="D40" s="67">
        <v>13.904061564771268</v>
      </c>
      <c r="E40" s="67">
        <f>'- 9 -'!C40</f>
        <v>13.967001434720226</v>
      </c>
      <c r="F40" s="24">
        <v>460516</v>
      </c>
      <c r="G40" s="24">
        <f>'- 51 -'!F40</f>
        <v>462221</v>
      </c>
      <c r="H40" s="67">
        <v>12.583316157433099</v>
      </c>
      <c r="I40" s="67">
        <f>'- 48 -'!G40</f>
        <v>13.398505086892365</v>
      </c>
    </row>
    <row r="41" spans="1:9" ht="14.1" customHeight="1">
      <c r="A41" s="360" t="s">
        <v>259</v>
      </c>
      <c r="B41" s="361">
        <v>12345</v>
      </c>
      <c r="C41" s="361">
        <f>'- 4 -'!E41</f>
        <v>12678</v>
      </c>
      <c r="D41" s="387">
        <v>12.805675614194724</v>
      </c>
      <c r="E41" s="387">
        <f>'- 9 -'!C41</f>
        <v>12.645018198362147</v>
      </c>
      <c r="F41" s="361">
        <v>380872</v>
      </c>
      <c r="G41" s="361">
        <f>'- 51 -'!F41</f>
        <v>396863</v>
      </c>
      <c r="H41" s="387">
        <v>14.833116448910015</v>
      </c>
      <c r="I41" s="387">
        <f>'- 48 -'!G41</f>
        <v>14.857944819805915</v>
      </c>
    </row>
    <row r="42" spans="1:9" ht="14.1" customHeight="1">
      <c r="A42" s="23" t="s">
        <v>260</v>
      </c>
      <c r="B42" s="24">
        <v>13494</v>
      </c>
      <c r="C42" s="24">
        <f>'- 4 -'!E42</f>
        <v>14261</v>
      </c>
      <c r="D42" s="67">
        <v>12.241813602015112</v>
      </c>
      <c r="E42" s="67">
        <f>'- 9 -'!C42</f>
        <v>11.872029871011542</v>
      </c>
      <c r="F42" s="24">
        <v>232150</v>
      </c>
      <c r="G42" s="24">
        <f>'- 51 -'!F42</f>
        <v>241928</v>
      </c>
      <c r="H42" s="67">
        <v>18.678140521394276</v>
      </c>
      <c r="I42" s="67">
        <f>'- 48 -'!G42</f>
        <v>18.678137856399569</v>
      </c>
    </row>
    <row r="43" spans="1:9" ht="14.1" customHeight="1">
      <c r="A43" s="360" t="s">
        <v>261</v>
      </c>
      <c r="B43" s="361">
        <v>12182</v>
      </c>
      <c r="C43" s="361">
        <f>'- 4 -'!E43</f>
        <v>12106</v>
      </c>
      <c r="D43" s="387">
        <v>12.800412688137238</v>
      </c>
      <c r="E43" s="387">
        <f>'- 9 -'!C43</f>
        <v>12.687253613666229</v>
      </c>
      <c r="F43" s="361">
        <v>348361</v>
      </c>
      <c r="G43" s="361">
        <f>'- 51 -'!F43</f>
        <v>354995</v>
      </c>
      <c r="H43" s="387">
        <v>15.797757219516564</v>
      </c>
      <c r="I43" s="387">
        <f>'- 48 -'!G43</f>
        <v>16.366904290057438</v>
      </c>
    </row>
    <row r="44" spans="1:9" ht="14.1" customHeight="1">
      <c r="A44" s="23" t="s">
        <v>262</v>
      </c>
      <c r="B44" s="24">
        <v>13428</v>
      </c>
      <c r="C44" s="24">
        <f>'- 4 -'!E44</f>
        <v>13983</v>
      </c>
      <c r="D44" s="67">
        <v>12.441783100465734</v>
      </c>
      <c r="E44" s="67">
        <f>'- 9 -'!C44</f>
        <v>11.99617651744464</v>
      </c>
      <c r="F44" s="24">
        <v>182473</v>
      </c>
      <c r="G44" s="24">
        <f>'- 51 -'!F44</f>
        <v>186381</v>
      </c>
      <c r="H44" s="67">
        <v>19.318488330085227</v>
      </c>
      <c r="I44" s="67">
        <f>'- 48 -'!G44</f>
        <v>19.320924401324479</v>
      </c>
    </row>
    <row r="45" spans="1:9" ht="14.1" customHeight="1">
      <c r="A45" s="360" t="s">
        <v>263</v>
      </c>
      <c r="B45" s="361">
        <v>9604</v>
      </c>
      <c r="C45" s="361">
        <f>'- 4 -'!E45</f>
        <v>9792</v>
      </c>
      <c r="D45" s="387">
        <v>15.130680265913851</v>
      </c>
      <c r="E45" s="387">
        <f>'- 9 -'!C45</f>
        <v>15.020502763415939</v>
      </c>
      <c r="F45" s="361">
        <v>237925</v>
      </c>
      <c r="G45" s="361">
        <f>'- 51 -'!F45</f>
        <v>247042</v>
      </c>
      <c r="H45" s="387">
        <v>17.976475772334258</v>
      </c>
      <c r="I45" s="387">
        <f>'- 48 -'!G45</f>
        <v>18.381702655581645</v>
      </c>
    </row>
    <row r="46" spans="1:9" ht="14.1" customHeight="1">
      <c r="A46" s="23" t="s">
        <v>264</v>
      </c>
      <c r="B46" s="24">
        <v>11271</v>
      </c>
      <c r="C46" s="24">
        <f>'- 4 -'!E46</f>
        <v>11578</v>
      </c>
      <c r="D46" s="67">
        <v>13.808479399662852</v>
      </c>
      <c r="E46" s="67">
        <f>'- 9 -'!C46</f>
        <v>13.812066665756181</v>
      </c>
      <c r="F46" s="24">
        <v>312565</v>
      </c>
      <c r="G46" s="24">
        <f>'- 51 -'!F46</f>
        <v>313548</v>
      </c>
      <c r="H46" s="67">
        <v>15.563316941711673</v>
      </c>
      <c r="I46" s="67">
        <f>'- 48 -'!G46</f>
        <v>16.733323868677022</v>
      </c>
    </row>
    <row r="47" spans="1:9" ht="5.0999999999999996" customHeight="1">
      <c r="B47" s="172"/>
      <c r="C47" s="172"/>
      <c r="D47" s="270"/>
      <c r="E47" s="270"/>
      <c r="F47" s="172"/>
      <c r="G47" s="172"/>
      <c r="H47" s="270"/>
      <c r="I47" s="270"/>
    </row>
    <row r="48" spans="1:9" ht="14.1" customHeight="1">
      <c r="A48" s="363" t="s">
        <v>265</v>
      </c>
      <c r="B48" s="419">
        <v>11473</v>
      </c>
      <c r="C48" s="419">
        <f>'- 4 -'!E48</f>
        <v>11841</v>
      </c>
      <c r="D48" s="485">
        <v>13.583599095375327</v>
      </c>
      <c r="E48" s="485">
        <f>'- 9 -'!C48</f>
        <v>13.455141478191502</v>
      </c>
      <c r="F48" s="419">
        <v>317611.57242136996</v>
      </c>
      <c r="G48" s="419">
        <f>'- 51 -'!F48</f>
        <v>322662.28382405615</v>
      </c>
      <c r="H48" s="485">
        <v>14.657406684072306</v>
      </c>
      <c r="I48" s="485">
        <f>'- 48 -'!G48</f>
        <v>15.286442903116251</v>
      </c>
    </row>
    <row r="49" spans="1:9" ht="5.0999999999999996" customHeight="1">
      <c r="B49" s="172"/>
      <c r="C49" s="172"/>
      <c r="D49" s="270"/>
      <c r="E49" s="270"/>
      <c r="F49" s="172"/>
      <c r="G49" s="172"/>
      <c r="H49" s="270"/>
      <c r="I49" s="270"/>
    </row>
    <row r="50" spans="1:9" ht="14.45" customHeight="1">
      <c r="A50" s="23" t="s">
        <v>266</v>
      </c>
      <c r="B50" s="24">
        <v>17787</v>
      </c>
      <c r="C50" s="24">
        <f>'- 4 -'!E50</f>
        <v>19472</v>
      </c>
      <c r="D50" s="268">
        <v>8.5781990521327014</v>
      </c>
      <c r="E50" s="268">
        <f>'- 9 -'!C50</f>
        <v>8.1265206812652071</v>
      </c>
      <c r="F50" s="171"/>
      <c r="G50" s="171"/>
      <c r="H50" s="268"/>
      <c r="I50" s="268"/>
    </row>
    <row r="51" spans="1:9" ht="50.1" customHeight="1">
      <c r="A51" s="27"/>
      <c r="B51" s="27"/>
      <c r="C51" s="27"/>
      <c r="D51" s="27"/>
      <c r="E51" s="27"/>
      <c r="F51" s="27"/>
      <c r="G51" s="27"/>
      <c r="H51" s="27"/>
      <c r="I51" s="27"/>
    </row>
    <row r="52" spans="1:9" ht="15" customHeight="1">
      <c r="A52" s="39" t="s">
        <v>590</v>
      </c>
      <c r="B52" s="39"/>
      <c r="C52" s="39"/>
      <c r="D52" s="39"/>
      <c r="E52" s="39"/>
      <c r="F52" s="39"/>
    </row>
    <row r="53" spans="1:9" ht="12" customHeight="1">
      <c r="A53" s="39" t="s">
        <v>591</v>
      </c>
      <c r="B53" s="39"/>
      <c r="C53" s="39"/>
      <c r="D53" s="39"/>
      <c r="E53" s="39"/>
      <c r="F53" s="39"/>
    </row>
    <row r="54" spans="1:9" ht="12" customHeight="1">
      <c r="A54" s="39" t="s">
        <v>592</v>
      </c>
      <c r="B54" s="39"/>
      <c r="C54" s="39"/>
      <c r="D54" s="39"/>
      <c r="E54" s="39"/>
      <c r="F54" s="39"/>
    </row>
    <row r="55" spans="1:9">
      <c r="A55" s="39" t="s">
        <v>671</v>
      </c>
    </row>
  </sheetData>
  <phoneticPr fontId="0" type="noConversion"/>
  <printOptions horizontalCentered="1"/>
  <pageMargins left="0.51181102362204722" right="0.51181102362204722" top="0.59055118110236227" bottom="0" header="0.31496062992125984" footer="0"/>
  <pageSetup scale="88" orientation="portrait" r:id="rId1"/>
  <headerFooter alignWithMargins="0">
    <oddHeader>&amp;C&amp;"Arial,Bold"&amp;10&amp;A</oddHeader>
  </headerFooter>
</worksheet>
</file>

<file path=xl/worksheets/sheet55.xml><?xml version="1.0" encoding="utf-8"?>
<worksheet xmlns="http://schemas.openxmlformats.org/spreadsheetml/2006/main" xmlns:r="http://schemas.openxmlformats.org/officeDocument/2006/relationships">
  <sheetPr transitionEvaluation="1" codeName="Sheet49"/>
  <dimension ref="A1:T55"/>
  <sheetViews>
    <sheetView showGridLines="0" defaultGridColor="0" colorId="22" workbookViewId="0">
      <pane xSplit="2" ySplit="10" topLeftCell="C11" activePane="bottomRight" state="frozen"/>
      <selection pane="topRight" activeCell="C1" sqref="C1"/>
      <selection pane="bottomLeft" activeCell="A11" sqref="A11"/>
      <selection pane="bottomRight" activeCell="C43" sqref="C43"/>
    </sheetView>
  </sheetViews>
  <sheetFormatPr defaultColWidth="15.83203125" defaultRowHeight="12"/>
  <cols>
    <col min="1" max="1" width="5.83203125" style="1" customWidth="1"/>
    <col min="2" max="2" width="30.83203125" style="1" customWidth="1"/>
    <col min="3" max="14" width="15.83203125" style="1" customWidth="1"/>
    <col min="15" max="16" width="15.83203125" style="1"/>
    <col min="17" max="17" width="22.33203125" style="1" bestFit="1" customWidth="1"/>
    <col min="18" max="16384" width="15.83203125" style="1"/>
  </cols>
  <sheetData>
    <row r="1" spans="1:20" ht="6" customHeight="1">
      <c r="A1" s="3"/>
      <c r="B1" s="245"/>
      <c r="C1" s="245"/>
      <c r="D1" s="245"/>
      <c r="E1" s="245"/>
      <c r="F1" s="245"/>
      <c r="G1" s="245"/>
      <c r="H1" s="245"/>
      <c r="I1" s="245"/>
      <c r="J1" s="245"/>
      <c r="K1" s="245"/>
      <c r="L1" s="245"/>
      <c r="M1" s="245"/>
      <c r="N1" s="245"/>
    </row>
    <row r="2" spans="1:20">
      <c r="A2" s="245"/>
      <c r="B2" s="207"/>
      <c r="C2" s="207"/>
      <c r="D2" s="207"/>
      <c r="E2" s="207"/>
      <c r="F2" s="207"/>
      <c r="G2" s="207"/>
      <c r="H2" s="207"/>
      <c r="I2" s="207"/>
      <c r="J2" s="207"/>
      <c r="K2" s="207"/>
      <c r="L2" s="207"/>
      <c r="M2" s="207"/>
      <c r="N2" s="207"/>
      <c r="P2" s="330"/>
      <c r="Q2" s="612" t="s">
        <v>643</v>
      </c>
      <c r="R2" s="613" t="s">
        <v>644</v>
      </c>
    </row>
    <row r="3" spans="1:20">
      <c r="A3" s="271" t="s">
        <v>97</v>
      </c>
      <c r="B3" s="1" t="s">
        <v>168</v>
      </c>
      <c r="C3" s="245"/>
      <c r="D3" s="245"/>
      <c r="E3" s="245"/>
      <c r="F3" s="245"/>
      <c r="G3" s="245"/>
      <c r="H3" s="245"/>
      <c r="I3" s="245"/>
      <c r="J3" s="245"/>
      <c r="K3" s="245"/>
      <c r="L3" s="245"/>
      <c r="M3" s="245"/>
      <c r="N3" s="245"/>
      <c r="P3" s="614" t="s">
        <v>645</v>
      </c>
      <c r="Q3" s="615" t="s">
        <v>647</v>
      </c>
      <c r="R3" s="330"/>
    </row>
    <row r="4" spans="1:20">
      <c r="B4" s="207"/>
      <c r="C4" s="207"/>
      <c r="D4" s="207"/>
      <c r="E4" s="207"/>
      <c r="F4" s="207"/>
      <c r="G4" s="207"/>
      <c r="H4" s="207"/>
      <c r="I4" s="207"/>
      <c r="J4" s="207"/>
      <c r="K4" s="207"/>
      <c r="L4" s="207"/>
      <c r="M4" s="207"/>
      <c r="N4" s="207"/>
      <c r="P4" s="614" t="s">
        <v>646</v>
      </c>
      <c r="Q4" s="615" t="s">
        <v>663</v>
      </c>
      <c r="R4" s="330"/>
    </row>
    <row r="5" spans="1:20">
      <c r="B5" s="272" t="s">
        <v>207</v>
      </c>
      <c r="C5" s="273" t="s">
        <v>59</v>
      </c>
      <c r="D5" s="274"/>
      <c r="E5" s="274"/>
      <c r="F5" s="274"/>
      <c r="G5" s="274"/>
      <c r="H5" s="274"/>
      <c r="I5" s="274"/>
      <c r="J5" s="274"/>
      <c r="K5" s="274"/>
      <c r="L5" s="274"/>
      <c r="M5" s="274"/>
      <c r="N5" s="274"/>
      <c r="P5" s="1" t="s">
        <v>668</v>
      </c>
    </row>
    <row r="6" spans="1:20">
      <c r="B6" s="275">
        <v>2013</v>
      </c>
      <c r="O6" s="621" t="s">
        <v>673</v>
      </c>
      <c r="P6" s="616" t="s">
        <v>667</v>
      </c>
    </row>
    <row r="7" spans="1:20">
      <c r="C7" s="115"/>
      <c r="N7" s="157" t="s">
        <v>369</v>
      </c>
      <c r="O7" s="617" t="s">
        <v>650</v>
      </c>
      <c r="P7" s="617" t="s">
        <v>650</v>
      </c>
    </row>
    <row r="8" spans="1:20">
      <c r="C8" s="276" t="s">
        <v>79</v>
      </c>
      <c r="D8" s="4"/>
      <c r="E8" s="4"/>
      <c r="F8" s="4"/>
      <c r="G8" s="4"/>
      <c r="H8" s="4"/>
      <c r="I8" s="4"/>
      <c r="J8" s="4">
        <v>700</v>
      </c>
      <c r="K8" s="4"/>
      <c r="L8" s="157" t="s">
        <v>54</v>
      </c>
      <c r="M8" s="157" t="s">
        <v>321</v>
      </c>
      <c r="N8" s="157" t="s">
        <v>323</v>
      </c>
      <c r="O8" s="616" t="s">
        <v>651</v>
      </c>
      <c r="P8" s="616" t="s">
        <v>651</v>
      </c>
    </row>
    <row r="9" spans="1:20">
      <c r="A9" s="277" t="s">
        <v>274</v>
      </c>
      <c r="B9" s="1" t="s">
        <v>275</v>
      </c>
      <c r="C9" s="1">
        <v>100</v>
      </c>
      <c r="D9" s="1">
        <v>200</v>
      </c>
      <c r="E9" s="1">
        <v>300</v>
      </c>
      <c r="F9" s="1">
        <v>400</v>
      </c>
      <c r="G9" s="1">
        <v>500</v>
      </c>
      <c r="H9" s="1">
        <v>600</v>
      </c>
      <c r="I9" s="1">
        <v>700</v>
      </c>
      <c r="J9" s="157" t="s">
        <v>94</v>
      </c>
      <c r="K9" s="4">
        <v>800</v>
      </c>
      <c r="L9" s="157" t="s">
        <v>95</v>
      </c>
      <c r="M9" s="157" t="s">
        <v>174</v>
      </c>
      <c r="N9" s="157" t="s">
        <v>205</v>
      </c>
      <c r="O9" s="618" t="s">
        <v>652</v>
      </c>
      <c r="P9" s="618" t="s">
        <v>652</v>
      </c>
      <c r="Q9" s="604" t="s">
        <v>569</v>
      </c>
      <c r="R9" s="604" t="s">
        <v>571</v>
      </c>
      <c r="S9" s="604" t="s">
        <v>572</v>
      </c>
      <c r="T9" s="605" t="s">
        <v>573</v>
      </c>
    </row>
    <row r="10" spans="1:20" ht="3.95" customHeight="1">
      <c r="Q10" s="604"/>
      <c r="R10" s="604"/>
      <c r="S10" s="604"/>
      <c r="T10" s="605"/>
    </row>
    <row r="11" spans="1:20" ht="10.9" customHeight="1">
      <c r="A11" s="275" t="s">
        <v>276</v>
      </c>
      <c r="B11" s="1" t="s">
        <v>230</v>
      </c>
      <c r="C11" s="1">
        <v>42000</v>
      </c>
      <c r="D11" s="1">
        <v>0</v>
      </c>
      <c r="E11" s="1">
        <v>0</v>
      </c>
      <c r="F11" s="1">
        <v>0</v>
      </c>
      <c r="G11" s="1">
        <v>0</v>
      </c>
      <c r="H11" s="1">
        <v>5500</v>
      </c>
      <c r="I11" s="1">
        <v>0</v>
      </c>
      <c r="J11" s="1">
        <v>0</v>
      </c>
      <c r="K11" s="1">
        <v>0</v>
      </c>
      <c r="L11" s="92">
        <f t="shared" ref="L11:L37" si="0">SUM(C11:I11)-J11+K11</f>
        <v>47500</v>
      </c>
      <c r="M11" s="92">
        <v>21000</v>
      </c>
      <c r="N11" s="92">
        <v>0</v>
      </c>
      <c r="O11" s="619">
        <v>334342</v>
      </c>
      <c r="P11" s="619">
        <v>340743</v>
      </c>
      <c r="Q11" s="604" t="s">
        <v>570</v>
      </c>
      <c r="R11" s="604">
        <f>+'- 3 -'!B48+'- 3 -'!B50+'- 3 -'!B51</f>
        <v>2124221859</v>
      </c>
      <c r="S11" s="604">
        <v>2124221859</v>
      </c>
      <c r="T11" s="605">
        <f>+R11-S11</f>
        <v>0</v>
      </c>
    </row>
    <row r="12" spans="1:20" ht="10.9" customHeight="1">
      <c r="A12" s="275" t="s">
        <v>277</v>
      </c>
      <c r="B12" s="1" t="s">
        <v>231</v>
      </c>
      <c r="C12" s="1">
        <v>330000</v>
      </c>
      <c r="D12" s="1">
        <v>0</v>
      </c>
      <c r="E12" s="1">
        <v>0</v>
      </c>
      <c r="F12" s="1">
        <v>0</v>
      </c>
      <c r="G12" s="1">
        <v>0</v>
      </c>
      <c r="H12" s="1">
        <v>0</v>
      </c>
      <c r="I12" s="1">
        <v>0</v>
      </c>
      <c r="J12" s="1">
        <v>0</v>
      </c>
      <c r="K12" s="1">
        <v>0</v>
      </c>
      <c r="L12" s="92">
        <f t="shared" si="0"/>
        <v>330000</v>
      </c>
      <c r="M12" s="92">
        <v>29603</v>
      </c>
      <c r="N12" s="92">
        <v>0</v>
      </c>
      <c r="O12" s="619">
        <v>266111</v>
      </c>
      <c r="P12" s="619">
        <v>260483</v>
      </c>
      <c r="Q12" s="604" t="s">
        <v>575</v>
      </c>
      <c r="R12" s="604">
        <f>+'- 44 -'!I48</f>
        <v>2119767517</v>
      </c>
      <c r="S12" s="604">
        <v>2119767517</v>
      </c>
      <c r="T12" s="605">
        <f>+R12-S12</f>
        <v>0</v>
      </c>
    </row>
    <row r="13" spans="1:20" ht="10.9" customHeight="1">
      <c r="A13" s="275" t="s">
        <v>278</v>
      </c>
      <c r="B13" s="1" t="s">
        <v>232</v>
      </c>
      <c r="C13" s="1">
        <v>144400</v>
      </c>
      <c r="D13" s="1">
        <v>0</v>
      </c>
      <c r="E13" s="1">
        <v>0</v>
      </c>
      <c r="F13" s="1">
        <v>0</v>
      </c>
      <c r="G13" s="1">
        <v>0</v>
      </c>
      <c r="H13" s="1">
        <v>0</v>
      </c>
      <c r="I13" s="1">
        <v>0</v>
      </c>
      <c r="J13" s="1">
        <v>0</v>
      </c>
      <c r="K13" s="1">
        <v>0</v>
      </c>
      <c r="L13" s="92">
        <f t="shared" si="0"/>
        <v>144400</v>
      </c>
      <c r="M13" s="92">
        <v>69000</v>
      </c>
      <c r="N13" s="92">
        <v>0</v>
      </c>
      <c r="O13" s="619">
        <v>293505</v>
      </c>
      <c r="P13" s="619">
        <v>297557</v>
      </c>
      <c r="Q13" s="604" t="s">
        <v>576</v>
      </c>
      <c r="R13" s="604">
        <v>4066.3399999999997</v>
      </c>
      <c r="S13" s="604">
        <f>+'- 7 -'!B48</f>
        <v>4066.3399999999997</v>
      </c>
      <c r="T13" s="605">
        <f>+R13-S13</f>
        <v>0</v>
      </c>
    </row>
    <row r="14" spans="1:20" ht="10.9" customHeight="1">
      <c r="A14" s="275" t="s">
        <v>279</v>
      </c>
      <c r="B14" s="1" t="s">
        <v>578</v>
      </c>
      <c r="C14" s="1">
        <v>266900</v>
      </c>
      <c r="D14" s="1">
        <v>0</v>
      </c>
      <c r="E14" s="1">
        <v>0</v>
      </c>
      <c r="F14" s="1">
        <v>0</v>
      </c>
      <c r="G14" s="1">
        <v>0</v>
      </c>
      <c r="H14" s="1">
        <v>50000</v>
      </c>
      <c r="I14" s="1">
        <v>0</v>
      </c>
      <c r="J14" s="1">
        <v>0</v>
      </c>
      <c r="K14" s="1">
        <v>0</v>
      </c>
      <c r="L14" s="92">
        <f t="shared" si="0"/>
        <v>316900</v>
      </c>
      <c r="M14" s="92">
        <v>0</v>
      </c>
      <c r="N14" s="92">
        <v>0</v>
      </c>
      <c r="O14" s="619">
        <v>332958</v>
      </c>
      <c r="P14" s="619">
        <v>327875</v>
      </c>
      <c r="Q14" s="604" t="s">
        <v>577</v>
      </c>
      <c r="R14" s="604">
        <f>+'- 7 -'!F48</f>
        <v>173547.2</v>
      </c>
      <c r="S14" s="604">
        <v>173547.2</v>
      </c>
      <c r="T14" s="605">
        <f>+R14-S14</f>
        <v>0</v>
      </c>
    </row>
    <row r="15" spans="1:20" ht="10.9" customHeight="1">
      <c r="A15" s="275" t="s">
        <v>280</v>
      </c>
      <c r="B15" s="1" t="s">
        <v>233</v>
      </c>
      <c r="C15" s="1">
        <v>37500</v>
      </c>
      <c r="D15" s="1">
        <v>0</v>
      </c>
      <c r="E15" s="1">
        <v>0</v>
      </c>
      <c r="F15" s="1">
        <v>0</v>
      </c>
      <c r="G15" s="1">
        <v>500</v>
      </c>
      <c r="H15" s="1">
        <v>5000</v>
      </c>
      <c r="I15" s="1">
        <v>0</v>
      </c>
      <c r="J15" s="1">
        <v>0</v>
      </c>
      <c r="K15" s="1">
        <v>0</v>
      </c>
      <c r="L15" s="92">
        <f t="shared" si="0"/>
        <v>43000</v>
      </c>
      <c r="M15" s="92">
        <v>25000</v>
      </c>
      <c r="N15" s="92">
        <v>0</v>
      </c>
      <c r="O15" s="619">
        <v>523644</v>
      </c>
      <c r="P15" s="619">
        <v>507300</v>
      </c>
      <c r="T15" s="603"/>
    </row>
    <row r="16" spans="1:20" ht="10.9" customHeight="1">
      <c r="A16" s="275" t="s">
        <v>281</v>
      </c>
      <c r="B16" s="1" t="s">
        <v>234</v>
      </c>
      <c r="C16" s="1">
        <v>0</v>
      </c>
      <c r="D16" s="1">
        <v>0</v>
      </c>
      <c r="E16" s="1">
        <v>0</v>
      </c>
      <c r="F16" s="1">
        <v>0</v>
      </c>
      <c r="G16" s="1">
        <v>0</v>
      </c>
      <c r="H16" s="1">
        <v>0</v>
      </c>
      <c r="I16" s="1">
        <v>0</v>
      </c>
      <c r="J16" s="1">
        <v>0</v>
      </c>
      <c r="K16" s="1">
        <v>0</v>
      </c>
      <c r="L16" s="92">
        <f t="shared" si="0"/>
        <v>0</v>
      </c>
      <c r="M16" s="92">
        <v>20000</v>
      </c>
      <c r="N16" s="92">
        <v>0</v>
      </c>
      <c r="O16" s="619">
        <v>161798</v>
      </c>
      <c r="P16" s="619">
        <v>156848</v>
      </c>
    </row>
    <row r="17" spans="1:16" ht="10.9" customHeight="1">
      <c r="A17" s="275" t="s">
        <v>282</v>
      </c>
      <c r="B17" s="1" t="s">
        <v>235</v>
      </c>
      <c r="C17" s="1">
        <v>226400</v>
      </c>
      <c r="D17" s="1">
        <v>0</v>
      </c>
      <c r="E17" s="1">
        <v>0</v>
      </c>
      <c r="F17" s="1">
        <v>0</v>
      </c>
      <c r="G17" s="1">
        <v>1500</v>
      </c>
      <c r="H17" s="1">
        <v>0</v>
      </c>
      <c r="I17" s="1">
        <v>0</v>
      </c>
      <c r="J17" s="1">
        <v>0</v>
      </c>
      <c r="K17" s="1">
        <v>0</v>
      </c>
      <c r="L17" s="92">
        <f t="shared" si="0"/>
        <v>227900</v>
      </c>
      <c r="M17" s="92">
        <v>23000</v>
      </c>
      <c r="N17" s="92">
        <v>0</v>
      </c>
      <c r="O17" s="619">
        <v>500514</v>
      </c>
      <c r="P17" s="619">
        <v>466048</v>
      </c>
    </row>
    <row r="18" spans="1:16" ht="10.9" customHeight="1">
      <c r="A18" s="275" t="s">
        <v>283</v>
      </c>
      <c r="B18" s="1" t="s">
        <v>236</v>
      </c>
      <c r="C18" s="1">
        <v>2579000</v>
      </c>
      <c r="D18" s="1">
        <v>0</v>
      </c>
      <c r="E18" s="1">
        <v>1306000</v>
      </c>
      <c r="F18" s="1">
        <v>0</v>
      </c>
      <c r="G18" s="1">
        <v>92260</v>
      </c>
      <c r="H18" s="1">
        <v>47500</v>
      </c>
      <c r="I18" s="1">
        <v>310000</v>
      </c>
      <c r="J18" s="1">
        <v>0</v>
      </c>
      <c r="K18" s="1">
        <v>0</v>
      </c>
      <c r="L18" s="92">
        <f t="shared" si="0"/>
        <v>4334760</v>
      </c>
      <c r="M18" s="92">
        <v>0</v>
      </c>
      <c r="N18" s="92">
        <v>0</v>
      </c>
      <c r="O18" s="619">
        <v>74270</v>
      </c>
      <c r="P18" s="619">
        <v>69713</v>
      </c>
    </row>
    <row r="19" spans="1:16" ht="10.9" customHeight="1">
      <c r="A19" s="275" t="s">
        <v>284</v>
      </c>
      <c r="B19" s="1" t="s">
        <v>237</v>
      </c>
      <c r="C19" s="1">
        <v>261000</v>
      </c>
      <c r="D19" s="1">
        <v>0</v>
      </c>
      <c r="E19" s="1">
        <v>0</v>
      </c>
      <c r="F19" s="1">
        <v>17000</v>
      </c>
      <c r="G19" s="1">
        <v>20000</v>
      </c>
      <c r="H19" s="1">
        <v>0</v>
      </c>
      <c r="I19" s="1">
        <v>0</v>
      </c>
      <c r="J19" s="1">
        <v>0</v>
      </c>
      <c r="K19" s="1">
        <v>0</v>
      </c>
      <c r="L19" s="92">
        <f t="shared" si="0"/>
        <v>298000</v>
      </c>
      <c r="M19" s="92">
        <v>32000</v>
      </c>
      <c r="N19" s="92">
        <v>0</v>
      </c>
      <c r="O19" s="619">
        <v>191134</v>
      </c>
      <c r="P19" s="619">
        <v>188101</v>
      </c>
    </row>
    <row r="20" spans="1:16" ht="10.9" customHeight="1">
      <c r="A20" s="275" t="s">
        <v>285</v>
      </c>
      <c r="B20" s="1" t="s">
        <v>238</v>
      </c>
      <c r="C20" s="1">
        <v>994700</v>
      </c>
      <c r="D20" s="1">
        <v>0</v>
      </c>
      <c r="E20" s="1">
        <v>0</v>
      </c>
      <c r="F20" s="1">
        <v>0</v>
      </c>
      <c r="G20" s="1">
        <v>0</v>
      </c>
      <c r="H20" s="1">
        <v>0</v>
      </c>
      <c r="I20" s="1">
        <v>0</v>
      </c>
      <c r="J20" s="1">
        <v>0</v>
      </c>
      <c r="K20" s="1">
        <v>0</v>
      </c>
      <c r="L20" s="92">
        <f t="shared" si="0"/>
        <v>994700</v>
      </c>
      <c r="M20" s="92">
        <v>55600</v>
      </c>
      <c r="N20" s="92">
        <v>0</v>
      </c>
      <c r="O20" s="619">
        <v>200904</v>
      </c>
      <c r="P20" s="619">
        <v>196027</v>
      </c>
    </row>
    <row r="21" spans="1:16" ht="10.9" customHeight="1">
      <c r="A21" s="275" t="s">
        <v>286</v>
      </c>
      <c r="B21" s="1" t="s">
        <v>239</v>
      </c>
      <c r="C21" s="1">
        <v>294103</v>
      </c>
      <c r="D21" s="1">
        <v>50000</v>
      </c>
      <c r="E21" s="1">
        <v>0</v>
      </c>
      <c r="F21" s="1">
        <v>5000</v>
      </c>
      <c r="G21" s="1">
        <v>7400</v>
      </c>
      <c r="H21" s="1">
        <v>19850</v>
      </c>
      <c r="I21" s="1">
        <v>0</v>
      </c>
      <c r="J21" s="1">
        <v>0</v>
      </c>
      <c r="K21" s="1">
        <v>0</v>
      </c>
      <c r="L21" s="92">
        <f t="shared" si="0"/>
        <v>376353</v>
      </c>
      <c r="M21" s="92">
        <v>33000</v>
      </c>
      <c r="N21" s="92">
        <v>0</v>
      </c>
      <c r="O21" s="619">
        <v>326227</v>
      </c>
      <c r="P21" s="619">
        <v>307690</v>
      </c>
    </row>
    <row r="22" spans="1:16" ht="10.9" customHeight="1">
      <c r="A22" s="275" t="s">
        <v>287</v>
      </c>
      <c r="B22" s="1" t="s">
        <v>240</v>
      </c>
      <c r="C22" s="1">
        <v>10000</v>
      </c>
      <c r="D22" s="1">
        <v>0</v>
      </c>
      <c r="E22" s="1">
        <v>0</v>
      </c>
      <c r="F22" s="1">
        <v>0</v>
      </c>
      <c r="G22" s="1">
        <v>0</v>
      </c>
      <c r="H22" s="1">
        <v>17500</v>
      </c>
      <c r="I22" s="1">
        <v>0</v>
      </c>
      <c r="J22" s="1">
        <v>0</v>
      </c>
      <c r="K22" s="1">
        <v>0</v>
      </c>
      <c r="L22" s="92">
        <f t="shared" si="0"/>
        <v>27500</v>
      </c>
      <c r="M22" s="92">
        <v>32000</v>
      </c>
      <c r="N22" s="92">
        <v>0</v>
      </c>
      <c r="O22" s="619">
        <v>117688</v>
      </c>
      <c r="P22" s="619">
        <v>117664</v>
      </c>
    </row>
    <row r="23" spans="1:16" ht="10.9" customHeight="1">
      <c r="A23" s="275" t="s">
        <v>288</v>
      </c>
      <c r="B23" s="1" t="s">
        <v>241</v>
      </c>
      <c r="C23" s="1">
        <v>34000</v>
      </c>
      <c r="D23" s="1">
        <v>0</v>
      </c>
      <c r="E23" s="1">
        <v>0</v>
      </c>
      <c r="F23" s="1">
        <v>0</v>
      </c>
      <c r="G23" s="1">
        <v>0</v>
      </c>
      <c r="H23" s="1">
        <v>2100</v>
      </c>
      <c r="I23" s="1">
        <v>0</v>
      </c>
      <c r="J23" s="1">
        <v>0</v>
      </c>
      <c r="K23" s="1">
        <v>0</v>
      </c>
      <c r="L23" s="92">
        <f t="shared" si="0"/>
        <v>36100</v>
      </c>
      <c r="M23" s="92">
        <v>22000</v>
      </c>
      <c r="N23" s="92">
        <v>0</v>
      </c>
      <c r="O23" s="619">
        <v>192446</v>
      </c>
      <c r="P23" s="619">
        <v>186803</v>
      </c>
    </row>
    <row r="24" spans="1:16" ht="10.9" customHeight="1">
      <c r="A24" s="275" t="s">
        <v>289</v>
      </c>
      <c r="B24" s="1" t="s">
        <v>242</v>
      </c>
      <c r="C24" s="1">
        <v>155000</v>
      </c>
      <c r="D24" s="1">
        <v>0</v>
      </c>
      <c r="E24" s="1">
        <v>0</v>
      </c>
      <c r="F24" s="1">
        <v>0</v>
      </c>
      <c r="G24" s="1">
        <v>0</v>
      </c>
      <c r="H24" s="1">
        <v>0</v>
      </c>
      <c r="I24" s="1">
        <v>0</v>
      </c>
      <c r="J24" s="1">
        <v>0</v>
      </c>
      <c r="K24" s="1">
        <v>0</v>
      </c>
      <c r="L24" s="92">
        <f t="shared" si="0"/>
        <v>155000</v>
      </c>
      <c r="M24" s="92">
        <v>50000</v>
      </c>
      <c r="N24" s="92">
        <v>0</v>
      </c>
      <c r="O24" s="619">
        <v>378175</v>
      </c>
      <c r="P24" s="619">
        <v>367776</v>
      </c>
    </row>
    <row r="25" spans="1:16" ht="10.9" customHeight="1">
      <c r="A25" s="275" t="s">
        <v>290</v>
      </c>
      <c r="B25" s="1" t="s">
        <v>243</v>
      </c>
      <c r="C25" s="1">
        <v>852100</v>
      </c>
      <c r="D25" s="1">
        <v>280000</v>
      </c>
      <c r="E25" s="1">
        <v>0</v>
      </c>
      <c r="F25" s="1">
        <v>0</v>
      </c>
      <c r="G25" s="1">
        <v>6500</v>
      </c>
      <c r="H25" s="1">
        <v>34000</v>
      </c>
      <c r="I25" s="1">
        <v>0</v>
      </c>
      <c r="J25" s="1">
        <v>0</v>
      </c>
      <c r="K25" s="1">
        <v>0</v>
      </c>
      <c r="L25" s="92">
        <f t="shared" si="0"/>
        <v>1172600</v>
      </c>
      <c r="M25" s="92">
        <v>22000</v>
      </c>
      <c r="N25" s="92">
        <v>300405</v>
      </c>
      <c r="O25" s="619">
        <v>386366</v>
      </c>
      <c r="P25" s="619">
        <v>378060</v>
      </c>
    </row>
    <row r="26" spans="1:16" ht="10.9" customHeight="1">
      <c r="A26" s="275" t="s">
        <v>291</v>
      </c>
      <c r="B26" s="1" t="s">
        <v>244</v>
      </c>
      <c r="C26" s="1">
        <v>0</v>
      </c>
      <c r="D26" s="1">
        <v>0</v>
      </c>
      <c r="E26" s="1">
        <v>0</v>
      </c>
      <c r="F26" s="1">
        <v>0</v>
      </c>
      <c r="G26" s="1">
        <v>0</v>
      </c>
      <c r="H26" s="1">
        <v>7500</v>
      </c>
      <c r="I26" s="1">
        <v>0</v>
      </c>
      <c r="J26" s="1">
        <v>0</v>
      </c>
      <c r="K26" s="1">
        <v>0</v>
      </c>
      <c r="L26" s="92">
        <f t="shared" si="0"/>
        <v>7500</v>
      </c>
      <c r="M26" s="92">
        <v>29000</v>
      </c>
      <c r="N26" s="92">
        <v>0</v>
      </c>
      <c r="O26" s="619">
        <v>239324</v>
      </c>
      <c r="P26" s="619">
        <v>234446</v>
      </c>
    </row>
    <row r="27" spans="1:16" ht="10.9" customHeight="1">
      <c r="A27" s="275" t="s">
        <v>292</v>
      </c>
      <c r="B27" s="1" t="s">
        <v>245</v>
      </c>
      <c r="C27" s="1">
        <v>10300</v>
      </c>
      <c r="D27" s="1">
        <v>0</v>
      </c>
      <c r="E27" s="1">
        <v>0</v>
      </c>
      <c r="F27" s="1">
        <v>0</v>
      </c>
      <c r="G27" s="1">
        <v>0</v>
      </c>
      <c r="H27" s="1">
        <v>0</v>
      </c>
      <c r="I27" s="1">
        <v>0</v>
      </c>
      <c r="J27" s="1">
        <v>0</v>
      </c>
      <c r="K27" s="1">
        <v>0</v>
      </c>
      <c r="L27" s="92">
        <f t="shared" si="0"/>
        <v>10300</v>
      </c>
      <c r="M27" s="92">
        <v>70000</v>
      </c>
      <c r="N27" s="92">
        <v>0</v>
      </c>
      <c r="O27" s="619">
        <v>176303</v>
      </c>
      <c r="P27" s="619">
        <v>169376</v>
      </c>
    </row>
    <row r="28" spans="1:16" ht="10.9" customHeight="1">
      <c r="A28" s="275" t="s">
        <v>293</v>
      </c>
      <c r="B28" s="1" t="s">
        <v>246</v>
      </c>
      <c r="C28" s="1">
        <v>95000</v>
      </c>
      <c r="D28" s="1">
        <v>0</v>
      </c>
      <c r="E28" s="1">
        <v>0</v>
      </c>
      <c r="F28" s="1">
        <v>0</v>
      </c>
      <c r="G28" s="1">
        <v>0</v>
      </c>
      <c r="H28" s="1">
        <v>0</v>
      </c>
      <c r="I28" s="1">
        <v>0</v>
      </c>
      <c r="J28" s="1">
        <v>0</v>
      </c>
      <c r="K28" s="1">
        <v>0</v>
      </c>
      <c r="L28" s="92">
        <f t="shared" si="0"/>
        <v>95000</v>
      </c>
      <c r="M28" s="92">
        <v>25000</v>
      </c>
      <c r="N28" s="92">
        <v>0</v>
      </c>
      <c r="O28" s="619">
        <v>328910</v>
      </c>
      <c r="P28" s="619">
        <v>317147</v>
      </c>
    </row>
    <row r="29" spans="1:16" ht="10.9" customHeight="1">
      <c r="A29" s="275" t="s">
        <v>294</v>
      </c>
      <c r="B29" s="1" t="s">
        <v>247</v>
      </c>
      <c r="C29" s="1">
        <v>1893500</v>
      </c>
      <c r="D29" s="1">
        <v>0</v>
      </c>
      <c r="E29" s="1">
        <v>0</v>
      </c>
      <c r="F29" s="1">
        <v>0</v>
      </c>
      <c r="G29" s="1">
        <v>1500</v>
      </c>
      <c r="H29" s="1">
        <v>0</v>
      </c>
      <c r="I29" s="1">
        <v>0</v>
      </c>
      <c r="J29" s="1">
        <v>0</v>
      </c>
      <c r="K29" s="1">
        <v>0</v>
      </c>
      <c r="L29" s="92">
        <f t="shared" si="0"/>
        <v>1895000</v>
      </c>
      <c r="M29" s="92">
        <v>80000</v>
      </c>
      <c r="N29" s="92">
        <v>817967</v>
      </c>
      <c r="O29" s="619">
        <v>477417</v>
      </c>
      <c r="P29" s="619">
        <v>467839</v>
      </c>
    </row>
    <row r="30" spans="1:16" ht="10.9" customHeight="1">
      <c r="A30" s="275" t="s">
        <v>295</v>
      </c>
      <c r="B30" s="1" t="s">
        <v>248</v>
      </c>
      <c r="C30" s="1">
        <v>29000</v>
      </c>
      <c r="D30" s="1">
        <v>0</v>
      </c>
      <c r="E30" s="1">
        <v>0</v>
      </c>
      <c r="F30" s="1">
        <v>0</v>
      </c>
      <c r="G30" s="1">
        <v>0</v>
      </c>
      <c r="H30" s="1">
        <v>0</v>
      </c>
      <c r="I30" s="1">
        <v>0</v>
      </c>
      <c r="J30" s="1">
        <v>0</v>
      </c>
      <c r="K30" s="1">
        <v>0</v>
      </c>
      <c r="L30" s="92">
        <f t="shared" si="0"/>
        <v>29000</v>
      </c>
      <c r="M30" s="92">
        <v>21000</v>
      </c>
      <c r="N30" s="92">
        <v>0</v>
      </c>
      <c r="O30" s="619">
        <v>281298</v>
      </c>
      <c r="P30" s="619">
        <v>273276</v>
      </c>
    </row>
    <row r="31" spans="1:16" ht="10.9" customHeight="1">
      <c r="A31" s="275" t="s">
        <v>296</v>
      </c>
      <c r="B31" s="1" t="s">
        <v>249</v>
      </c>
      <c r="C31" s="1">
        <v>50000</v>
      </c>
      <c r="D31" s="1">
        <v>0</v>
      </c>
      <c r="E31" s="1">
        <v>0</v>
      </c>
      <c r="F31" s="1">
        <v>0</v>
      </c>
      <c r="G31" s="1">
        <v>0</v>
      </c>
      <c r="H31" s="1">
        <v>0</v>
      </c>
      <c r="I31" s="1">
        <v>0</v>
      </c>
      <c r="J31" s="1">
        <v>0</v>
      </c>
      <c r="K31" s="1">
        <v>0</v>
      </c>
      <c r="L31" s="92">
        <f t="shared" si="0"/>
        <v>50000</v>
      </c>
      <c r="M31" s="92">
        <v>40000</v>
      </c>
      <c r="N31" s="92">
        <v>0</v>
      </c>
      <c r="O31" s="619">
        <v>291960</v>
      </c>
      <c r="P31" s="619">
        <v>284341</v>
      </c>
    </row>
    <row r="32" spans="1:16" ht="10.9" customHeight="1">
      <c r="A32" s="275" t="s">
        <v>297</v>
      </c>
      <c r="B32" s="1" t="s">
        <v>250</v>
      </c>
      <c r="C32" s="1">
        <v>195000</v>
      </c>
      <c r="D32" s="1">
        <v>0</v>
      </c>
      <c r="E32" s="1">
        <v>1300</v>
      </c>
      <c r="F32" s="1">
        <v>0</v>
      </c>
      <c r="G32" s="1">
        <v>0</v>
      </c>
      <c r="H32" s="1">
        <v>5500</v>
      </c>
      <c r="I32" s="1">
        <v>0</v>
      </c>
      <c r="J32" s="1">
        <v>0</v>
      </c>
      <c r="K32" s="1">
        <v>0</v>
      </c>
      <c r="L32" s="92">
        <f t="shared" si="0"/>
        <v>201800</v>
      </c>
      <c r="M32" s="92">
        <v>21000</v>
      </c>
      <c r="N32" s="92">
        <v>0</v>
      </c>
      <c r="O32" s="619">
        <v>361527</v>
      </c>
      <c r="P32" s="619">
        <v>353238</v>
      </c>
    </row>
    <row r="33" spans="1:16" ht="10.9" customHeight="1">
      <c r="A33" s="275" t="s">
        <v>298</v>
      </c>
      <c r="B33" s="1" t="s">
        <v>251</v>
      </c>
      <c r="C33" s="1">
        <v>115000</v>
      </c>
      <c r="D33" s="1">
        <v>0</v>
      </c>
      <c r="E33" s="1">
        <v>0</v>
      </c>
      <c r="F33" s="1">
        <v>0</v>
      </c>
      <c r="G33" s="1">
        <v>0</v>
      </c>
      <c r="H33" s="1">
        <v>11000</v>
      </c>
      <c r="I33" s="1">
        <v>0</v>
      </c>
      <c r="J33" s="1">
        <v>0</v>
      </c>
      <c r="K33" s="1">
        <v>0</v>
      </c>
      <c r="L33" s="92">
        <f t="shared" si="0"/>
        <v>126000</v>
      </c>
      <c r="M33" s="92">
        <v>32000</v>
      </c>
      <c r="N33" s="92">
        <v>0</v>
      </c>
      <c r="O33" s="619">
        <v>336280</v>
      </c>
      <c r="P33" s="619">
        <v>327177</v>
      </c>
    </row>
    <row r="34" spans="1:16" ht="10.9" customHeight="1">
      <c r="A34" s="275" t="s">
        <v>299</v>
      </c>
      <c r="B34" s="1" t="s">
        <v>252</v>
      </c>
      <c r="C34" s="1">
        <v>347967</v>
      </c>
      <c r="D34" s="1">
        <v>8865</v>
      </c>
      <c r="E34" s="1">
        <v>0</v>
      </c>
      <c r="F34" s="1">
        <v>0</v>
      </c>
      <c r="G34" s="1">
        <v>0</v>
      </c>
      <c r="H34" s="1">
        <v>26000</v>
      </c>
      <c r="I34" s="1">
        <v>0</v>
      </c>
      <c r="J34" s="1">
        <v>0</v>
      </c>
      <c r="K34" s="1">
        <v>0</v>
      </c>
      <c r="L34" s="92">
        <f t="shared" si="0"/>
        <v>382832</v>
      </c>
      <c r="M34" s="92">
        <v>39000</v>
      </c>
      <c r="N34" s="92">
        <v>0</v>
      </c>
      <c r="O34" s="619">
        <v>356869</v>
      </c>
      <c r="P34" s="619">
        <v>345642</v>
      </c>
    </row>
    <row r="35" spans="1:16" ht="10.9" customHeight="1">
      <c r="A35" s="275" t="s">
        <v>300</v>
      </c>
      <c r="B35" s="1" t="s">
        <v>253</v>
      </c>
      <c r="C35" s="1">
        <v>1000</v>
      </c>
      <c r="D35" s="1">
        <v>0</v>
      </c>
      <c r="E35" s="1">
        <v>0</v>
      </c>
      <c r="F35" s="1">
        <v>0</v>
      </c>
      <c r="G35" s="1">
        <v>3300</v>
      </c>
      <c r="H35" s="1">
        <v>33000</v>
      </c>
      <c r="I35" s="1">
        <v>0</v>
      </c>
      <c r="J35" s="1">
        <v>0</v>
      </c>
      <c r="K35" s="1">
        <v>0</v>
      </c>
      <c r="L35" s="92">
        <f t="shared" si="0"/>
        <v>37300</v>
      </c>
      <c r="M35" s="92">
        <v>60000</v>
      </c>
      <c r="N35" s="92">
        <v>0</v>
      </c>
      <c r="O35" s="619">
        <v>322136</v>
      </c>
      <c r="P35" s="619">
        <v>317185</v>
      </c>
    </row>
    <row r="36" spans="1:16" ht="10.9" customHeight="1">
      <c r="A36" s="275" t="s">
        <v>301</v>
      </c>
      <c r="B36" s="1" t="s">
        <v>254</v>
      </c>
      <c r="C36" s="1">
        <v>292750</v>
      </c>
      <c r="D36" s="1">
        <v>0</v>
      </c>
      <c r="E36" s="1">
        <v>0</v>
      </c>
      <c r="F36" s="1">
        <v>0</v>
      </c>
      <c r="G36" s="1">
        <v>500</v>
      </c>
      <c r="H36" s="1">
        <v>0</v>
      </c>
      <c r="I36" s="1">
        <v>0</v>
      </c>
      <c r="J36" s="1">
        <v>0</v>
      </c>
      <c r="K36" s="1">
        <v>0</v>
      </c>
      <c r="L36" s="92">
        <f t="shared" si="0"/>
        <v>293250</v>
      </c>
      <c r="M36" s="92">
        <v>27000</v>
      </c>
      <c r="N36" s="92">
        <v>0</v>
      </c>
      <c r="O36" s="619">
        <v>384825</v>
      </c>
      <c r="P36" s="619">
        <v>368589</v>
      </c>
    </row>
    <row r="37" spans="1:16" ht="10.9" customHeight="1">
      <c r="A37" s="275" t="s">
        <v>302</v>
      </c>
      <c r="B37" s="1" t="s">
        <v>255</v>
      </c>
      <c r="C37" s="1">
        <v>550950</v>
      </c>
      <c r="D37" s="1">
        <v>0</v>
      </c>
      <c r="E37" s="1">
        <v>0</v>
      </c>
      <c r="F37" s="1">
        <v>0</v>
      </c>
      <c r="G37" s="1">
        <v>0</v>
      </c>
      <c r="H37" s="1">
        <v>0</v>
      </c>
      <c r="I37" s="1">
        <v>0</v>
      </c>
      <c r="J37" s="1">
        <v>0</v>
      </c>
      <c r="K37" s="1">
        <v>0</v>
      </c>
      <c r="L37" s="92">
        <f t="shared" si="0"/>
        <v>550950</v>
      </c>
      <c r="M37" s="92">
        <v>37000</v>
      </c>
      <c r="N37" s="92">
        <v>0</v>
      </c>
      <c r="O37" s="619">
        <v>244406</v>
      </c>
      <c r="P37" s="619">
        <v>241790</v>
      </c>
    </row>
    <row r="38" spans="1:16" ht="10.9" customHeight="1">
      <c r="A38" s="275" t="s">
        <v>303</v>
      </c>
      <c r="B38" s="1" t="s">
        <v>256</v>
      </c>
      <c r="C38" s="1">
        <v>866000</v>
      </c>
      <c r="D38" s="1">
        <v>296800</v>
      </c>
      <c r="E38" s="1">
        <v>0</v>
      </c>
      <c r="F38" s="1">
        <v>0</v>
      </c>
      <c r="G38" s="1">
        <v>0</v>
      </c>
      <c r="H38" s="1">
        <v>121000</v>
      </c>
      <c r="I38" s="1">
        <v>0</v>
      </c>
      <c r="J38" s="1">
        <v>0</v>
      </c>
      <c r="K38" s="1">
        <v>0</v>
      </c>
      <c r="L38" s="92">
        <f>SUM(C38:I38)-J38+K38</f>
        <v>1283800</v>
      </c>
      <c r="M38" s="92">
        <v>62000</v>
      </c>
      <c r="N38" s="92">
        <v>0</v>
      </c>
      <c r="O38" s="619">
        <v>250139</v>
      </c>
      <c r="P38" s="619">
        <v>253401</v>
      </c>
    </row>
    <row r="39" spans="1:16" ht="10.9" customHeight="1">
      <c r="A39" s="275" t="s">
        <v>304</v>
      </c>
      <c r="B39" s="1" t="s">
        <v>257</v>
      </c>
      <c r="C39" s="1">
        <v>107000</v>
      </c>
      <c r="D39" s="1">
        <v>0</v>
      </c>
      <c r="E39" s="1">
        <v>0</v>
      </c>
      <c r="F39" s="1">
        <v>0</v>
      </c>
      <c r="G39" s="1">
        <v>0</v>
      </c>
      <c r="H39" s="1">
        <v>0</v>
      </c>
      <c r="I39" s="1">
        <v>0</v>
      </c>
      <c r="J39" s="1">
        <v>0</v>
      </c>
      <c r="K39" s="1">
        <v>0</v>
      </c>
      <c r="L39" s="92">
        <f t="shared" ref="L39:L46" si="1">SUM(C39:I39)-J39+K39</f>
        <v>107000</v>
      </c>
      <c r="M39" s="92">
        <v>13168</v>
      </c>
      <c r="N39" s="92">
        <v>0</v>
      </c>
      <c r="O39" s="619">
        <v>435619</v>
      </c>
      <c r="P39" s="619">
        <v>411481</v>
      </c>
    </row>
    <row r="40" spans="1:16" ht="10.9" customHeight="1">
      <c r="A40" s="275" t="s">
        <v>305</v>
      </c>
      <c r="B40" s="1" t="s">
        <v>258</v>
      </c>
      <c r="C40" s="1">
        <v>460000</v>
      </c>
      <c r="D40" s="1">
        <v>0</v>
      </c>
      <c r="E40" s="1">
        <v>0</v>
      </c>
      <c r="F40" s="1">
        <v>6000</v>
      </c>
      <c r="G40" s="1">
        <v>0</v>
      </c>
      <c r="H40" s="1">
        <v>0</v>
      </c>
      <c r="I40" s="1">
        <v>0</v>
      </c>
      <c r="J40" s="1">
        <v>0</v>
      </c>
      <c r="K40" s="1">
        <v>0</v>
      </c>
      <c r="L40" s="92">
        <f t="shared" si="1"/>
        <v>466000</v>
      </c>
      <c r="M40" s="92">
        <v>1400</v>
      </c>
      <c r="N40" s="92">
        <v>314077</v>
      </c>
      <c r="O40" s="619">
        <v>462221</v>
      </c>
      <c r="P40" s="619">
        <v>460516</v>
      </c>
    </row>
    <row r="41" spans="1:16" ht="10.9" customHeight="1">
      <c r="A41" s="275" t="s">
        <v>306</v>
      </c>
      <c r="B41" s="1" t="s">
        <v>259</v>
      </c>
      <c r="C41" s="1">
        <v>550000</v>
      </c>
      <c r="D41" s="1">
        <v>100000</v>
      </c>
      <c r="E41" s="1">
        <v>30000</v>
      </c>
      <c r="F41" s="1">
        <v>0</v>
      </c>
      <c r="G41" s="1">
        <v>-10000</v>
      </c>
      <c r="H41" s="1">
        <v>0</v>
      </c>
      <c r="I41" s="1">
        <v>0</v>
      </c>
      <c r="J41" s="1">
        <v>0</v>
      </c>
      <c r="K41" s="1">
        <v>0</v>
      </c>
      <c r="L41" s="92">
        <f t="shared" si="1"/>
        <v>670000</v>
      </c>
      <c r="M41" s="92">
        <v>45000</v>
      </c>
      <c r="N41" s="92">
        <v>0</v>
      </c>
      <c r="O41" s="619">
        <v>396863</v>
      </c>
      <c r="P41" s="619">
        <v>380872</v>
      </c>
    </row>
    <row r="42" spans="1:16" ht="10.9" customHeight="1">
      <c r="A42" s="275" t="s">
        <v>307</v>
      </c>
      <c r="B42" s="1" t="s">
        <v>260</v>
      </c>
      <c r="C42" s="1">
        <v>1300</v>
      </c>
      <c r="D42" s="1">
        <v>0</v>
      </c>
      <c r="E42" s="1">
        <v>0</v>
      </c>
      <c r="F42" s="1">
        <v>0</v>
      </c>
      <c r="G42" s="1">
        <v>0</v>
      </c>
      <c r="H42" s="1">
        <v>0</v>
      </c>
      <c r="I42" s="1">
        <v>0</v>
      </c>
      <c r="J42" s="1">
        <v>0</v>
      </c>
      <c r="K42" s="1">
        <v>0</v>
      </c>
      <c r="L42" s="92">
        <f t="shared" si="1"/>
        <v>1300</v>
      </c>
      <c r="M42" s="92">
        <v>30300</v>
      </c>
      <c r="N42" s="92">
        <v>0</v>
      </c>
      <c r="O42" s="619">
        <v>241928</v>
      </c>
      <c r="P42" s="619">
        <v>232150</v>
      </c>
    </row>
    <row r="43" spans="1:16" ht="10.9" customHeight="1">
      <c r="A43" s="275" t="s">
        <v>308</v>
      </c>
      <c r="B43" s="1" t="s">
        <v>261</v>
      </c>
      <c r="C43" s="1">
        <v>26000</v>
      </c>
      <c r="D43" s="1">
        <v>0</v>
      </c>
      <c r="E43" s="1">
        <v>0</v>
      </c>
      <c r="F43" s="1">
        <v>0</v>
      </c>
      <c r="G43" s="1">
        <v>0</v>
      </c>
      <c r="H43" s="1">
        <v>0</v>
      </c>
      <c r="I43" s="1">
        <v>0</v>
      </c>
      <c r="J43" s="1">
        <v>0</v>
      </c>
      <c r="K43" s="1">
        <v>0</v>
      </c>
      <c r="L43" s="92">
        <f t="shared" si="1"/>
        <v>26000</v>
      </c>
      <c r="M43" s="92">
        <v>17600</v>
      </c>
      <c r="N43" s="92">
        <v>0</v>
      </c>
      <c r="O43" s="619">
        <v>354995</v>
      </c>
      <c r="P43" s="619">
        <v>348361</v>
      </c>
    </row>
    <row r="44" spans="1:16" ht="10.9" customHeight="1">
      <c r="A44" s="275" t="s">
        <v>309</v>
      </c>
      <c r="B44" s="1" t="s">
        <v>262</v>
      </c>
      <c r="C44" s="1">
        <v>135190</v>
      </c>
      <c r="D44" s="1">
        <v>0</v>
      </c>
      <c r="E44" s="1">
        <v>0</v>
      </c>
      <c r="F44" s="1">
        <v>0</v>
      </c>
      <c r="G44" s="1">
        <v>0</v>
      </c>
      <c r="H44" s="1">
        <v>0</v>
      </c>
      <c r="I44" s="1">
        <v>500</v>
      </c>
      <c r="J44" s="1">
        <v>0</v>
      </c>
      <c r="K44" s="1">
        <v>0</v>
      </c>
      <c r="L44" s="92">
        <f t="shared" si="1"/>
        <v>135690</v>
      </c>
      <c r="M44" s="92">
        <v>14000</v>
      </c>
      <c r="N44" s="92">
        <v>0</v>
      </c>
      <c r="O44" s="619">
        <v>186381</v>
      </c>
      <c r="P44" s="619">
        <v>182473</v>
      </c>
    </row>
    <row r="45" spans="1:16" ht="10.9" customHeight="1">
      <c r="A45" s="275" t="s">
        <v>310</v>
      </c>
      <c r="B45" s="1" t="s">
        <v>263</v>
      </c>
      <c r="C45" s="1">
        <v>166600</v>
      </c>
      <c r="D45" s="1">
        <v>0</v>
      </c>
      <c r="E45" s="1">
        <v>7000</v>
      </c>
      <c r="F45" s="1">
        <v>0</v>
      </c>
      <c r="G45" s="1">
        <v>-7000</v>
      </c>
      <c r="H45" s="1">
        <v>0</v>
      </c>
      <c r="I45" s="1">
        <v>0</v>
      </c>
      <c r="J45" s="1">
        <v>0</v>
      </c>
      <c r="K45" s="1">
        <v>0</v>
      </c>
      <c r="L45" s="92">
        <f t="shared" si="1"/>
        <v>166600</v>
      </c>
      <c r="M45" s="92">
        <v>15000</v>
      </c>
      <c r="N45" s="92">
        <v>0</v>
      </c>
      <c r="O45" s="619">
        <v>247042</v>
      </c>
      <c r="P45" s="619">
        <v>237925</v>
      </c>
    </row>
    <row r="46" spans="1:16" ht="10.9" customHeight="1">
      <c r="A46" s="275" t="s">
        <v>311</v>
      </c>
      <c r="B46" s="1" t="s">
        <v>264</v>
      </c>
      <c r="C46" s="1">
        <v>1950000</v>
      </c>
      <c r="D46" s="1">
        <v>269700</v>
      </c>
      <c r="E46" s="1">
        <v>0</v>
      </c>
      <c r="F46" s="1">
        <v>0</v>
      </c>
      <c r="G46" s="1">
        <v>12000</v>
      </c>
      <c r="H46" s="1">
        <v>84000</v>
      </c>
      <c r="I46" s="1">
        <v>3000</v>
      </c>
      <c r="J46" s="1">
        <v>0</v>
      </c>
      <c r="K46" s="1">
        <v>0</v>
      </c>
      <c r="L46" s="92">
        <f t="shared" si="1"/>
        <v>2318700</v>
      </c>
      <c r="M46" s="92">
        <v>0</v>
      </c>
      <c r="N46" s="92">
        <v>0</v>
      </c>
      <c r="O46" s="619">
        <v>313548</v>
      </c>
      <c r="P46" s="619">
        <v>312565</v>
      </c>
    </row>
    <row r="47" spans="1:16" ht="3.95" customHeight="1">
      <c r="A47" s="275"/>
    </row>
    <row r="48" spans="1:16">
      <c r="A48" s="275"/>
      <c r="B48" s="1" t="s">
        <v>265</v>
      </c>
      <c r="C48" s="1">
        <f t="shared" ref="C48:N48" si="2">SUM(C11:C46)</f>
        <v>14069660</v>
      </c>
      <c r="D48" s="1">
        <f t="shared" si="2"/>
        <v>1005365</v>
      </c>
      <c r="E48" s="1">
        <f t="shared" si="2"/>
        <v>1344300</v>
      </c>
      <c r="F48" s="1">
        <f t="shared" si="2"/>
        <v>28000</v>
      </c>
      <c r="G48" s="1">
        <f t="shared" si="2"/>
        <v>128460</v>
      </c>
      <c r="H48" s="1">
        <f t="shared" si="2"/>
        <v>469450</v>
      </c>
      <c r="I48" s="1">
        <f t="shared" si="2"/>
        <v>313500</v>
      </c>
      <c r="J48" s="1">
        <f t="shared" si="2"/>
        <v>0</v>
      </c>
      <c r="K48" s="1">
        <f t="shared" si="2"/>
        <v>0</v>
      </c>
      <c r="L48" s="1">
        <f t="shared" si="2"/>
        <v>17358735</v>
      </c>
      <c r="M48" s="1">
        <f t="shared" si="2"/>
        <v>1113671</v>
      </c>
      <c r="N48" s="1">
        <f t="shared" si="2"/>
        <v>1432449</v>
      </c>
      <c r="O48" s="619">
        <v>322662.28382405615</v>
      </c>
      <c r="P48" s="619">
        <v>317611.57242136996</v>
      </c>
    </row>
    <row r="49" spans="1:16" ht="3.95" customHeight="1">
      <c r="A49" s="275"/>
      <c r="B49" s="1" t="s">
        <v>3</v>
      </c>
    </row>
    <row r="50" spans="1:16" ht="11.1" customHeight="1">
      <c r="A50" s="275" t="s">
        <v>313</v>
      </c>
      <c r="B50" s="1" t="s">
        <v>266</v>
      </c>
      <c r="C50" s="1">
        <v>0</v>
      </c>
      <c r="D50" s="1">
        <v>0</v>
      </c>
      <c r="E50" s="1">
        <v>0</v>
      </c>
      <c r="F50" s="1">
        <v>9500</v>
      </c>
      <c r="G50" s="1">
        <v>0</v>
      </c>
      <c r="H50" s="1">
        <v>0</v>
      </c>
      <c r="I50" s="1">
        <v>2500</v>
      </c>
      <c r="J50" s="1">
        <v>0</v>
      </c>
      <c r="K50" s="1">
        <v>0</v>
      </c>
      <c r="L50" s="92">
        <f>SUM(C50:I50)-J50+K50</f>
        <v>12000</v>
      </c>
      <c r="M50" s="92">
        <v>12000</v>
      </c>
      <c r="N50" s="92">
        <v>0</v>
      </c>
      <c r="O50" s="620" t="s">
        <v>653</v>
      </c>
      <c r="P50" s="620" t="s">
        <v>653</v>
      </c>
    </row>
    <row r="51" spans="1:16" ht="10.9" customHeight="1">
      <c r="A51" s="275" t="s">
        <v>312</v>
      </c>
      <c r="B51" s="1" t="s">
        <v>267</v>
      </c>
      <c r="C51" s="1">
        <v>0</v>
      </c>
      <c r="D51" s="1">
        <v>0</v>
      </c>
      <c r="E51" s="1">
        <v>448114</v>
      </c>
      <c r="F51" s="1">
        <v>144588</v>
      </c>
      <c r="G51" s="1">
        <v>0</v>
      </c>
      <c r="H51" s="1">
        <v>0</v>
      </c>
      <c r="I51" s="1">
        <v>0</v>
      </c>
      <c r="J51" s="1">
        <v>0</v>
      </c>
      <c r="K51" s="1">
        <v>0</v>
      </c>
      <c r="L51" s="92">
        <f>SUM(C51:I51)-J51+K51</f>
        <v>592702</v>
      </c>
      <c r="M51" s="92">
        <v>12000</v>
      </c>
      <c r="N51" s="92">
        <v>0</v>
      </c>
    </row>
    <row r="52" spans="1:16" ht="3.95" customHeight="1"/>
    <row r="53" spans="1:16" ht="10.9" customHeight="1"/>
    <row r="54" spans="1:16" ht="10.9" customHeight="1">
      <c r="B54" s="1" t="s">
        <v>574</v>
      </c>
      <c r="C54" s="1">
        <v>14069660</v>
      </c>
      <c r="D54" s="1">
        <v>1005365</v>
      </c>
      <c r="E54" s="1">
        <v>1344300</v>
      </c>
      <c r="F54" s="1">
        <v>28000</v>
      </c>
      <c r="G54" s="1">
        <v>128460</v>
      </c>
      <c r="H54" s="1">
        <v>469450</v>
      </c>
      <c r="I54" s="1">
        <v>313500</v>
      </c>
      <c r="J54" s="1">
        <v>0</v>
      </c>
      <c r="K54" s="1">
        <v>0</v>
      </c>
      <c r="L54" s="92">
        <f>SUM(C54:I54)-J54+K54</f>
        <v>17358735</v>
      </c>
    </row>
    <row r="55" spans="1:16">
      <c r="B55" s="603" t="s">
        <v>573</v>
      </c>
      <c r="C55" s="603">
        <f>+C48-C54</f>
        <v>0</v>
      </c>
      <c r="D55" s="603">
        <f t="shared" ref="D55:L55" si="3">+D48-D54</f>
        <v>0</v>
      </c>
      <c r="E55" s="603">
        <f t="shared" si="3"/>
        <v>0</v>
      </c>
      <c r="F55" s="603">
        <f t="shared" si="3"/>
        <v>0</v>
      </c>
      <c r="G55" s="603">
        <f t="shared" si="3"/>
        <v>0</v>
      </c>
      <c r="H55" s="603">
        <f t="shared" si="3"/>
        <v>0</v>
      </c>
      <c r="I55" s="603">
        <f t="shared" si="3"/>
        <v>0</v>
      </c>
      <c r="J55" s="603">
        <f t="shared" si="3"/>
        <v>0</v>
      </c>
      <c r="K55" s="603">
        <f t="shared" si="3"/>
        <v>0</v>
      </c>
      <c r="L55" s="603">
        <f t="shared" si="3"/>
        <v>0</v>
      </c>
      <c r="M55" s="603"/>
      <c r="N55" s="603"/>
    </row>
  </sheetData>
  <phoneticPr fontId="0" type="noConversion"/>
  <pageMargins left="0.25" right="0.6" top="0.6" bottom="0.2" header="0.5" footer="0.5"/>
  <pageSetup paperSize="5" scale="87" orientation="landscape" horizont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sheetPr codeName="Sheet5">
    <pageSetUpPr fitToPage="1"/>
  </sheetPr>
  <dimension ref="A1:G63"/>
  <sheetViews>
    <sheetView showGridLines="0" showZeros="0" workbookViewId="0"/>
  </sheetViews>
  <sheetFormatPr defaultColWidth="16.83203125" defaultRowHeight="12"/>
  <cols>
    <col min="1" max="1" width="32.83203125" style="1" customWidth="1"/>
    <col min="2" max="7" width="16.83203125" style="1" customWidth="1"/>
    <col min="8" max="16384" width="16.83203125" style="1"/>
  </cols>
  <sheetData>
    <row r="1" spans="1:7" ht="6.95" customHeight="1">
      <c r="A1" s="3"/>
      <c r="B1" s="4"/>
      <c r="C1" s="4"/>
      <c r="D1" s="4"/>
      <c r="E1" s="4"/>
      <c r="F1" s="4"/>
    </row>
    <row r="2" spans="1:7" ht="15.95" customHeight="1">
      <c r="A2" s="41"/>
      <c r="B2" s="126" t="s">
        <v>170</v>
      </c>
      <c r="C2" s="6"/>
      <c r="D2" s="6"/>
      <c r="E2" s="6"/>
      <c r="F2" s="106"/>
      <c r="G2" s="106"/>
    </row>
    <row r="3" spans="1:7" ht="15.95" customHeight="1">
      <c r="A3" s="45"/>
      <c r="B3" s="107" t="s">
        <v>377</v>
      </c>
      <c r="C3" s="8"/>
      <c r="D3" s="8"/>
      <c r="E3" s="8"/>
      <c r="F3" s="108"/>
      <c r="G3" s="108"/>
    </row>
    <row r="4" spans="1:7" ht="15.95" customHeight="1">
      <c r="B4" s="4"/>
      <c r="C4" s="4"/>
      <c r="D4" s="4"/>
      <c r="E4" s="4"/>
      <c r="F4" s="4"/>
    </row>
    <row r="5" spans="1:7" ht="15.95" customHeight="1">
      <c r="B5" s="381" t="s">
        <v>392</v>
      </c>
      <c r="C5" s="382"/>
      <c r="D5" s="383"/>
      <c r="E5" s="384" t="s">
        <v>393</v>
      </c>
      <c r="F5" s="385" t="s">
        <v>394</v>
      </c>
      <c r="G5" s="386" t="s">
        <v>394</v>
      </c>
    </row>
    <row r="6" spans="1:7" ht="15.95" customHeight="1">
      <c r="B6" s="648" t="s">
        <v>185</v>
      </c>
      <c r="C6" s="649"/>
      <c r="D6" s="650"/>
      <c r="E6" s="109" t="s">
        <v>186</v>
      </c>
      <c r="F6" s="110" t="s">
        <v>185</v>
      </c>
      <c r="G6" s="110" t="s">
        <v>185</v>
      </c>
    </row>
    <row r="7" spans="1:7" ht="15.95" customHeight="1">
      <c r="B7" s="651" t="s">
        <v>665</v>
      </c>
      <c r="C7" s="652"/>
      <c r="D7" s="653"/>
      <c r="E7" s="124" t="s">
        <v>676</v>
      </c>
      <c r="F7" s="124" t="s">
        <v>665</v>
      </c>
      <c r="G7" s="124" t="s">
        <v>648</v>
      </c>
    </row>
    <row r="8" spans="1:7" ht="15.95" customHeight="1">
      <c r="A8" s="102"/>
      <c r="B8" s="532" t="s">
        <v>459</v>
      </c>
      <c r="C8" s="533" t="s">
        <v>71</v>
      </c>
      <c r="D8" s="532" t="s">
        <v>460</v>
      </c>
      <c r="E8" s="533" t="s">
        <v>458</v>
      </c>
      <c r="F8" s="533" t="s">
        <v>460</v>
      </c>
      <c r="G8" s="11" t="s">
        <v>460</v>
      </c>
    </row>
    <row r="9" spans="1:7" ht="15.95" customHeight="1">
      <c r="A9" s="35" t="s">
        <v>81</v>
      </c>
      <c r="B9" s="534" t="s">
        <v>171</v>
      </c>
      <c r="C9" s="534" t="s">
        <v>171</v>
      </c>
      <c r="D9" s="534" t="s">
        <v>171</v>
      </c>
      <c r="E9" s="535" t="s">
        <v>171</v>
      </c>
      <c r="F9" s="535" t="s">
        <v>171</v>
      </c>
      <c r="G9" s="125" t="s">
        <v>171</v>
      </c>
    </row>
    <row r="10" spans="1:7" ht="5.0999999999999996" customHeight="1">
      <c r="A10" s="37"/>
    </row>
    <row r="11" spans="1:7" ht="14.1" customHeight="1">
      <c r="A11" s="360" t="s">
        <v>230</v>
      </c>
      <c r="B11" s="361">
        <v>1566</v>
      </c>
      <c r="C11" s="361">
        <v>0</v>
      </c>
      <c r="D11" s="361">
        <v>1566</v>
      </c>
      <c r="E11" s="387">
        <f>'- 7 -'!F11</f>
        <v>1531.5</v>
      </c>
      <c r="F11" s="387">
        <v>1497.5</v>
      </c>
      <c r="G11" s="387">
        <v>1428.5</v>
      </c>
    </row>
    <row r="12" spans="1:7" ht="14.1" customHeight="1">
      <c r="A12" s="23" t="s">
        <v>231</v>
      </c>
      <c r="B12" s="24">
        <v>2323</v>
      </c>
      <c r="C12" s="24">
        <v>0</v>
      </c>
      <c r="D12" s="24">
        <v>2323</v>
      </c>
      <c r="E12" s="67">
        <f>'- 7 -'!F12</f>
        <v>2278.1000000000004</v>
      </c>
      <c r="F12" s="67">
        <v>2142.4</v>
      </c>
      <c r="G12" s="67">
        <v>2190</v>
      </c>
    </row>
    <row r="13" spans="1:7" ht="14.1" customHeight="1">
      <c r="A13" s="360" t="s">
        <v>232</v>
      </c>
      <c r="B13" s="361">
        <v>8203</v>
      </c>
      <c r="C13" s="361">
        <v>0</v>
      </c>
      <c r="D13" s="361">
        <v>8203</v>
      </c>
      <c r="E13" s="387">
        <f>'- 7 -'!F13</f>
        <v>8084.0300000000007</v>
      </c>
      <c r="F13" s="387">
        <v>7789.5</v>
      </c>
      <c r="G13" s="387">
        <v>7522.4</v>
      </c>
    </row>
    <row r="14" spans="1:7" ht="14.1" customHeight="1">
      <c r="A14" s="23" t="s">
        <v>578</v>
      </c>
      <c r="B14" s="24">
        <v>5094</v>
      </c>
      <c r="C14" s="24">
        <v>0</v>
      </c>
      <c r="D14" s="24">
        <v>5094</v>
      </c>
      <c r="E14" s="67">
        <f>'- 7 -'!F14</f>
        <v>5215</v>
      </c>
      <c r="F14" s="67">
        <v>4837.7</v>
      </c>
      <c r="G14" s="67">
        <v>4705.1000000000004</v>
      </c>
    </row>
    <row r="15" spans="1:7" ht="14.1" customHeight="1">
      <c r="A15" s="360" t="s">
        <v>233</v>
      </c>
      <c r="B15" s="361">
        <v>1598</v>
      </c>
      <c r="C15" s="361">
        <v>0</v>
      </c>
      <c r="D15" s="361">
        <v>1598</v>
      </c>
      <c r="E15" s="387">
        <f>'- 7 -'!F15</f>
        <v>1520</v>
      </c>
      <c r="F15" s="387">
        <v>1512</v>
      </c>
      <c r="G15" s="387">
        <v>1499.6</v>
      </c>
    </row>
    <row r="16" spans="1:7" ht="14.1" customHeight="1">
      <c r="A16" s="23" t="s">
        <v>234</v>
      </c>
      <c r="B16" s="24">
        <v>1036</v>
      </c>
      <c r="C16" s="24">
        <v>0</v>
      </c>
      <c r="D16" s="24">
        <v>1036</v>
      </c>
      <c r="E16" s="67">
        <f>'- 7 -'!F16</f>
        <v>995</v>
      </c>
      <c r="F16" s="67">
        <v>956.6</v>
      </c>
      <c r="G16" s="67">
        <v>959.4</v>
      </c>
    </row>
    <row r="17" spans="1:7" ht="14.1" customHeight="1">
      <c r="A17" s="360" t="s">
        <v>235</v>
      </c>
      <c r="B17" s="361">
        <v>1352</v>
      </c>
      <c r="C17" s="361">
        <v>0</v>
      </c>
      <c r="D17" s="361">
        <v>1352</v>
      </c>
      <c r="E17" s="387">
        <f>'- 7 -'!F17</f>
        <v>1300.5</v>
      </c>
      <c r="F17" s="387">
        <v>1265</v>
      </c>
      <c r="G17" s="387">
        <v>1273.7</v>
      </c>
    </row>
    <row r="18" spans="1:7" ht="14.1" customHeight="1">
      <c r="A18" s="23" t="s">
        <v>236</v>
      </c>
      <c r="B18" s="24">
        <v>6553</v>
      </c>
      <c r="C18" s="24">
        <v>507</v>
      </c>
      <c r="D18" s="24">
        <v>6046</v>
      </c>
      <c r="E18" s="67">
        <f>'- 7 -'!F18</f>
        <v>6232.5</v>
      </c>
      <c r="F18" s="67">
        <v>2416.5</v>
      </c>
      <c r="G18" s="67">
        <v>2482.9</v>
      </c>
    </row>
    <row r="19" spans="1:7" ht="14.1" customHeight="1">
      <c r="A19" s="360" t="s">
        <v>237</v>
      </c>
      <c r="B19" s="361">
        <v>4340</v>
      </c>
      <c r="C19" s="361">
        <v>0</v>
      </c>
      <c r="D19" s="361">
        <v>4340</v>
      </c>
      <c r="E19" s="387">
        <f>'- 7 -'!F19</f>
        <v>4209</v>
      </c>
      <c r="F19" s="387">
        <v>4168.2</v>
      </c>
      <c r="G19" s="387">
        <v>4113.6000000000004</v>
      </c>
    </row>
    <row r="20" spans="1:7" ht="14.1" customHeight="1">
      <c r="A20" s="23" t="s">
        <v>238</v>
      </c>
      <c r="B20" s="24">
        <v>7708</v>
      </c>
      <c r="C20" s="24">
        <v>0</v>
      </c>
      <c r="D20" s="24">
        <v>7708</v>
      </c>
      <c r="E20" s="67">
        <f>'- 7 -'!F20</f>
        <v>7539.5</v>
      </c>
      <c r="F20" s="67">
        <v>7381.4</v>
      </c>
      <c r="G20" s="67">
        <v>7288</v>
      </c>
    </row>
    <row r="21" spans="1:7" ht="14.1" customHeight="1">
      <c r="A21" s="360" t="s">
        <v>239</v>
      </c>
      <c r="B21" s="361">
        <v>2859</v>
      </c>
      <c r="C21" s="361">
        <v>0</v>
      </c>
      <c r="D21" s="361">
        <v>2859</v>
      </c>
      <c r="E21" s="387">
        <f>'- 7 -'!F21</f>
        <v>2690</v>
      </c>
      <c r="F21" s="387">
        <v>2757.3</v>
      </c>
      <c r="G21" s="387">
        <v>2836.4</v>
      </c>
    </row>
    <row r="22" spans="1:7" ht="14.1" customHeight="1">
      <c r="A22" s="23" t="s">
        <v>240</v>
      </c>
      <c r="B22" s="24">
        <v>1689</v>
      </c>
      <c r="C22" s="24">
        <v>0</v>
      </c>
      <c r="D22" s="24">
        <v>1689</v>
      </c>
      <c r="E22" s="67">
        <f>'- 7 -'!F22</f>
        <v>1619</v>
      </c>
      <c r="F22" s="67">
        <v>1602.3</v>
      </c>
      <c r="G22" s="67">
        <v>1565.2</v>
      </c>
    </row>
    <row r="23" spans="1:7" ht="14.1" customHeight="1">
      <c r="A23" s="360" t="s">
        <v>241</v>
      </c>
      <c r="B23" s="361">
        <v>1228</v>
      </c>
      <c r="C23" s="361">
        <v>0</v>
      </c>
      <c r="D23" s="361">
        <v>1228</v>
      </c>
      <c r="E23" s="387">
        <f>'- 7 -'!F23</f>
        <v>1182</v>
      </c>
      <c r="F23" s="387">
        <v>1077.2</v>
      </c>
      <c r="G23" s="387">
        <v>1068.9000000000001</v>
      </c>
    </row>
    <row r="24" spans="1:7" ht="14.1" customHeight="1">
      <c r="A24" s="23" t="s">
        <v>242</v>
      </c>
      <c r="B24" s="24">
        <v>4393</v>
      </c>
      <c r="C24" s="24">
        <v>0</v>
      </c>
      <c r="D24" s="24">
        <v>4393</v>
      </c>
      <c r="E24" s="67">
        <f>'- 7 -'!F24</f>
        <v>4196.5</v>
      </c>
      <c r="F24" s="67">
        <v>4165.2</v>
      </c>
      <c r="G24" s="67">
        <v>4237.6000000000004</v>
      </c>
    </row>
    <row r="25" spans="1:7" ht="14.1" customHeight="1">
      <c r="A25" s="360" t="s">
        <v>243</v>
      </c>
      <c r="B25" s="361">
        <v>14288</v>
      </c>
      <c r="C25" s="361">
        <v>0</v>
      </c>
      <c r="D25" s="361">
        <v>14288</v>
      </c>
      <c r="E25" s="387">
        <f>'- 7 -'!F25</f>
        <v>13807</v>
      </c>
      <c r="F25" s="387">
        <v>13558.8</v>
      </c>
      <c r="G25" s="387">
        <v>13592.8</v>
      </c>
    </row>
    <row r="26" spans="1:7" ht="14.1" customHeight="1">
      <c r="A26" s="23" t="s">
        <v>244</v>
      </c>
      <c r="B26" s="24">
        <v>3214</v>
      </c>
      <c r="C26" s="24">
        <v>0</v>
      </c>
      <c r="D26" s="24">
        <v>3214</v>
      </c>
      <c r="E26" s="67">
        <f>'- 7 -'!F26</f>
        <v>3088.5</v>
      </c>
      <c r="F26" s="67">
        <v>2963.9</v>
      </c>
      <c r="G26" s="67">
        <v>2948.8</v>
      </c>
    </row>
    <row r="27" spans="1:7" ht="14.1" customHeight="1">
      <c r="A27" s="360" t="s">
        <v>245</v>
      </c>
      <c r="B27" s="361">
        <v>2869</v>
      </c>
      <c r="C27" s="361">
        <v>0</v>
      </c>
      <c r="D27" s="361">
        <v>2869</v>
      </c>
      <c r="E27" s="387">
        <f>'- 7 -'!F27</f>
        <v>2751</v>
      </c>
      <c r="F27" s="387">
        <v>2685.5</v>
      </c>
      <c r="G27" s="387">
        <v>2748.3</v>
      </c>
    </row>
    <row r="28" spans="1:7" ht="14.1" customHeight="1">
      <c r="A28" s="23" t="s">
        <v>246</v>
      </c>
      <c r="B28" s="24">
        <v>2064</v>
      </c>
      <c r="C28" s="24">
        <v>0</v>
      </c>
      <c r="D28" s="24">
        <v>2064</v>
      </c>
      <c r="E28" s="67">
        <f>'- 7 -'!F28</f>
        <v>1975</v>
      </c>
      <c r="F28" s="67">
        <v>1505.5</v>
      </c>
      <c r="G28" s="67">
        <v>1528.5</v>
      </c>
    </row>
    <row r="29" spans="1:7" ht="14.1" customHeight="1">
      <c r="A29" s="360" t="s">
        <v>247</v>
      </c>
      <c r="B29" s="361">
        <v>12691</v>
      </c>
      <c r="C29" s="361">
        <v>0</v>
      </c>
      <c r="D29" s="361">
        <v>12691</v>
      </c>
      <c r="E29" s="387">
        <f>'- 7 -'!F29</f>
        <v>12087.5</v>
      </c>
      <c r="F29" s="387">
        <v>12080.7</v>
      </c>
      <c r="G29" s="387">
        <v>12073.8</v>
      </c>
    </row>
    <row r="30" spans="1:7" ht="14.1" customHeight="1">
      <c r="A30" s="23" t="s">
        <v>248</v>
      </c>
      <c r="B30" s="24">
        <v>1116</v>
      </c>
      <c r="C30" s="24">
        <v>0</v>
      </c>
      <c r="D30" s="24">
        <v>1116</v>
      </c>
      <c r="E30" s="67">
        <f>'- 7 -'!F30</f>
        <v>1070</v>
      </c>
      <c r="F30" s="67">
        <v>1073.8</v>
      </c>
      <c r="G30" s="67">
        <v>1097</v>
      </c>
    </row>
    <row r="31" spans="1:7" ht="14.1" customHeight="1">
      <c r="A31" s="360" t="s">
        <v>249</v>
      </c>
      <c r="B31" s="361">
        <v>3299</v>
      </c>
      <c r="C31" s="361">
        <v>0</v>
      </c>
      <c r="D31" s="361">
        <v>3299</v>
      </c>
      <c r="E31" s="387">
        <f>'- 7 -'!F31</f>
        <v>3190</v>
      </c>
      <c r="F31" s="387">
        <v>3056</v>
      </c>
      <c r="G31" s="387">
        <v>3074.6</v>
      </c>
    </row>
    <row r="32" spans="1:7" ht="14.1" customHeight="1">
      <c r="A32" s="23" t="s">
        <v>250</v>
      </c>
      <c r="B32" s="24">
        <v>2153</v>
      </c>
      <c r="C32" s="24">
        <v>0</v>
      </c>
      <c r="D32" s="24">
        <v>2153</v>
      </c>
      <c r="E32" s="67">
        <f>'- 7 -'!F32</f>
        <v>2045.5</v>
      </c>
      <c r="F32" s="67">
        <v>2052.1999999999998</v>
      </c>
      <c r="G32" s="67">
        <v>2051.9</v>
      </c>
    </row>
    <row r="33" spans="1:7" ht="14.1" customHeight="1">
      <c r="A33" s="360" t="s">
        <v>251</v>
      </c>
      <c r="B33" s="361">
        <v>2100</v>
      </c>
      <c r="C33" s="361">
        <v>0</v>
      </c>
      <c r="D33" s="361">
        <v>2100</v>
      </c>
      <c r="E33" s="387">
        <f>'- 7 -'!F33</f>
        <v>2026</v>
      </c>
      <c r="F33" s="387">
        <v>1988</v>
      </c>
      <c r="G33" s="387">
        <v>2003.5</v>
      </c>
    </row>
    <row r="34" spans="1:7" ht="14.1" customHeight="1">
      <c r="A34" s="23" t="s">
        <v>252</v>
      </c>
      <c r="B34" s="24">
        <v>2111</v>
      </c>
      <c r="C34" s="24">
        <v>0</v>
      </c>
      <c r="D34" s="24">
        <v>2111</v>
      </c>
      <c r="E34" s="67">
        <f>'- 7 -'!F34</f>
        <v>2014.37</v>
      </c>
      <c r="F34" s="67">
        <v>2025.6</v>
      </c>
      <c r="G34" s="67">
        <v>1993.2</v>
      </c>
    </row>
    <row r="35" spans="1:7" ht="14.1" customHeight="1">
      <c r="A35" s="360" t="s">
        <v>253</v>
      </c>
      <c r="B35" s="361">
        <v>16361</v>
      </c>
      <c r="C35" s="361">
        <v>0</v>
      </c>
      <c r="D35" s="361">
        <v>16361</v>
      </c>
      <c r="E35" s="387">
        <f>'- 7 -'!F35</f>
        <v>15785.5</v>
      </c>
      <c r="F35" s="387">
        <v>15573.2</v>
      </c>
      <c r="G35" s="387">
        <v>15549.6</v>
      </c>
    </row>
    <row r="36" spans="1:7" ht="14.1" customHeight="1">
      <c r="A36" s="23" t="s">
        <v>254</v>
      </c>
      <c r="B36" s="24">
        <v>1729</v>
      </c>
      <c r="C36" s="24">
        <v>0</v>
      </c>
      <c r="D36" s="24">
        <v>1729</v>
      </c>
      <c r="E36" s="67">
        <f>'- 7 -'!F36</f>
        <v>1678.5</v>
      </c>
      <c r="F36" s="67">
        <v>1550.4</v>
      </c>
      <c r="G36" s="67">
        <v>1553.8</v>
      </c>
    </row>
    <row r="37" spans="1:7" ht="14.1" customHeight="1">
      <c r="A37" s="360" t="s">
        <v>255</v>
      </c>
      <c r="B37" s="361">
        <v>3864</v>
      </c>
      <c r="C37" s="361">
        <v>0</v>
      </c>
      <c r="D37" s="361">
        <v>3864</v>
      </c>
      <c r="E37" s="387">
        <f>'- 7 -'!F37</f>
        <v>3728.5</v>
      </c>
      <c r="F37" s="387">
        <v>3714.2</v>
      </c>
      <c r="G37" s="387">
        <v>3674.7</v>
      </c>
    </row>
    <row r="38" spans="1:7" ht="14.1" customHeight="1">
      <c r="A38" s="23" t="s">
        <v>256</v>
      </c>
      <c r="B38" s="24">
        <v>10740</v>
      </c>
      <c r="C38" s="24">
        <v>0</v>
      </c>
      <c r="D38" s="24">
        <v>10740</v>
      </c>
      <c r="E38" s="67">
        <f>'- 7 -'!F38</f>
        <v>10552</v>
      </c>
      <c r="F38" s="67">
        <v>10272.799999999999</v>
      </c>
      <c r="G38" s="67">
        <v>10072.9</v>
      </c>
    </row>
    <row r="39" spans="1:7" ht="14.1" customHeight="1">
      <c r="A39" s="360" t="s">
        <v>257</v>
      </c>
      <c r="B39" s="361">
        <v>1660</v>
      </c>
      <c r="C39" s="361">
        <v>0</v>
      </c>
      <c r="D39" s="361">
        <v>1660</v>
      </c>
      <c r="E39" s="387">
        <f>'- 7 -'!F39</f>
        <v>1583</v>
      </c>
      <c r="F39" s="387">
        <v>1584.8</v>
      </c>
      <c r="G39" s="387">
        <v>1586.7</v>
      </c>
    </row>
    <row r="40" spans="1:7" ht="14.1" customHeight="1">
      <c r="A40" s="23" t="s">
        <v>258</v>
      </c>
      <c r="B40" s="24">
        <v>8360</v>
      </c>
      <c r="C40" s="24">
        <v>0</v>
      </c>
      <c r="D40" s="24">
        <v>8360</v>
      </c>
      <c r="E40" s="67">
        <f>'- 7 -'!F40</f>
        <v>7982.6999999999989</v>
      </c>
      <c r="F40" s="67">
        <v>7915.2</v>
      </c>
      <c r="G40" s="67">
        <v>8073.2</v>
      </c>
    </row>
    <row r="41" spans="1:7" ht="14.1" customHeight="1">
      <c r="A41" s="360" t="s">
        <v>259</v>
      </c>
      <c r="B41" s="361">
        <v>4622</v>
      </c>
      <c r="C41" s="361">
        <v>0</v>
      </c>
      <c r="D41" s="361">
        <v>4622</v>
      </c>
      <c r="E41" s="387">
        <f>'- 7 -'!F41</f>
        <v>4447</v>
      </c>
      <c r="F41" s="387">
        <v>4385.3</v>
      </c>
      <c r="G41" s="387">
        <v>4478.3</v>
      </c>
    </row>
    <row r="42" spans="1:7" ht="14.1" customHeight="1">
      <c r="A42" s="23" t="s">
        <v>260</v>
      </c>
      <c r="B42" s="24">
        <v>1559</v>
      </c>
      <c r="C42" s="24">
        <v>73</v>
      </c>
      <c r="D42" s="24">
        <v>1486</v>
      </c>
      <c r="E42" s="67">
        <f>'- 7 -'!F42</f>
        <v>1399</v>
      </c>
      <c r="F42" s="67">
        <v>1394.2</v>
      </c>
      <c r="G42" s="67">
        <v>1437.5</v>
      </c>
    </row>
    <row r="43" spans="1:7" ht="14.1" customHeight="1">
      <c r="A43" s="360" t="s">
        <v>261</v>
      </c>
      <c r="B43" s="361">
        <v>1028</v>
      </c>
      <c r="C43" s="361">
        <v>0</v>
      </c>
      <c r="D43" s="361">
        <v>1028</v>
      </c>
      <c r="E43" s="387">
        <f>'- 7 -'!F43</f>
        <v>965.5</v>
      </c>
      <c r="F43" s="387">
        <v>977</v>
      </c>
      <c r="G43" s="387">
        <v>972.8</v>
      </c>
    </row>
    <row r="44" spans="1:7" ht="14.1" customHeight="1">
      <c r="A44" s="23" t="s">
        <v>262</v>
      </c>
      <c r="B44" s="24">
        <v>740</v>
      </c>
      <c r="C44" s="24">
        <v>0</v>
      </c>
      <c r="D44" s="24">
        <v>740</v>
      </c>
      <c r="E44" s="67">
        <f>'- 7 -'!F44</f>
        <v>753</v>
      </c>
      <c r="F44" s="67">
        <v>713.5</v>
      </c>
      <c r="G44" s="67">
        <v>711.6</v>
      </c>
    </row>
    <row r="45" spans="1:7" ht="14.1" customHeight="1">
      <c r="A45" s="360" t="s">
        <v>263</v>
      </c>
      <c r="B45" s="361">
        <v>1681</v>
      </c>
      <c r="C45" s="361">
        <v>0</v>
      </c>
      <c r="D45" s="361">
        <v>1681</v>
      </c>
      <c r="E45" s="387">
        <f>'- 7 -'!F45</f>
        <v>1685</v>
      </c>
      <c r="F45" s="387">
        <v>1599.3</v>
      </c>
      <c r="G45" s="387">
        <v>1630.7</v>
      </c>
    </row>
    <row r="46" spans="1:7" ht="14.1" customHeight="1">
      <c r="A46" s="23" t="s">
        <v>264</v>
      </c>
      <c r="B46" s="24">
        <v>33370</v>
      </c>
      <c r="C46" s="24">
        <v>1863</v>
      </c>
      <c r="D46" s="24">
        <v>31507</v>
      </c>
      <c r="E46" s="67">
        <f>'- 7 -'!F46</f>
        <v>30340</v>
      </c>
      <c r="F46" s="67">
        <v>29817.1</v>
      </c>
      <c r="G46" s="67">
        <v>29931.200000000001</v>
      </c>
    </row>
    <row r="47" spans="1:7" ht="5.0999999999999996" customHeight="1">
      <c r="A47"/>
      <c r="B47"/>
      <c r="C47"/>
      <c r="D47"/>
      <c r="E47"/>
      <c r="F47"/>
      <c r="G47"/>
    </row>
    <row r="48" spans="1:7" ht="14.1" customHeight="1">
      <c r="A48" s="363" t="s">
        <v>265</v>
      </c>
      <c r="B48" s="364">
        <f t="shared" ref="B48:G48" si="0">SUM(B11:B46)</f>
        <v>181561</v>
      </c>
      <c r="C48" s="364">
        <f t="shared" si="0"/>
        <v>2443</v>
      </c>
      <c r="D48" s="364">
        <f t="shared" si="0"/>
        <v>179118</v>
      </c>
      <c r="E48" s="388">
        <f t="shared" si="0"/>
        <v>173547.2</v>
      </c>
      <c r="F48" s="388">
        <f t="shared" si="0"/>
        <v>166055.79999999999</v>
      </c>
      <c r="G48" s="388">
        <f t="shared" si="0"/>
        <v>165956.70000000001</v>
      </c>
    </row>
    <row r="49" spans="1:7" ht="5.0999999999999996" customHeight="1">
      <c r="A49" s="25" t="s">
        <v>3</v>
      </c>
      <c r="B49" s="26"/>
      <c r="C49" s="26"/>
      <c r="D49" s="26"/>
      <c r="E49" s="70"/>
      <c r="F49" s="70"/>
      <c r="G49" s="70"/>
    </row>
    <row r="50" spans="1:7" ht="14.1" customHeight="1">
      <c r="A50" s="23" t="s">
        <v>266</v>
      </c>
      <c r="B50" s="24">
        <v>173</v>
      </c>
      <c r="C50" s="24">
        <v>0</v>
      </c>
      <c r="D50" s="24">
        <v>173</v>
      </c>
      <c r="E50" s="67">
        <f>'- 7 -'!F50</f>
        <v>167</v>
      </c>
      <c r="F50" s="67">
        <v>167</v>
      </c>
      <c r="G50" s="67">
        <v>178.5</v>
      </c>
    </row>
    <row r="51" spans="1:7" ht="14.1" customHeight="1">
      <c r="A51" s="360" t="s">
        <v>267</v>
      </c>
      <c r="B51" s="361">
        <v>0</v>
      </c>
      <c r="C51" s="361">
        <v>0</v>
      </c>
      <c r="D51" s="361">
        <f>B51-C51</f>
        <v>0</v>
      </c>
      <c r="E51" s="387">
        <f>'- 7 -'!F51</f>
        <v>621</v>
      </c>
      <c r="F51" s="387"/>
      <c r="G51" s="387"/>
    </row>
    <row r="52" spans="1:7" ht="50.1" customHeight="1">
      <c r="A52" s="27"/>
      <c r="B52" s="27"/>
      <c r="C52" s="27"/>
      <c r="D52" s="27"/>
      <c r="E52" s="27"/>
      <c r="F52" s="127"/>
      <c r="G52" s="127"/>
    </row>
    <row r="53" spans="1:7" ht="15" customHeight="1">
      <c r="A53" s="28" t="s">
        <v>611</v>
      </c>
      <c r="C53" s="115"/>
      <c r="D53" s="115"/>
      <c r="E53" s="115"/>
      <c r="F53" s="115"/>
    </row>
    <row r="54" spans="1:7" ht="12" customHeight="1">
      <c r="A54" s="28" t="s">
        <v>669</v>
      </c>
      <c r="C54" s="115"/>
      <c r="D54" s="115"/>
      <c r="E54" s="115"/>
      <c r="F54" s="115"/>
    </row>
    <row r="55" spans="1:7" ht="12" customHeight="1">
      <c r="A55" s="28" t="s">
        <v>636</v>
      </c>
      <c r="C55" s="115"/>
      <c r="D55" s="115"/>
      <c r="E55" s="115"/>
      <c r="F55" s="115"/>
    </row>
    <row r="56" spans="1:7" ht="12" customHeight="1">
      <c r="A56" s="28" t="s">
        <v>675</v>
      </c>
      <c r="C56" s="115"/>
      <c r="D56" s="115"/>
      <c r="E56" s="115"/>
      <c r="F56" s="116"/>
    </row>
    <row r="57" spans="1:7" ht="14.45" customHeight="1">
      <c r="A57" s="28"/>
      <c r="B57" s="115"/>
      <c r="C57" s="115"/>
      <c r="D57" s="115"/>
      <c r="E57" s="115"/>
      <c r="F57" s="115"/>
    </row>
    <row r="58" spans="1:7" ht="14.45" customHeight="1">
      <c r="F58" s="608"/>
      <c r="G58" s="608"/>
    </row>
    <row r="59" spans="1:7" ht="14.45" customHeight="1">
      <c r="F59" s="608"/>
      <c r="G59" s="608"/>
    </row>
    <row r="60" spans="1:7">
      <c r="F60" s="608"/>
      <c r="G60" s="608"/>
    </row>
    <row r="61" spans="1:7">
      <c r="F61" s="608"/>
      <c r="G61" s="608"/>
    </row>
    <row r="62" spans="1:7">
      <c r="F62" s="608"/>
      <c r="G62" s="608"/>
    </row>
    <row r="63" spans="1:7">
      <c r="F63" s="608"/>
      <c r="G63" s="608"/>
    </row>
  </sheetData>
  <mergeCells count="2">
    <mergeCell ref="B6:D6"/>
    <mergeCell ref="B7:D7"/>
  </mergeCells>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7.xml><?xml version="1.0" encoding="utf-8"?>
<worksheet xmlns="http://schemas.openxmlformats.org/spreadsheetml/2006/main" xmlns:r="http://schemas.openxmlformats.org/officeDocument/2006/relationships">
  <sheetPr codeName="Sheet6">
    <pageSetUpPr fitToPage="1"/>
  </sheetPr>
  <dimension ref="A1:D58"/>
  <sheetViews>
    <sheetView showGridLines="0" showZeros="0" workbookViewId="0"/>
  </sheetViews>
  <sheetFormatPr defaultRowHeight="12"/>
  <cols>
    <col min="1" max="1" width="39.83203125" style="1" customWidth="1"/>
    <col min="2" max="3" width="31.83203125" style="1" customWidth="1"/>
    <col min="4" max="4" width="29.83203125" style="1" customWidth="1"/>
    <col min="5" max="16384" width="9.33203125" style="1"/>
  </cols>
  <sheetData>
    <row r="1" spans="1:4" ht="6.95" customHeight="1">
      <c r="A1" s="3"/>
      <c r="B1" s="4"/>
      <c r="C1" s="4"/>
      <c r="D1" s="4"/>
    </row>
    <row r="2" spans="1:4" ht="15.95" customHeight="1">
      <c r="A2" s="41"/>
      <c r="B2" s="5" t="s">
        <v>173</v>
      </c>
      <c r="C2" s="6"/>
      <c r="D2" s="100"/>
    </row>
    <row r="3" spans="1:4" ht="15.95" customHeight="1">
      <c r="A3" s="45"/>
      <c r="B3" s="7" t="str">
        <f>STATDATE</f>
        <v>ESTIMATE SEPTEMBER 30, 2013</v>
      </c>
      <c r="C3" s="8"/>
      <c r="D3" s="101"/>
    </row>
    <row r="4" spans="1:4" ht="15.95" customHeight="1">
      <c r="B4" s="4"/>
      <c r="C4" s="4"/>
      <c r="D4" s="4"/>
    </row>
    <row r="5" spans="1:4" ht="15.95" customHeight="1">
      <c r="B5" s="4"/>
      <c r="C5" s="4"/>
      <c r="D5" s="4"/>
    </row>
    <row r="6" spans="1:4" ht="15.95" customHeight="1">
      <c r="B6" s="4"/>
      <c r="C6" s="4"/>
      <c r="D6" s="4"/>
    </row>
    <row r="7" spans="1:4" ht="15.95" customHeight="1">
      <c r="B7" s="389" t="s">
        <v>172</v>
      </c>
      <c r="C7" s="390"/>
      <c r="D7" s="4"/>
    </row>
    <row r="8" spans="1:4" ht="15.95" customHeight="1">
      <c r="A8" s="102"/>
      <c r="B8" s="103" t="s">
        <v>72</v>
      </c>
      <c r="C8" s="104"/>
      <c r="D8" s="105"/>
    </row>
    <row r="9" spans="1:4" ht="15.95" customHeight="1">
      <c r="A9" s="35" t="s">
        <v>81</v>
      </c>
      <c r="B9" s="36" t="s">
        <v>390</v>
      </c>
      <c r="C9" s="36" t="s">
        <v>391</v>
      </c>
    </row>
    <row r="10" spans="1:4" ht="5.0999999999999996" customHeight="1">
      <c r="A10" s="37"/>
    </row>
    <row r="11" spans="1:4" ht="14.1" customHeight="1">
      <c r="A11" s="360" t="s">
        <v>230</v>
      </c>
      <c r="B11" s="387">
        <v>15.929893904722279</v>
      </c>
      <c r="C11" s="387">
        <v>13.424789621318373</v>
      </c>
    </row>
    <row r="12" spans="1:4" ht="14.1" customHeight="1">
      <c r="A12" s="23" t="s">
        <v>231</v>
      </c>
      <c r="B12" s="67">
        <v>14.879817112998044</v>
      </c>
      <c r="C12" s="67">
        <v>12.048976569524518</v>
      </c>
    </row>
    <row r="13" spans="1:4" ht="14.1" customHeight="1">
      <c r="A13" s="360" t="s">
        <v>232</v>
      </c>
      <c r="B13" s="387">
        <v>16.827005536821947</v>
      </c>
      <c r="C13" s="387">
        <v>12.581168780639642</v>
      </c>
    </row>
    <row r="14" spans="1:4" ht="14.1" customHeight="1">
      <c r="A14" s="23" t="s">
        <v>578</v>
      </c>
      <c r="B14" s="67">
        <v>15.603027855069861</v>
      </c>
      <c r="C14" s="67">
        <v>12.486830763336846</v>
      </c>
    </row>
    <row r="15" spans="1:4" ht="14.1" customHeight="1">
      <c r="A15" s="360" t="s">
        <v>233</v>
      </c>
      <c r="B15" s="387">
        <v>16.915201424438013</v>
      </c>
      <c r="C15" s="387">
        <v>13.241571565467376</v>
      </c>
    </row>
    <row r="16" spans="1:4" ht="14.1" customHeight="1">
      <c r="A16" s="23" t="s">
        <v>234</v>
      </c>
      <c r="B16" s="67">
        <v>16.835871404399324</v>
      </c>
      <c r="C16" s="67">
        <v>12.82216494845361</v>
      </c>
    </row>
    <row r="17" spans="1:3" ht="14.1" customHeight="1">
      <c r="A17" s="360" t="s">
        <v>235</v>
      </c>
      <c r="B17" s="387">
        <v>15.927740355174524</v>
      </c>
      <c r="C17" s="387">
        <v>13.117813193463789</v>
      </c>
    </row>
    <row r="18" spans="1:3" ht="14.1" customHeight="1">
      <c r="A18" s="23" t="s">
        <v>236</v>
      </c>
      <c r="B18" s="67">
        <v>15.210122998828583</v>
      </c>
      <c r="C18" s="67">
        <v>12.158128828371893</v>
      </c>
    </row>
    <row r="19" spans="1:3" ht="14.1" customHeight="1">
      <c r="A19" s="360" t="s">
        <v>237</v>
      </c>
      <c r="B19" s="387">
        <v>18.165731549417352</v>
      </c>
      <c r="C19" s="387">
        <v>14.678291194420227</v>
      </c>
    </row>
    <row r="20" spans="1:3" ht="14.1" customHeight="1">
      <c r="A20" s="23" t="s">
        <v>238</v>
      </c>
      <c r="B20" s="67">
        <v>18.232800419817515</v>
      </c>
      <c r="C20" s="67">
        <v>15.249890270369765</v>
      </c>
    </row>
    <row r="21" spans="1:3" ht="14.1" customHeight="1">
      <c r="A21" s="360" t="s">
        <v>239</v>
      </c>
      <c r="B21" s="387">
        <v>15.853371051390853</v>
      </c>
      <c r="C21" s="387">
        <v>11.867996117532867</v>
      </c>
    </row>
    <row r="22" spans="1:3" ht="14.1" customHeight="1">
      <c r="A22" s="23" t="s">
        <v>240</v>
      </c>
      <c r="B22" s="67">
        <v>17.223404255319149</v>
      </c>
      <c r="C22" s="67">
        <v>13.184039087947882</v>
      </c>
    </row>
    <row r="23" spans="1:3" ht="14.1" customHeight="1">
      <c r="A23" s="360" t="s">
        <v>241</v>
      </c>
      <c r="B23" s="387">
        <v>15.251612903225807</v>
      </c>
      <c r="C23" s="387">
        <v>11.903323262839878</v>
      </c>
    </row>
    <row r="24" spans="1:3" ht="14.1" customHeight="1">
      <c r="A24" s="23" t="s">
        <v>242</v>
      </c>
      <c r="B24" s="67">
        <v>16.222746250193289</v>
      </c>
      <c r="C24" s="67">
        <v>12.680929501707309</v>
      </c>
    </row>
    <row r="25" spans="1:3" ht="14.1" customHeight="1">
      <c r="A25" s="360" t="s">
        <v>243</v>
      </c>
      <c r="B25" s="387">
        <v>18.56103889120411</v>
      </c>
      <c r="C25" s="387">
        <v>14.035069885641677</v>
      </c>
    </row>
    <row r="26" spans="1:3" ht="14.1" customHeight="1">
      <c r="A26" s="23" t="s">
        <v>244</v>
      </c>
      <c r="B26" s="67">
        <v>16.122885779912298</v>
      </c>
      <c r="C26" s="67">
        <v>13.159352364720919</v>
      </c>
    </row>
    <row r="27" spans="1:3" ht="14.1" customHeight="1">
      <c r="A27" s="360" t="s">
        <v>245</v>
      </c>
      <c r="B27" s="387">
        <v>14.94215414697735</v>
      </c>
      <c r="C27" s="387">
        <v>11.32937978749691</v>
      </c>
    </row>
    <row r="28" spans="1:3" ht="14.1" customHeight="1">
      <c r="A28" s="23" t="s">
        <v>246</v>
      </c>
      <c r="B28" s="67">
        <v>14.445582211819778</v>
      </c>
      <c r="C28" s="67">
        <v>11.878127405696693</v>
      </c>
    </row>
    <row r="29" spans="1:3" ht="14.1" customHeight="1">
      <c r="A29" s="360" t="s">
        <v>247</v>
      </c>
      <c r="B29" s="387">
        <v>17.48188536800544</v>
      </c>
      <c r="C29" s="387">
        <v>13.885538362569068</v>
      </c>
    </row>
    <row r="30" spans="1:3" ht="14.1" customHeight="1">
      <c r="A30" s="23" t="s">
        <v>248</v>
      </c>
      <c r="B30" s="67">
        <v>14.956667598546266</v>
      </c>
      <c r="C30" s="67">
        <v>12.601578141561651</v>
      </c>
    </row>
    <row r="31" spans="1:3" ht="14.1" customHeight="1">
      <c r="A31" s="360" t="s">
        <v>249</v>
      </c>
      <c r="B31" s="387">
        <v>17.249770183312606</v>
      </c>
      <c r="C31" s="387">
        <v>13.268446884618584</v>
      </c>
    </row>
    <row r="32" spans="1:3" ht="14.1" customHeight="1">
      <c r="A32" s="23" t="s">
        <v>250</v>
      </c>
      <c r="B32" s="67">
        <v>14.806369887803111</v>
      </c>
      <c r="C32" s="67">
        <v>12.423322198603099</v>
      </c>
    </row>
    <row r="33" spans="1:4" ht="14.1" customHeight="1">
      <c r="A33" s="360" t="s">
        <v>251</v>
      </c>
      <c r="B33" s="387">
        <v>16.198281031381171</v>
      </c>
      <c r="C33" s="387">
        <v>13.250057225074393</v>
      </c>
    </row>
    <row r="34" spans="1:4" ht="14.1" customHeight="1">
      <c r="A34" s="23" t="s">
        <v>252</v>
      </c>
      <c r="B34" s="67">
        <v>16.165396035631169</v>
      </c>
      <c r="C34" s="67">
        <v>13.109267213328124</v>
      </c>
    </row>
    <row r="35" spans="1:4" ht="14.1" customHeight="1">
      <c r="A35" s="360" t="s">
        <v>253</v>
      </c>
      <c r="B35" s="387">
        <v>17.969105728075768</v>
      </c>
      <c r="C35" s="387">
        <v>14.060551537392667</v>
      </c>
    </row>
    <row r="36" spans="1:4" ht="14.1" customHeight="1">
      <c r="A36" s="23" t="s">
        <v>254</v>
      </c>
      <c r="B36" s="67">
        <v>15.643056849953402</v>
      </c>
      <c r="C36" s="67">
        <v>12.671941294599042</v>
      </c>
    </row>
    <row r="37" spans="1:4" ht="14.1" customHeight="1">
      <c r="A37" s="360" t="s">
        <v>255</v>
      </c>
      <c r="B37" s="387">
        <v>18.296692511532044</v>
      </c>
      <c r="C37" s="387">
        <v>13.999549431156836</v>
      </c>
    </row>
    <row r="38" spans="1:4" ht="14.1" customHeight="1">
      <c r="A38" s="23" t="s">
        <v>256</v>
      </c>
      <c r="B38" s="67">
        <v>17.47019867549669</v>
      </c>
      <c r="C38" s="67">
        <v>14.257918062912116</v>
      </c>
    </row>
    <row r="39" spans="1:4" ht="14.1" customHeight="1">
      <c r="A39" s="360" t="s">
        <v>257</v>
      </c>
      <c r="B39" s="387">
        <v>15.249012619208168</v>
      </c>
      <c r="C39" s="387">
        <v>12.664506580263209</v>
      </c>
    </row>
    <row r="40" spans="1:4" ht="14.1" customHeight="1">
      <c r="A40" s="23" t="s">
        <v>258</v>
      </c>
      <c r="B40" s="67">
        <v>17.921736787750884</v>
      </c>
      <c r="C40" s="67">
        <v>13.967001434720226</v>
      </c>
    </row>
    <row r="41" spans="1:4" ht="14.1" customHeight="1">
      <c r="A41" s="360" t="s">
        <v>259</v>
      </c>
      <c r="B41" s="387">
        <v>16.642964071856287</v>
      </c>
      <c r="C41" s="387">
        <v>12.645018198362147</v>
      </c>
    </row>
    <row r="42" spans="1:4" ht="14.1" customHeight="1">
      <c r="A42" s="23" t="s">
        <v>260</v>
      </c>
      <c r="B42" s="67">
        <v>14.394485029324004</v>
      </c>
      <c r="C42" s="67">
        <v>11.872029871011542</v>
      </c>
    </row>
    <row r="43" spans="1:4" ht="14.1" customHeight="1">
      <c r="A43" s="360" t="s">
        <v>261</v>
      </c>
      <c r="B43" s="387">
        <v>15.987746315615167</v>
      </c>
      <c r="C43" s="387">
        <v>12.687253613666229</v>
      </c>
    </row>
    <row r="44" spans="1:4" ht="14.1" customHeight="1">
      <c r="A44" s="23" t="s">
        <v>262</v>
      </c>
      <c r="B44" s="67">
        <v>14.093206064008983</v>
      </c>
      <c r="C44" s="67">
        <v>11.99617651744464</v>
      </c>
    </row>
    <row r="45" spans="1:4" ht="14.1" customHeight="1">
      <c r="A45" s="360" t="s">
        <v>263</v>
      </c>
      <c r="B45" s="387">
        <v>18.226068144943213</v>
      </c>
      <c r="C45" s="387">
        <v>15.020502763415939</v>
      </c>
    </row>
    <row r="46" spans="1:4" ht="14.1" customHeight="1">
      <c r="A46" s="23" t="s">
        <v>264</v>
      </c>
      <c r="B46" s="67">
        <v>18.970088035214086</v>
      </c>
      <c r="C46" s="67">
        <v>13.812066665756181</v>
      </c>
    </row>
    <row r="47" spans="1:4" ht="5.0999999999999996" customHeight="1">
      <c r="A47"/>
      <c r="B47"/>
      <c r="C47"/>
      <c r="D47"/>
    </row>
    <row r="48" spans="1:4" ht="14.1" customHeight="1">
      <c r="A48" s="501" t="s">
        <v>265</v>
      </c>
      <c r="B48" s="502">
        <v>17.261270931431415</v>
      </c>
      <c r="C48" s="503">
        <v>13.455141478191502</v>
      </c>
      <c r="D48" s="37"/>
    </row>
    <row r="49" spans="1:4" ht="5.0999999999999996" customHeight="1">
      <c r="A49" s="25" t="s">
        <v>3</v>
      </c>
      <c r="B49" s="70"/>
      <c r="C49" s="70"/>
    </row>
    <row r="50" spans="1:4" ht="14.1" customHeight="1">
      <c r="A50" s="23" t="s">
        <v>266</v>
      </c>
      <c r="B50" s="67">
        <v>9.6811594202898554</v>
      </c>
      <c r="C50" s="67">
        <v>8.1265206812652071</v>
      </c>
    </row>
    <row r="51" spans="1:4" ht="14.1" customHeight="1">
      <c r="A51" s="360" t="s">
        <v>267</v>
      </c>
      <c r="B51" s="387">
        <v>19.375975039001563</v>
      </c>
      <c r="C51" s="387">
        <v>17.973950795947903</v>
      </c>
    </row>
    <row r="52" spans="1:4" ht="50.1" customHeight="1">
      <c r="A52" s="27"/>
      <c r="B52" s="27"/>
      <c r="C52" s="27"/>
      <c r="D52" s="27"/>
    </row>
    <row r="53" spans="1:4" ht="15" customHeight="1">
      <c r="A53" s="39" t="s">
        <v>609</v>
      </c>
      <c r="B53" s="39"/>
      <c r="C53" s="39"/>
      <c r="D53" s="39"/>
    </row>
    <row r="54" spans="1:4" ht="12" customHeight="1">
      <c r="A54" s="39" t="s">
        <v>649</v>
      </c>
      <c r="B54" s="39"/>
      <c r="C54" s="39"/>
      <c r="D54" s="39"/>
    </row>
    <row r="55" spans="1:4" ht="12" customHeight="1">
      <c r="A55" s="39" t="s">
        <v>626</v>
      </c>
      <c r="B55" s="39"/>
      <c r="C55" s="39"/>
      <c r="D55" s="39"/>
    </row>
    <row r="56" spans="1:4" ht="12" customHeight="1">
      <c r="A56" s="39" t="s">
        <v>610</v>
      </c>
      <c r="C56" s="39"/>
      <c r="D56" s="39"/>
    </row>
    <row r="57" spans="1:4" ht="12" customHeight="1">
      <c r="A57" s="39" t="s">
        <v>624</v>
      </c>
      <c r="C57" s="39"/>
      <c r="D57" s="39"/>
    </row>
    <row r="58" spans="1:4" ht="12" customHeight="1">
      <c r="A58" s="39" t="s">
        <v>625</v>
      </c>
      <c r="B58" s="39"/>
      <c r="C58" s="39"/>
      <c r="D58" s="39"/>
    </row>
  </sheetData>
  <phoneticPr fontId="0" type="noConversion"/>
  <printOptions horizontalCentered="1"/>
  <pageMargins left="0.5" right="0.5" top="0.6" bottom="0" header="0.3" footer="0"/>
  <pageSetup scale="88" orientation="portrait" r:id="rId1"/>
  <headerFooter alignWithMargins="0">
    <oddHeader>&amp;C&amp;"Arial,Bold"&amp;10&amp;A</oddHeader>
  </headerFooter>
</worksheet>
</file>

<file path=xl/worksheets/sheet8.xml><?xml version="1.0" encoding="utf-8"?>
<worksheet xmlns="http://schemas.openxmlformats.org/spreadsheetml/2006/main" xmlns:r="http://schemas.openxmlformats.org/officeDocument/2006/relationships">
  <sheetPr codeName="Sheet7">
    <pageSetUpPr fitToPage="1"/>
  </sheetPr>
  <dimension ref="A2:N50"/>
  <sheetViews>
    <sheetView showGridLines="0" showZeros="0" workbookViewId="0"/>
  </sheetViews>
  <sheetFormatPr defaultColWidth="15.83203125" defaultRowHeight="12"/>
  <cols>
    <col min="1" max="1" width="5.83203125" style="1" customWidth="1"/>
    <col min="2" max="2" width="40.83203125" style="1" customWidth="1"/>
    <col min="3" max="5" width="15.83203125" style="1" customWidth="1"/>
    <col min="6" max="6" width="17.83203125" style="1" customWidth="1"/>
    <col min="7" max="9" width="14.83203125" style="1" customWidth="1"/>
    <col min="10" max="10" width="2.83203125" style="1" customWidth="1"/>
    <col min="11" max="11" width="17.83203125" style="1" customWidth="1"/>
    <col min="12" max="12" width="12.83203125" style="1" bestFit="1" customWidth="1"/>
    <col min="13" max="16384" width="15.83203125" style="1"/>
  </cols>
  <sheetData>
    <row r="2" spans="1:14">
      <c r="A2" s="72"/>
      <c r="B2" s="72"/>
      <c r="C2" s="73" t="str">
        <f>OPYEAR</f>
        <v>OPERATING FUND 2013/2014 BUDGET</v>
      </c>
      <c r="D2" s="73"/>
      <c r="E2" s="73"/>
      <c r="F2" s="73"/>
      <c r="G2" s="73"/>
      <c r="H2" s="73"/>
      <c r="I2" s="73"/>
      <c r="J2" s="73"/>
      <c r="K2" s="72"/>
    </row>
    <row r="5" spans="1:14" ht="15.75">
      <c r="C5" s="340" t="s">
        <v>480</v>
      </c>
      <c r="D5" s="75"/>
      <c r="E5" s="75"/>
      <c r="F5" s="75"/>
      <c r="G5" s="75"/>
      <c r="H5" s="75"/>
      <c r="I5" s="75"/>
      <c r="J5" s="75"/>
      <c r="K5" s="4"/>
    </row>
    <row r="6" spans="1:14">
      <c r="C6" s="74"/>
      <c r="D6" s="75"/>
      <c r="E6" s="75"/>
      <c r="F6" s="75"/>
      <c r="G6" s="75"/>
      <c r="H6" s="75"/>
      <c r="I6" s="75"/>
      <c r="J6" s="75"/>
      <c r="K6" s="4"/>
    </row>
    <row r="7" spans="1:14">
      <c r="C7" s="74"/>
      <c r="D7" s="75"/>
      <c r="E7" s="75"/>
      <c r="F7" s="75"/>
      <c r="G7" s="75"/>
      <c r="H7" s="75"/>
      <c r="I7" s="75"/>
      <c r="J7" s="4"/>
      <c r="K7" s="4"/>
    </row>
    <row r="8" spans="1:14">
      <c r="C8" s="4"/>
      <c r="D8" s="4"/>
      <c r="E8" s="4"/>
      <c r="F8" s="4"/>
      <c r="G8" s="4"/>
      <c r="H8" s="4"/>
      <c r="I8" s="4"/>
      <c r="J8" s="4"/>
      <c r="K8" s="4"/>
    </row>
    <row r="9" spans="1:14">
      <c r="C9" s="4"/>
      <c r="D9" s="4"/>
      <c r="E9" s="4"/>
      <c r="F9" s="4"/>
      <c r="G9" s="4"/>
      <c r="H9" s="4"/>
      <c r="I9" s="4"/>
      <c r="J9" s="4"/>
      <c r="K9" s="4"/>
    </row>
    <row r="10" spans="1:14">
      <c r="C10" s="373" t="s">
        <v>149</v>
      </c>
      <c r="D10" s="374"/>
      <c r="E10" s="374"/>
      <c r="F10" s="374"/>
      <c r="G10" s="374"/>
      <c r="H10" s="374"/>
      <c r="I10" s="374"/>
      <c r="J10" s="375"/>
      <c r="K10" s="4"/>
    </row>
    <row r="11" spans="1:14">
      <c r="C11" s="4"/>
      <c r="D11" s="4"/>
      <c r="E11" s="4"/>
      <c r="F11" s="4"/>
      <c r="G11" s="4"/>
      <c r="H11" s="4"/>
      <c r="I11" s="4"/>
      <c r="J11" s="4"/>
      <c r="K11" s="4"/>
    </row>
    <row r="12" spans="1:14">
      <c r="A12" s="76"/>
      <c r="B12" s="77"/>
      <c r="C12" s="376"/>
      <c r="D12" s="376" t="s">
        <v>150</v>
      </c>
      <c r="E12" s="377"/>
      <c r="F12" s="376" t="s">
        <v>151</v>
      </c>
      <c r="G12" s="354" t="s">
        <v>130</v>
      </c>
      <c r="H12" s="523" t="s">
        <v>478</v>
      </c>
      <c r="I12" s="378"/>
      <c r="J12" s="368"/>
      <c r="K12" s="368"/>
    </row>
    <row r="13" spans="1:14">
      <c r="A13" s="655" t="s">
        <v>160</v>
      </c>
      <c r="B13" s="656"/>
      <c r="C13" s="379" t="s">
        <v>152</v>
      </c>
      <c r="D13" s="379" t="s">
        <v>153</v>
      </c>
      <c r="E13" s="359" t="s">
        <v>139</v>
      </c>
      <c r="F13" s="379" t="s">
        <v>154</v>
      </c>
      <c r="G13" s="357" t="s">
        <v>139</v>
      </c>
      <c r="H13" s="524" t="s">
        <v>479</v>
      </c>
      <c r="I13" s="358" t="s">
        <v>95</v>
      </c>
      <c r="J13" s="380"/>
      <c r="K13" s="379" t="s">
        <v>155</v>
      </c>
      <c r="N13" s="157" t="str">
        <f>IF($N$27=0,"","Variance")</f>
        <v/>
      </c>
    </row>
    <row r="15" spans="1:14">
      <c r="A15" s="78">
        <v>100</v>
      </c>
      <c r="B15" s="37" t="s">
        <v>49</v>
      </c>
      <c r="C15" s="79">
        <f>'- 12 -'!B22</f>
        <v>991579122</v>
      </c>
      <c r="D15" s="80">
        <f>'- 12 -'!B23</f>
        <v>60022009</v>
      </c>
      <c r="E15" s="80">
        <f>'- 12 -'!B40</f>
        <v>27571938</v>
      </c>
      <c r="F15" s="80">
        <f>'- 12 -'!B46</f>
        <v>73560125</v>
      </c>
      <c r="G15" s="81"/>
      <c r="H15" s="207"/>
      <c r="I15" s="82"/>
      <c r="K15" s="79">
        <f>SUM(C15:F15)</f>
        <v>1152733194</v>
      </c>
      <c r="N15" s="1" t="str">
        <f>IF($N$27=0,"",K15-'- 12 -'!$B$51)</f>
        <v/>
      </c>
    </row>
    <row r="16" spans="1:14" ht="24" customHeight="1">
      <c r="A16" s="78">
        <v>200</v>
      </c>
      <c r="B16" s="37" t="s">
        <v>449</v>
      </c>
      <c r="C16" s="79">
        <f>'- 12 -'!D22</f>
        <v>340895439</v>
      </c>
      <c r="D16" s="80">
        <f>'- 12 -'!D23</f>
        <v>34570160</v>
      </c>
      <c r="E16" s="80">
        <f>'- 12 -'!D40</f>
        <v>9559043</v>
      </c>
      <c r="F16" s="80">
        <f>'- 12 -'!D46</f>
        <v>5274981</v>
      </c>
      <c r="G16" s="81"/>
      <c r="H16" s="207"/>
      <c r="I16" s="82"/>
      <c r="K16" s="79">
        <f>SUM(C16:F16)</f>
        <v>390299623</v>
      </c>
      <c r="N16" s="1" t="str">
        <f>IF($N$27=0,"",K16-'- 12 -'!$D$51)</f>
        <v/>
      </c>
    </row>
    <row r="17" spans="1:14" ht="24" customHeight="1">
      <c r="A17" s="78">
        <v>300</v>
      </c>
      <c r="B17" s="37" t="s">
        <v>212</v>
      </c>
      <c r="C17" s="79">
        <f>'- 12 -'!F22</f>
        <v>5974363</v>
      </c>
      <c r="D17" s="80">
        <f>'- 12 -'!F23</f>
        <v>422680</v>
      </c>
      <c r="E17" s="80">
        <f>'- 12 -'!F40</f>
        <v>690949</v>
      </c>
      <c r="F17" s="80">
        <f>'- 12 -'!F46</f>
        <v>370581</v>
      </c>
      <c r="G17" s="81"/>
      <c r="H17" s="207"/>
      <c r="I17" s="83">
        <f>'- 12 -'!F48</f>
        <v>37000</v>
      </c>
      <c r="J17" s="84" t="s">
        <v>189</v>
      </c>
      <c r="K17" s="79">
        <f>SUM(C17:F17,I17)</f>
        <v>7495573</v>
      </c>
      <c r="N17" s="1" t="str">
        <f>IF($N$27=0,"",K17-'- 12 -'!$F$51)</f>
        <v/>
      </c>
    </row>
    <row r="18" spans="1:14" ht="24" customHeight="1">
      <c r="A18" s="78">
        <v>400</v>
      </c>
      <c r="B18" s="37" t="s">
        <v>156</v>
      </c>
      <c r="C18" s="79">
        <f>'- 12 -'!H22</f>
        <v>14576106</v>
      </c>
      <c r="D18" s="80">
        <f>'- 12 -'!H23</f>
        <v>1421475</v>
      </c>
      <c r="E18" s="80">
        <f>'- 12 -'!H40</f>
        <v>2077838</v>
      </c>
      <c r="F18" s="80">
        <f>'- 12 -'!H46</f>
        <v>1668384</v>
      </c>
      <c r="G18" s="81"/>
      <c r="H18" s="207"/>
      <c r="I18" s="82"/>
      <c r="K18" s="79">
        <f>SUM(C18:F18)</f>
        <v>19743803</v>
      </c>
      <c r="N18" s="1" t="str">
        <f>IF($N$27=0,"",K18-'- 12 -'!$H$51)</f>
        <v/>
      </c>
    </row>
    <row r="19" spans="1:14" ht="24" customHeight="1">
      <c r="A19" s="78">
        <v>500</v>
      </c>
      <c r="B19" s="37" t="s">
        <v>181</v>
      </c>
      <c r="C19" s="79">
        <f>'- 12 -'!J22</f>
        <v>46195072</v>
      </c>
      <c r="D19" s="80">
        <f>'- 12 -'!J23</f>
        <v>6734321</v>
      </c>
      <c r="E19" s="80">
        <f>'- 12 -'!J40</f>
        <v>16219207</v>
      </c>
      <c r="F19" s="80">
        <f>'- 12 -'!J46</f>
        <v>2692809</v>
      </c>
      <c r="G19" s="81"/>
      <c r="H19" s="207"/>
      <c r="I19" s="83">
        <f>'- 12 -'!J48</f>
        <v>-37000</v>
      </c>
      <c r="J19" s="84" t="s">
        <v>189</v>
      </c>
      <c r="K19" s="79">
        <f>SUM(C19:F19,I19)</f>
        <v>71804409</v>
      </c>
      <c r="N19" s="1" t="str">
        <f>IF($N$27=0,"",K19-'- 12 -'!$J$51)</f>
        <v/>
      </c>
    </row>
    <row r="20" spans="1:14" ht="12" customHeight="1">
      <c r="A20" s="78"/>
      <c r="B20" s="37"/>
      <c r="C20" s="85"/>
      <c r="D20" s="86"/>
      <c r="E20" s="86"/>
      <c r="F20" s="86"/>
      <c r="G20" s="81"/>
      <c r="H20" s="207"/>
      <c r="I20" s="82"/>
      <c r="K20" s="79"/>
      <c r="L20" s="654" t="s">
        <v>190</v>
      </c>
    </row>
    <row r="21" spans="1:14" ht="24" customHeight="1">
      <c r="A21" s="87">
        <v>600</v>
      </c>
      <c r="B21" s="521" t="s">
        <v>470</v>
      </c>
      <c r="C21" s="79">
        <f>'- 13 -'!B22</f>
        <v>47335249</v>
      </c>
      <c r="D21" s="80">
        <f>'- 13 -'!B23</f>
        <v>4422067</v>
      </c>
      <c r="E21" s="80">
        <f>'- 13 -'!B40</f>
        <v>13780906</v>
      </c>
      <c r="F21" s="80">
        <f>'- 13 -'!B46</f>
        <v>8276062</v>
      </c>
      <c r="G21" s="81"/>
      <c r="H21" s="207"/>
      <c r="I21" s="82"/>
      <c r="K21" s="79">
        <f>SUM(C21:F21)</f>
        <v>73814284</v>
      </c>
      <c r="L21" s="654"/>
      <c r="N21" s="1" t="str">
        <f>IF($N$27=0,"",K21-'- 13 -'!$B$54)</f>
        <v/>
      </c>
    </row>
    <row r="22" spans="1:14" ht="24" customHeight="1">
      <c r="A22" s="78">
        <v>700</v>
      </c>
      <c r="B22" s="37" t="s">
        <v>157</v>
      </c>
      <c r="C22" s="79">
        <f>'- 13 -'!D22</f>
        <v>39054454</v>
      </c>
      <c r="D22" s="80">
        <f>'- 13 -'!D23</f>
        <v>5744774</v>
      </c>
      <c r="E22" s="80">
        <f>'- 13 -'!D40</f>
        <v>26791487</v>
      </c>
      <c r="F22" s="80">
        <f>'- 13 -'!D46</f>
        <v>17524061</v>
      </c>
      <c r="G22" s="81"/>
      <c r="H22" s="207"/>
      <c r="I22" s="82"/>
      <c r="K22" s="79">
        <f>SUM(C22:F22)</f>
        <v>89114776</v>
      </c>
      <c r="L22" s="88"/>
      <c r="N22" s="1" t="str">
        <f>IF($N$27=0,"",K22-'- 13 -'!$D$54)</f>
        <v/>
      </c>
    </row>
    <row r="23" spans="1:14" ht="24" customHeight="1">
      <c r="A23" s="78">
        <v>800</v>
      </c>
      <c r="B23" s="37" t="s">
        <v>158</v>
      </c>
      <c r="C23" s="79">
        <f>'- 13 -'!F22</f>
        <v>106709463</v>
      </c>
      <c r="D23" s="80">
        <f>'- 13 -'!F23</f>
        <v>17261499</v>
      </c>
      <c r="E23" s="80">
        <f>'- 13 -'!F40</f>
        <v>92591930</v>
      </c>
      <c r="F23" s="80">
        <f>'- 13 -'!F46</f>
        <v>24317222</v>
      </c>
      <c r="G23" s="81"/>
      <c r="H23" s="207"/>
      <c r="I23" s="83">
        <f>'- 13 -'!F52</f>
        <v>0</v>
      </c>
      <c r="J23" s="90"/>
      <c r="K23" s="79">
        <f>SUM(C23:F23,I23)</f>
        <v>240880114</v>
      </c>
      <c r="N23" s="1" t="str">
        <f>IF($N$27=0,"",K23-'- 13 -'!$F$54)</f>
        <v/>
      </c>
    </row>
    <row r="24" spans="1:14" ht="24" customHeight="1">
      <c r="A24" s="78">
        <v>900</v>
      </c>
      <c r="B24" s="37" t="s">
        <v>53</v>
      </c>
      <c r="C24" s="85"/>
      <c r="D24" s="86"/>
      <c r="E24" s="86"/>
      <c r="F24" s="86"/>
      <c r="G24" s="80">
        <v>2445713</v>
      </c>
      <c r="H24" s="80">
        <v>8000</v>
      </c>
      <c r="I24" s="89">
        <v>33852850</v>
      </c>
      <c r="J24" s="90" t="s">
        <v>379</v>
      </c>
      <c r="K24" s="79">
        <f>SUM(G24:I24)</f>
        <v>36306563</v>
      </c>
      <c r="N24" s="1" t="str">
        <f>IF($N$27=0,"",K24-'- 13 -'!$H$54)</f>
        <v/>
      </c>
    </row>
    <row r="25" spans="1:14">
      <c r="A25" s="78"/>
      <c r="B25" s="37"/>
      <c r="C25" s="85"/>
      <c r="D25" s="86"/>
      <c r="E25" s="86"/>
      <c r="F25" s="86"/>
      <c r="G25" s="86"/>
      <c r="H25" s="31"/>
      <c r="I25" s="91"/>
      <c r="K25" s="85"/>
    </row>
    <row r="26" spans="1:14">
      <c r="B26" s="37"/>
      <c r="C26" s="92"/>
      <c r="D26" s="92"/>
      <c r="E26" s="92"/>
      <c r="F26" s="92"/>
      <c r="G26" s="92"/>
      <c r="H26" s="92"/>
      <c r="I26" s="92"/>
      <c r="K26" s="92"/>
    </row>
    <row r="27" spans="1:14">
      <c r="A27" s="93"/>
      <c r="B27" s="94" t="s">
        <v>155</v>
      </c>
      <c r="C27" s="95">
        <f>SUM(C15:C24)</f>
        <v>1592319268</v>
      </c>
      <c r="D27" s="96">
        <f>SUM(D15:D24)</f>
        <v>130598985</v>
      </c>
      <c r="E27" s="96">
        <f>SUM(E15:E24)</f>
        <v>189283298</v>
      </c>
      <c r="F27" s="96">
        <f>SUM(F15:F24)</f>
        <v>133684225</v>
      </c>
      <c r="G27" s="96">
        <f>G24</f>
        <v>2445713</v>
      </c>
      <c r="H27" s="96">
        <f>H24</f>
        <v>8000</v>
      </c>
      <c r="I27" s="97">
        <f>SUM(I15:I24)</f>
        <v>33852850</v>
      </c>
      <c r="J27" s="98"/>
      <c r="K27" s="95">
        <f>SUM(K15:K24)</f>
        <v>2082192339</v>
      </c>
      <c r="N27" s="1">
        <f>K27-'- 3 -'!D48</f>
        <v>0</v>
      </c>
    </row>
    <row r="28" spans="1:14">
      <c r="C28" s="92"/>
      <c r="D28" s="92"/>
      <c r="E28" s="92"/>
      <c r="F28" s="92"/>
      <c r="G28" s="92"/>
      <c r="H28" s="92"/>
      <c r="I28" s="92"/>
    </row>
    <row r="29" spans="1:14" ht="60" customHeight="1"/>
    <row r="30" spans="1:14">
      <c r="A30" s="341" t="s">
        <v>189</v>
      </c>
      <c r="B30" s="1" t="s">
        <v>378</v>
      </c>
      <c r="C30" s="37"/>
    </row>
    <row r="31" spans="1:14" hidden="1">
      <c r="A31" s="341" t="s">
        <v>379</v>
      </c>
      <c r="B31" s="155" t="s">
        <v>464</v>
      </c>
      <c r="C31" s="37"/>
    </row>
    <row r="32" spans="1:14">
      <c r="A32" s="341" t="s">
        <v>379</v>
      </c>
      <c r="B32" s="1" t="s">
        <v>380</v>
      </c>
      <c r="C32" s="92"/>
      <c r="K32" s="92"/>
    </row>
    <row r="33" spans="3:3">
      <c r="C33" s="92"/>
    </row>
    <row r="34" spans="3:3" ht="12.75" customHeight="1"/>
    <row r="35" spans="3:3" ht="12.75" customHeight="1"/>
    <row r="36" spans="3:3" ht="12.75" customHeight="1"/>
    <row r="37" spans="3:3" ht="12.75" customHeight="1"/>
    <row r="38" spans="3:3" ht="12.75" customHeight="1"/>
    <row r="39" spans="3:3" ht="12.75" customHeight="1"/>
    <row r="40" spans="3:3" ht="12.75" customHeight="1"/>
    <row r="41" spans="3:3" ht="12.75" customHeight="1"/>
    <row r="42" spans="3:3" ht="12.75" customHeight="1"/>
    <row r="43" spans="3:3" ht="12.75" customHeight="1"/>
    <row r="44" spans="3:3" ht="12.75" customHeight="1"/>
    <row r="45" spans="3:3" ht="12.75" customHeight="1"/>
    <row r="46" spans="3:3" ht="12.75" customHeight="1"/>
    <row r="47" spans="3:3" ht="12.75" customHeight="1"/>
    <row r="48" spans="3:3" ht="12.75" customHeight="1"/>
    <row r="49" ht="12.75" customHeight="1"/>
    <row r="50" ht="12.75" customHeight="1"/>
  </sheetData>
  <mergeCells count="2">
    <mergeCell ref="L20:L21"/>
    <mergeCell ref="A13:B13"/>
  </mergeCells>
  <phoneticPr fontId="0" type="noConversion"/>
  <pageMargins left="0.39370078740157483" right="0" top="0.70866141732283472" bottom="0.31496062992125984" header="0" footer="0"/>
  <pageSetup scale="86"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8">
    <pageSetUpPr fitToPage="1"/>
  </sheetPr>
  <dimension ref="A2:M52"/>
  <sheetViews>
    <sheetView showGridLines="0" showZeros="0" workbookViewId="0"/>
  </sheetViews>
  <sheetFormatPr defaultColWidth="15.83203125" defaultRowHeight="12"/>
  <cols>
    <col min="1" max="1" width="50.83203125" style="1" customWidth="1"/>
    <col min="2" max="2" width="15.83203125" style="1" customWidth="1"/>
    <col min="3" max="3" width="8.83203125" style="1" customWidth="1"/>
    <col min="4" max="4" width="15.83203125" style="1" customWidth="1"/>
    <col min="5" max="5" width="8.83203125" style="1" customWidth="1"/>
    <col min="6" max="6" width="15.83203125" style="1" customWidth="1"/>
    <col min="7" max="7" width="8.83203125" style="1" customWidth="1"/>
    <col min="8" max="8" width="15.83203125" style="1" customWidth="1"/>
    <col min="9" max="9" width="8.83203125" style="1" customWidth="1"/>
    <col min="10" max="10" width="15.83203125" style="1" customWidth="1"/>
    <col min="11" max="11" width="8.83203125" style="1" customWidth="1"/>
    <col min="12" max="12" width="5.83203125" style="1" customWidth="1"/>
    <col min="13" max="16384" width="15.83203125" style="1"/>
  </cols>
  <sheetData>
    <row r="2" spans="1:11">
      <c r="A2" s="72"/>
      <c r="B2" s="72"/>
      <c r="C2" s="72"/>
      <c r="D2" s="128" t="str">
        <f>OPYEAR</f>
        <v>OPERATING FUND 2013/2014 BUDGET</v>
      </c>
      <c r="E2" s="128"/>
      <c r="F2" s="128"/>
      <c r="G2" s="128"/>
      <c r="H2" s="129"/>
      <c r="I2" s="129"/>
      <c r="J2" s="130"/>
      <c r="K2" s="131" t="s">
        <v>7</v>
      </c>
    </row>
    <row r="3" spans="1:11" ht="9.9499999999999993" customHeight="1">
      <c r="J3" s="115"/>
      <c r="K3" s="115"/>
    </row>
    <row r="4" spans="1:11" ht="15.75">
      <c r="B4" s="342" t="s">
        <v>492</v>
      </c>
      <c r="C4" s="115"/>
      <c r="D4" s="115"/>
      <c r="E4" s="115"/>
      <c r="F4" s="115"/>
      <c r="G4" s="115"/>
      <c r="H4" s="115"/>
      <c r="I4" s="115"/>
      <c r="J4" s="115"/>
      <c r="K4" s="115"/>
    </row>
    <row r="5" spans="1:11" ht="15.75">
      <c r="B5" s="342" t="s">
        <v>493</v>
      </c>
      <c r="C5" s="115"/>
      <c r="D5" s="115"/>
      <c r="E5" s="115"/>
      <c r="F5" s="115"/>
      <c r="G5" s="115"/>
      <c r="H5" s="115"/>
      <c r="I5" s="115"/>
      <c r="J5" s="115"/>
      <c r="K5" s="115"/>
    </row>
    <row r="6" spans="1:11" ht="9.9499999999999993" customHeight="1"/>
    <row r="7" spans="1:11">
      <c r="B7" s="133" t="s">
        <v>160</v>
      </c>
      <c r="C7" s="129"/>
      <c r="D7" s="129"/>
      <c r="E7" s="129"/>
      <c r="F7" s="129"/>
      <c r="G7" s="129"/>
      <c r="H7" s="129"/>
      <c r="I7" s="129"/>
      <c r="J7" s="129"/>
      <c r="K7" s="134"/>
    </row>
    <row r="8" spans="1:11" ht="6" customHeight="1"/>
    <row r="9" spans="1:11">
      <c r="A9" s="4"/>
      <c r="B9" s="354" t="s">
        <v>62</v>
      </c>
      <c r="C9" s="356"/>
      <c r="D9" s="355" t="s">
        <v>450</v>
      </c>
      <c r="E9" s="356"/>
      <c r="F9" s="355" t="s">
        <v>211</v>
      </c>
      <c r="G9" s="356"/>
      <c r="H9" s="355" t="s">
        <v>58</v>
      </c>
      <c r="I9" s="356"/>
      <c r="J9" s="355" t="s">
        <v>180</v>
      </c>
      <c r="K9" s="356"/>
    </row>
    <row r="10" spans="1:11">
      <c r="A10" s="4"/>
      <c r="B10" s="357" t="s">
        <v>161</v>
      </c>
      <c r="C10" s="359"/>
      <c r="D10" s="358" t="s">
        <v>139</v>
      </c>
      <c r="E10" s="359"/>
      <c r="F10" s="358" t="s">
        <v>326</v>
      </c>
      <c r="G10" s="359"/>
      <c r="H10" s="358" t="s">
        <v>77</v>
      </c>
      <c r="I10" s="359"/>
      <c r="J10" s="358" t="s">
        <v>30</v>
      </c>
      <c r="K10" s="359"/>
    </row>
    <row r="11" spans="1:11">
      <c r="A11" s="135" t="s">
        <v>149</v>
      </c>
      <c r="B11" s="136" t="s">
        <v>82</v>
      </c>
      <c r="C11" s="136" t="s">
        <v>83</v>
      </c>
      <c r="D11" s="136" t="s">
        <v>82</v>
      </c>
      <c r="E11" s="136" t="s">
        <v>83</v>
      </c>
      <c r="F11" s="136" t="s">
        <v>82</v>
      </c>
      <c r="G11" s="136" t="s">
        <v>83</v>
      </c>
      <c r="H11" s="136" t="s">
        <v>82</v>
      </c>
      <c r="I11" s="136" t="s">
        <v>83</v>
      </c>
      <c r="J11" s="136" t="s">
        <v>82</v>
      </c>
      <c r="K11" s="137" t="s">
        <v>83</v>
      </c>
    </row>
    <row r="12" spans="1:11" ht="5.0999999999999996" customHeight="1">
      <c r="A12" s="138"/>
      <c r="B12" s="4"/>
      <c r="C12" s="4"/>
      <c r="D12" s="4"/>
      <c r="E12" s="4"/>
      <c r="F12" s="4"/>
      <c r="G12" s="4"/>
      <c r="H12" s="4"/>
      <c r="I12" s="4"/>
      <c r="J12" s="4"/>
      <c r="K12" s="4"/>
    </row>
    <row r="13" spans="1:11">
      <c r="A13" s="371" t="s">
        <v>152</v>
      </c>
      <c r="B13" s="139"/>
      <c r="C13" s="347"/>
      <c r="D13" s="139"/>
      <c r="E13" s="347"/>
      <c r="F13" s="139"/>
      <c r="G13" s="347"/>
      <c r="H13" s="139"/>
      <c r="I13" s="347"/>
      <c r="J13" s="139"/>
      <c r="K13" s="347"/>
    </row>
    <row r="14" spans="1:11">
      <c r="A14" s="140" t="s">
        <v>335</v>
      </c>
      <c r="B14" s="141"/>
      <c r="C14" s="344"/>
      <c r="D14" s="141"/>
      <c r="E14" s="344"/>
      <c r="F14" s="141"/>
      <c r="G14" s="344"/>
      <c r="H14" s="141"/>
      <c r="I14" s="344"/>
      <c r="J14" s="141">
        <v>4003411</v>
      </c>
      <c r="K14" s="344"/>
    </row>
    <row r="15" spans="1:11">
      <c r="A15" s="140" t="s">
        <v>336</v>
      </c>
      <c r="B15" s="141">
        <v>83792346</v>
      </c>
      <c r="C15" s="344">
        <f>B15/'- 13 -'!$J$54*100</f>
        <v>4.024236590950208</v>
      </c>
      <c r="D15" s="141">
        <v>6655004</v>
      </c>
      <c r="E15" s="344">
        <f>D15/'- 13 -'!$J$54*100</f>
        <v>0.31961523800419667</v>
      </c>
      <c r="F15" s="141">
        <v>706276</v>
      </c>
      <c r="G15" s="344">
        <f>F15/'- 13 -'!$J$54*100</f>
        <v>3.3919825117558457E-2</v>
      </c>
      <c r="H15" s="141">
        <v>795661</v>
      </c>
      <c r="I15" s="344">
        <f>H15/'- 13 -'!$J$54*100</f>
        <v>3.8212656203611174E-2</v>
      </c>
      <c r="J15" s="141">
        <v>20227230</v>
      </c>
      <c r="K15" s="344">
        <f>J15/'- 13 -'!$J$54*100</f>
        <v>0.97143907511034222</v>
      </c>
    </row>
    <row r="16" spans="1:11">
      <c r="A16" s="140" t="s">
        <v>337</v>
      </c>
      <c r="B16" s="141">
        <v>832907946</v>
      </c>
      <c r="C16" s="344">
        <f>B16/'- 13 -'!$J$54*100</f>
        <v>40.001489314863917</v>
      </c>
      <c r="D16" s="141">
        <v>144950898</v>
      </c>
      <c r="E16" s="344">
        <f>D16/'- 13 -'!$J$54*100</f>
        <v>6.961455735141862</v>
      </c>
      <c r="F16" s="141">
        <v>4469861</v>
      </c>
      <c r="G16" s="344">
        <f>F16/'- 13 -'!$J$54*100</f>
        <v>0.21467089837371647</v>
      </c>
      <c r="H16" s="141">
        <v>7728994</v>
      </c>
      <c r="I16" s="344">
        <f>H16/'- 13 -'!$J$54*100</f>
        <v>0.37119500707182268</v>
      </c>
      <c r="J16" s="141"/>
      <c r="K16" s="344">
        <f>J16/'- 13 -'!$J$54*100</f>
        <v>0</v>
      </c>
    </row>
    <row r="17" spans="1:12">
      <c r="A17" s="140" t="s">
        <v>338</v>
      </c>
      <c r="B17" s="141">
        <v>22287248</v>
      </c>
      <c r="C17" s="344">
        <f>B17/'- 13 -'!$J$54*100</f>
        <v>1.0703741235885893</v>
      </c>
      <c r="D17" s="141">
        <v>154136338</v>
      </c>
      <c r="E17" s="344">
        <f>D17/'- 13 -'!$J$54*100</f>
        <v>7.4025984589889511</v>
      </c>
      <c r="F17" s="141">
        <v>274398</v>
      </c>
      <c r="G17" s="344">
        <f>F17/'- 13 -'!$J$54*100</f>
        <v>1.3178321467256154E-2</v>
      </c>
      <c r="H17" s="141">
        <v>3479061</v>
      </c>
      <c r="I17" s="344">
        <f>H17/'- 13 -'!$J$54*100</f>
        <v>0.16708643744558507</v>
      </c>
      <c r="J17" s="141"/>
      <c r="K17" s="344">
        <f>J17/'- 13 -'!$J$54*100</f>
        <v>0</v>
      </c>
    </row>
    <row r="18" spans="1:12">
      <c r="A18" s="140" t="s">
        <v>339</v>
      </c>
      <c r="B18" s="141">
        <v>4818768</v>
      </c>
      <c r="C18" s="344">
        <f>B18/'- 13 -'!$J$54*100</f>
        <v>0.23142761164486256</v>
      </c>
      <c r="D18" s="141">
        <v>1410037</v>
      </c>
      <c r="E18" s="344">
        <f>D18/'- 13 -'!$J$54*100</f>
        <v>6.7718864083285826E-2</v>
      </c>
      <c r="F18" s="141">
        <v>152318</v>
      </c>
      <c r="G18" s="344">
        <f>F18/'- 13 -'!$J$54*100</f>
        <v>7.3152704073991895E-3</v>
      </c>
      <c r="H18" s="141">
        <v>1357983</v>
      </c>
      <c r="I18" s="344">
        <f>H18/'- 13 -'!$J$54*100</f>
        <v>6.5218902911351073E-2</v>
      </c>
      <c r="J18" s="141">
        <v>5226677</v>
      </c>
      <c r="K18" s="344">
        <f>J18/'- 13 -'!$J$54*100</f>
        <v>0.25101797284059646</v>
      </c>
    </row>
    <row r="19" spans="1:12">
      <c r="A19" s="142" t="s">
        <v>340</v>
      </c>
      <c r="B19" s="143">
        <v>36757372</v>
      </c>
      <c r="C19" s="345">
        <f>B19/'- 13 -'!$J$54*100</f>
        <v>1.7653206820294618</v>
      </c>
      <c r="D19" s="143">
        <v>2684332</v>
      </c>
      <c r="E19" s="345">
        <f>D19/'- 13 -'!$J$54*100</f>
        <v>0.12891854175629067</v>
      </c>
      <c r="F19" s="143">
        <v>366210</v>
      </c>
      <c r="G19" s="345">
        <f>F19/'- 13 -'!$J$54*100</f>
        <v>1.7587712390483443E-2</v>
      </c>
      <c r="H19" s="143">
        <v>716900</v>
      </c>
      <c r="I19" s="345">
        <f>H19/'- 13 -'!$J$54*100</f>
        <v>3.4430056559726877E-2</v>
      </c>
      <c r="J19" s="143">
        <v>15092789</v>
      </c>
      <c r="K19" s="345">
        <f>J19/'- 13 -'!$J$54*100</f>
        <v>0.72485085634540902</v>
      </c>
    </row>
    <row r="20" spans="1:12">
      <c r="A20" s="142" t="s">
        <v>341</v>
      </c>
      <c r="B20" s="144"/>
      <c r="C20" s="345"/>
      <c r="D20" s="144">
        <v>30924782</v>
      </c>
      <c r="E20" s="345">
        <f>D20/'- 13 -'!$J$54*100</f>
        <v>1.4852029479107598</v>
      </c>
      <c r="F20" s="144"/>
      <c r="G20" s="345"/>
      <c r="H20" s="144">
        <v>434505</v>
      </c>
      <c r="I20" s="345"/>
      <c r="J20" s="144"/>
      <c r="K20" s="345"/>
    </row>
    <row r="21" spans="1:12">
      <c r="A21" s="145" t="s">
        <v>342</v>
      </c>
      <c r="B21" s="146">
        <v>11015442</v>
      </c>
      <c r="C21" s="346">
        <f>B21/'- 13 -'!$J$54*100</f>
        <v>0.52903095423405067</v>
      </c>
      <c r="D21" s="146">
        <v>134048</v>
      </c>
      <c r="E21" s="346">
        <f>D21/'- 13 -'!$J$54*100</f>
        <v>6.4378298531430726E-3</v>
      </c>
      <c r="F21" s="146">
        <v>5300</v>
      </c>
      <c r="G21" s="346">
        <f>F21/'- 13 -'!$J$54*100</f>
        <v>2.5453940544922928E-4</v>
      </c>
      <c r="H21" s="146">
        <v>63002</v>
      </c>
      <c r="I21" s="346">
        <f>H21/'- 13 -'!$J$54*100</f>
        <v>3.0257531362476117E-3</v>
      </c>
      <c r="J21" s="146">
        <v>1644965</v>
      </c>
      <c r="K21" s="346">
        <f>J21/'- 13 -'!$J$54*100</f>
        <v>7.9001587374488938E-2</v>
      </c>
    </row>
    <row r="22" spans="1:12" ht="12.75" customHeight="1">
      <c r="A22" s="147" t="s">
        <v>343</v>
      </c>
      <c r="B22" s="153">
        <f>SUM(B14:B21)</f>
        <v>991579122</v>
      </c>
      <c r="C22" s="348">
        <f>B22/'- 13 -'!$J$54*100</f>
        <v>47.621879277311088</v>
      </c>
      <c r="D22" s="153">
        <f>SUM(D14:D21)</f>
        <v>340895439</v>
      </c>
      <c r="E22" s="348">
        <f>D22/'- 13 -'!$J$54*100</f>
        <v>16.371947615738492</v>
      </c>
      <c r="F22" s="153">
        <f>SUM(F14:F21)</f>
        <v>5974363</v>
      </c>
      <c r="G22" s="348">
        <f>F22/'- 13 -'!$J$54*100</f>
        <v>0.28692656716186293</v>
      </c>
      <c r="H22" s="153">
        <f>SUM(H14:H21)</f>
        <v>14576106</v>
      </c>
      <c r="I22" s="348">
        <f>H22/'- 13 -'!$J$54*100</f>
        <v>0.70003648207640434</v>
      </c>
      <c r="J22" s="153">
        <f>SUM(J14:J21)</f>
        <v>46195072</v>
      </c>
      <c r="K22" s="348">
        <f>J22/'- 13 -'!$J$54*100</f>
        <v>2.2185785210498752</v>
      </c>
    </row>
    <row r="23" spans="1:12">
      <c r="A23" s="371" t="s">
        <v>162</v>
      </c>
      <c r="B23" s="153">
        <v>60022009</v>
      </c>
      <c r="C23" s="348">
        <f>B23/'- 13 -'!$J$54*100</f>
        <v>2.8826351857977901</v>
      </c>
      <c r="D23" s="153">
        <v>34570160</v>
      </c>
      <c r="E23" s="348">
        <f>D23/'- 13 -'!$J$54*100</f>
        <v>1.6602769759782503</v>
      </c>
      <c r="F23" s="153">
        <v>422680</v>
      </c>
      <c r="G23" s="348">
        <f>F23/'- 13 -'!$J$54*100</f>
        <v>2.0299757716090609E-2</v>
      </c>
      <c r="H23" s="153">
        <v>1421475</v>
      </c>
      <c r="I23" s="348">
        <f>H23/'- 13 -'!$J$54*100</f>
        <v>6.8268188936027013E-2</v>
      </c>
      <c r="J23" s="153">
        <v>6734321</v>
      </c>
      <c r="K23" s="348">
        <f>J23/'- 13 -'!$J$54*100</f>
        <v>0.32342454027250173</v>
      </c>
    </row>
    <row r="24" spans="1:12">
      <c r="A24" s="371" t="s">
        <v>139</v>
      </c>
      <c r="B24" s="141"/>
      <c r="C24" s="344"/>
      <c r="D24" s="141"/>
      <c r="E24" s="344"/>
      <c r="F24" s="141"/>
      <c r="G24" s="344"/>
      <c r="H24" s="141"/>
      <c r="I24" s="344"/>
      <c r="J24" s="141"/>
      <c r="K24" s="344"/>
    </row>
    <row r="25" spans="1:12">
      <c r="A25" s="142" t="s">
        <v>344</v>
      </c>
      <c r="B25" s="143">
        <v>5455565</v>
      </c>
      <c r="C25" s="345">
        <f>B25/'- 13 -'!$J$54*100</f>
        <v>0.26201061726219327</v>
      </c>
      <c r="D25" s="143">
        <v>6071695</v>
      </c>
      <c r="E25" s="345">
        <f>D25/'- 13 -'!$J$54*100</f>
        <v>0.29160106327718077</v>
      </c>
      <c r="F25" s="143">
        <v>55375</v>
      </c>
      <c r="G25" s="345">
        <f>F25/'- 13 -'!$J$54*100</f>
        <v>2.6594565239152963E-3</v>
      </c>
      <c r="H25" s="143">
        <v>1286085</v>
      </c>
      <c r="I25" s="345">
        <f>H25/'- 13 -'!$J$54*100</f>
        <v>6.1765907784372076E-2</v>
      </c>
      <c r="J25" s="143">
        <v>3680931</v>
      </c>
      <c r="K25" s="345">
        <f>J25/'- 13 -'!$J$54*100</f>
        <v>0.17678150721502583</v>
      </c>
    </row>
    <row r="26" spans="1:12" ht="12" customHeight="1">
      <c r="A26" s="142" t="s">
        <v>345</v>
      </c>
      <c r="B26" s="143">
        <v>3967712</v>
      </c>
      <c r="C26" s="345">
        <f>B26/'- 13 -'!$J$54*100</f>
        <v>0.19055453839127778</v>
      </c>
      <c r="D26" s="143">
        <v>322816</v>
      </c>
      <c r="E26" s="345">
        <f>D26/'- 13 -'!$J$54*100</f>
        <v>1.5503659001792148E-2</v>
      </c>
      <c r="F26" s="143">
        <v>47722</v>
      </c>
      <c r="G26" s="345">
        <f>F26/'- 13 -'!$J$54*100</f>
        <v>2.2919112277071923E-3</v>
      </c>
      <c r="H26" s="143">
        <v>38870</v>
      </c>
      <c r="I26" s="345">
        <f>H26/'- 13 -'!$J$54*100</f>
        <v>1.8667823943040642E-3</v>
      </c>
      <c r="J26" s="143">
        <v>1245499</v>
      </c>
      <c r="K26" s="345">
        <f>J26/'- 13 -'!$J$54*100</f>
        <v>5.9816712254265957E-2</v>
      </c>
      <c r="L26" s="657" t="s">
        <v>216</v>
      </c>
    </row>
    <row r="27" spans="1:12" ht="12.75" customHeight="1">
      <c r="A27" s="142" t="s">
        <v>346</v>
      </c>
      <c r="B27" s="143"/>
      <c r="C27" s="345">
        <f>B27/'- 13 -'!$J$54*100</f>
        <v>0</v>
      </c>
      <c r="D27" s="143"/>
      <c r="E27" s="345">
        <f>D27/'- 13 -'!$J$54*100</f>
        <v>0</v>
      </c>
      <c r="F27" s="143">
        <v>44675</v>
      </c>
      <c r="G27" s="345">
        <f>F27/'- 13 -'!$J$54*100</f>
        <v>2.1455750827253429E-3</v>
      </c>
      <c r="H27" s="143"/>
      <c r="I27" s="345">
        <f>H27/'- 13 -'!$J$54*100</f>
        <v>0</v>
      </c>
      <c r="J27" s="143"/>
      <c r="K27" s="345">
        <f>J27/'- 13 -'!$J$54*100</f>
        <v>0</v>
      </c>
      <c r="L27" s="657"/>
    </row>
    <row r="28" spans="1:12" ht="12.75" customHeight="1">
      <c r="A28" s="142" t="s">
        <v>425</v>
      </c>
      <c r="B28" s="143">
        <v>2511836</v>
      </c>
      <c r="C28" s="345">
        <f>B28/'- 13 -'!$J$54*100</f>
        <v>0.12063419660867364</v>
      </c>
      <c r="D28" s="143">
        <v>2222113</v>
      </c>
      <c r="E28" s="345">
        <f>D28/'- 13 -'!$J$54*100</f>
        <v>0.10671987204924588</v>
      </c>
      <c r="F28" s="143">
        <v>86010</v>
      </c>
      <c r="G28" s="345">
        <f>F28/'- 13 -'!$J$54*100</f>
        <v>4.1307423137147562E-3</v>
      </c>
      <c r="H28" s="143">
        <v>126393</v>
      </c>
      <c r="I28" s="345">
        <f>H28/'- 13 -'!$J$54*100</f>
        <v>6.0701885043291381E-3</v>
      </c>
      <c r="J28" s="143">
        <v>2679426</v>
      </c>
      <c r="K28" s="345">
        <f>J28/'- 13 -'!$J$54*100</f>
        <v>0.12868292471418991</v>
      </c>
      <c r="L28" s="657"/>
    </row>
    <row r="29" spans="1:12" ht="12.75" customHeight="1">
      <c r="A29" s="142" t="s">
        <v>347</v>
      </c>
      <c r="B29" s="143"/>
      <c r="C29" s="345">
        <f>B29/'- 13 -'!$J$54*100</f>
        <v>0</v>
      </c>
      <c r="D29" s="143"/>
      <c r="E29" s="345">
        <f>D29/'- 13 -'!$J$54*100</f>
        <v>0</v>
      </c>
      <c r="F29" s="143"/>
      <c r="G29" s="345">
        <f>F29/'- 13 -'!$J$54*100</f>
        <v>0</v>
      </c>
      <c r="H29" s="143"/>
      <c r="I29" s="345">
        <f>H29/'- 13 -'!$J$54*100</f>
        <v>0</v>
      </c>
      <c r="J29" s="143"/>
      <c r="K29" s="345">
        <f>J29/'- 13 -'!$J$54*100</f>
        <v>0</v>
      </c>
      <c r="L29" s="657"/>
    </row>
    <row r="30" spans="1:12" ht="12.75" customHeight="1">
      <c r="A30" s="142" t="s">
        <v>348</v>
      </c>
      <c r="B30" s="143">
        <v>570703</v>
      </c>
      <c r="C30" s="345">
        <f>B30/'- 13 -'!$J$54*100</f>
        <v>2.7408755152470092E-2</v>
      </c>
      <c r="D30" s="143">
        <v>292710</v>
      </c>
      <c r="E30" s="345">
        <f>D30/'- 13 -'!$J$54*100</f>
        <v>1.4057779126234697E-2</v>
      </c>
      <c r="F30" s="143">
        <v>0</v>
      </c>
      <c r="G30" s="345">
        <f>F30/'- 13 -'!$J$54*100</f>
        <v>0</v>
      </c>
      <c r="H30" s="143"/>
      <c r="I30" s="345">
        <f>H30/'- 13 -'!$J$54*100</f>
        <v>0</v>
      </c>
      <c r="J30" s="143"/>
      <c r="K30" s="345">
        <f>J30/'- 13 -'!$J$54*100</f>
        <v>0</v>
      </c>
      <c r="L30" s="343"/>
    </row>
    <row r="31" spans="1:12" ht="12.75" customHeight="1">
      <c r="A31" s="142" t="s">
        <v>349</v>
      </c>
      <c r="B31" s="143">
        <v>597352</v>
      </c>
      <c r="C31" s="345">
        <f>B31/'- 13 -'!$J$54*100</f>
        <v>2.8688608098850564E-2</v>
      </c>
      <c r="D31" s="143">
        <v>21200</v>
      </c>
      <c r="E31" s="345">
        <f>D31/'- 13 -'!$J$54*100</f>
        <v>1.0181576217969171E-3</v>
      </c>
      <c r="F31" s="143">
        <v>3100</v>
      </c>
      <c r="G31" s="345">
        <f>F31/'- 13 -'!$J$54*100</f>
        <v>1.4888153903634162E-4</v>
      </c>
      <c r="H31" s="143">
        <v>117700</v>
      </c>
      <c r="I31" s="345">
        <f>H31/'- 13 -'!$J$54*100</f>
        <v>5.6526958530894872E-3</v>
      </c>
      <c r="J31" s="143">
        <v>281542</v>
      </c>
      <c r="K31" s="345">
        <f>J31/'- 13 -'!$J$54*100</f>
        <v>1.3521421375280548E-2</v>
      </c>
    </row>
    <row r="32" spans="1:12">
      <c r="A32" s="142" t="s">
        <v>350</v>
      </c>
      <c r="B32" s="143">
        <v>101031</v>
      </c>
      <c r="C32" s="345">
        <f>B32/'- 13 -'!$J$54*100</f>
        <v>4.8521454098002037E-3</v>
      </c>
      <c r="D32" s="143">
        <v>18164</v>
      </c>
      <c r="E32" s="345">
        <f>D32/'- 13 -'!$J$54*100</f>
        <v>8.7234976614713208E-4</v>
      </c>
      <c r="F32" s="143">
        <v>1717</v>
      </c>
      <c r="G32" s="345">
        <f>F32/'- 13 -'!$J$54*100</f>
        <v>8.2461162104967289E-5</v>
      </c>
      <c r="H32" s="143"/>
      <c r="I32" s="345">
        <f>H32/'- 13 -'!$J$54*100</f>
        <v>0</v>
      </c>
      <c r="J32" s="143">
        <v>1258437</v>
      </c>
      <c r="K32" s="345">
        <f>J32/'- 13 -'!$J$54*100</f>
        <v>6.0438076561379575E-2</v>
      </c>
    </row>
    <row r="33" spans="1:13">
      <c r="A33" s="142" t="s">
        <v>351</v>
      </c>
      <c r="B33" s="143">
        <v>2890886</v>
      </c>
      <c r="C33" s="345">
        <f>B33/'- 13 -'!$J$54*100</f>
        <v>0.13883856672858499</v>
      </c>
      <c r="D33" s="143">
        <v>90351</v>
      </c>
      <c r="E33" s="345">
        <f>D33/'- 13 -'!$J$54*100</f>
        <v>4.3392244946685492E-3</v>
      </c>
      <c r="F33" s="143">
        <v>43700</v>
      </c>
      <c r="G33" s="345">
        <f>F33/'- 13 -'!$J$54*100</f>
        <v>2.0987494373832676E-3</v>
      </c>
      <c r="H33" s="143">
        <v>14600</v>
      </c>
      <c r="I33" s="345">
        <f>H33/'- 13 -'!$J$54*100</f>
        <v>7.0118402255825419E-4</v>
      </c>
      <c r="J33" s="143">
        <v>218387</v>
      </c>
      <c r="K33" s="345">
        <f>J33/'- 13 -'!$J$54*100</f>
        <v>1.0488320214686949E-2</v>
      </c>
    </row>
    <row r="34" spans="1:13">
      <c r="A34" s="142" t="s">
        <v>352</v>
      </c>
      <c r="B34" s="143">
        <v>2387568</v>
      </c>
      <c r="C34" s="345">
        <f>B34/'- 13 -'!$J$54*100</f>
        <v>0.11466606399803876</v>
      </c>
      <c r="D34" s="143">
        <v>177851</v>
      </c>
      <c r="E34" s="345">
        <f>D34/'- 13 -'!$J$54*100</f>
        <v>8.5415259997265788E-3</v>
      </c>
      <c r="F34" s="143">
        <v>336598</v>
      </c>
      <c r="G34" s="345">
        <f>F34/'- 13 -'!$J$54*100</f>
        <v>1.6165557508565975E-2</v>
      </c>
      <c r="H34" s="143">
        <v>294916</v>
      </c>
      <c r="I34" s="345">
        <f>H34/'- 13 -'!$J$54*100</f>
        <v>1.4163725150465075E-2</v>
      </c>
      <c r="J34" s="143">
        <v>459876</v>
      </c>
      <c r="K34" s="345">
        <f>J34/'- 13 -'!$J$54*100</f>
        <v>2.2086144079315046E-2</v>
      </c>
    </row>
    <row r="35" spans="1:13">
      <c r="A35" s="516" t="s">
        <v>466</v>
      </c>
      <c r="B35" s="143"/>
      <c r="C35" s="345">
        <f>B35/'- 13 -'!$J$54*100</f>
        <v>0</v>
      </c>
      <c r="D35" s="143"/>
      <c r="E35" s="345">
        <f>D35/'- 13 -'!$J$54*100</f>
        <v>0</v>
      </c>
      <c r="F35" s="143">
        <v>3068</v>
      </c>
      <c r="G35" s="345">
        <f>F35/'- 13 -'!$J$54*100</f>
        <v>1.4734469734306328E-4</v>
      </c>
      <c r="H35" s="143"/>
      <c r="I35" s="345">
        <f>H35/'- 13 -'!$J$54*100</f>
        <v>0</v>
      </c>
      <c r="J35" s="143"/>
      <c r="K35" s="345">
        <f>J35/'- 13 -'!$J$54*100</f>
        <v>0</v>
      </c>
    </row>
    <row r="36" spans="1:13">
      <c r="A36" s="142" t="s">
        <v>353</v>
      </c>
      <c r="B36" s="143">
        <v>334200</v>
      </c>
      <c r="C36" s="345">
        <f>B36/'- 13 -'!$J$54*100</f>
        <v>1.6050390434175926E-2</v>
      </c>
      <c r="D36" s="143">
        <v>37780</v>
      </c>
      <c r="E36" s="345">
        <f>D36/'- 13 -'!$J$54*100</f>
        <v>1.8144337241267699E-3</v>
      </c>
      <c r="F36" s="143">
        <v>10400</v>
      </c>
      <c r="G36" s="345">
        <f>F36/'- 13 -'!$J$54*100</f>
        <v>4.9947355031546871E-4</v>
      </c>
      <c r="H36" s="143">
        <v>117800</v>
      </c>
      <c r="I36" s="345">
        <f>H36/'- 13 -'!$J$54*100</f>
        <v>5.6574984833809823E-3</v>
      </c>
      <c r="J36" s="143">
        <v>606896</v>
      </c>
      <c r="K36" s="345">
        <f>J36/'- 13 -'!$J$54*100</f>
        <v>2.9146971133870835E-2</v>
      </c>
    </row>
    <row r="37" spans="1:13">
      <c r="A37" s="142" t="s">
        <v>354</v>
      </c>
      <c r="B37" s="143">
        <v>1010395</v>
      </c>
      <c r="C37" s="345">
        <f>B37/'- 13 -'!$J$54*100</f>
        <v>4.8525536333749807E-2</v>
      </c>
      <c r="D37" s="143">
        <v>90743</v>
      </c>
      <c r="E37" s="345">
        <f>D37/'- 13 -'!$J$54*100</f>
        <v>4.3580508054112095E-3</v>
      </c>
      <c r="F37" s="143">
        <v>200</v>
      </c>
      <c r="G37" s="345">
        <f>F37/'- 13 -'!$J$54*100</f>
        <v>9.605260582989784E-6</v>
      </c>
      <c r="H37" s="143">
        <v>2355</v>
      </c>
      <c r="I37" s="345">
        <f>H37/'- 13 -'!$J$54*100</f>
        <v>1.1310194336470469E-4</v>
      </c>
      <c r="J37" s="143">
        <v>2125443</v>
      </c>
      <c r="K37" s="345">
        <f>J37/'- 13 -'!$J$54*100</f>
        <v>0.10207716934645776</v>
      </c>
    </row>
    <row r="38" spans="1:13">
      <c r="A38" s="149" t="s">
        <v>355</v>
      </c>
      <c r="B38" s="143">
        <v>397819</v>
      </c>
      <c r="C38" s="345">
        <f>B38/'- 13 -'!$J$54*100</f>
        <v>1.9105775799322065E-2</v>
      </c>
      <c r="D38" s="143">
        <v>196770</v>
      </c>
      <c r="E38" s="345">
        <f>D38/'- 13 -'!$J$54*100</f>
        <v>9.4501356245744982E-3</v>
      </c>
      <c r="F38" s="143">
        <v>45415</v>
      </c>
      <c r="G38" s="345">
        <f>F38/'- 13 -'!$J$54*100</f>
        <v>2.1811145468824053E-3</v>
      </c>
      <c r="H38" s="143">
        <v>69819</v>
      </c>
      <c r="I38" s="345">
        <f>H38/'- 13 -'!$J$54*100</f>
        <v>3.3531484432188187E-3</v>
      </c>
      <c r="J38" s="143">
        <v>1576785</v>
      </c>
      <c r="K38" s="345">
        <f>J38/'- 13 -'!$J$54*100</f>
        <v>7.5727154041747721E-2</v>
      </c>
    </row>
    <row r="39" spans="1:13">
      <c r="A39" s="150" t="s">
        <v>356</v>
      </c>
      <c r="B39" s="146">
        <v>7346871</v>
      </c>
      <c r="C39" s="346">
        <f>B39/'- 13 -'!$J$54*100</f>
        <v>0.35284305212305367</v>
      </c>
      <c r="D39" s="146">
        <v>16850</v>
      </c>
      <c r="E39" s="346">
        <f>D39/'- 13 -'!$J$54*100</f>
        <v>8.0924320411688926E-4</v>
      </c>
      <c r="F39" s="146">
        <v>12969</v>
      </c>
      <c r="G39" s="346">
        <f>F39/'- 13 -'!$J$54*100</f>
        <v>6.228531225039725E-4</v>
      </c>
      <c r="H39" s="146">
        <v>9300</v>
      </c>
      <c r="I39" s="346">
        <f>H39/'- 13 -'!$J$54*100</f>
        <v>4.4664461710902491E-4</v>
      </c>
      <c r="J39" s="146">
        <v>2085985</v>
      </c>
      <c r="K39" s="346">
        <f>J39/'- 13 -'!$J$54*100</f>
        <v>0.10018214748603971</v>
      </c>
    </row>
    <row r="40" spans="1:13">
      <c r="A40" s="147" t="s">
        <v>357</v>
      </c>
      <c r="B40" s="153">
        <f>SUM(B25:B39)</f>
        <v>27571938</v>
      </c>
      <c r="C40" s="348">
        <f>B40/'- 13 -'!$J$54*100</f>
        <v>1.3241782463401908</v>
      </c>
      <c r="D40" s="153">
        <f>SUM(D25:D39)</f>
        <v>9559043</v>
      </c>
      <c r="E40" s="348">
        <f>D40/'- 13 -'!$J$54*100</f>
        <v>0.45908549469502208</v>
      </c>
      <c r="F40" s="153">
        <f>SUM(F25:F39)</f>
        <v>690949</v>
      </c>
      <c r="G40" s="348">
        <f>F40/'- 13 -'!$J$54*100</f>
        <v>3.3183725972781034E-2</v>
      </c>
      <c r="H40" s="153">
        <f>SUM(H25:H39)</f>
        <v>2077838</v>
      </c>
      <c r="I40" s="348">
        <f>H40/'- 13 -'!$J$54*100</f>
        <v>9.9790877196191632E-2</v>
      </c>
      <c r="J40" s="153">
        <f>SUM(J25:J39)</f>
        <v>16219207</v>
      </c>
      <c r="K40" s="348">
        <f>J40/'- 13 -'!$J$54*100</f>
        <v>0.7789485484222598</v>
      </c>
    </row>
    <row r="41" spans="1:13">
      <c r="A41" s="371" t="s">
        <v>358</v>
      </c>
      <c r="B41" s="151"/>
      <c r="C41" s="349"/>
      <c r="D41" s="151"/>
      <c r="E41" s="349"/>
      <c r="F41" s="151"/>
      <c r="G41" s="349"/>
      <c r="H41" s="151"/>
      <c r="I41" s="349"/>
      <c r="J41" s="151"/>
      <c r="K41" s="349"/>
    </row>
    <row r="42" spans="1:13">
      <c r="A42" s="142" t="s">
        <v>359</v>
      </c>
      <c r="B42" s="143">
        <v>32766120</v>
      </c>
      <c r="C42" s="345">
        <f>B42/'- 13 -'!$J$54*100</f>
        <v>1.5736356044675659</v>
      </c>
      <c r="D42" s="143">
        <v>3285885</v>
      </c>
      <c r="E42" s="345">
        <f>D42/'- 13 -'!$J$54*100</f>
        <v>0.15780890835368691</v>
      </c>
      <c r="F42" s="143">
        <v>101809</v>
      </c>
      <c r="G42" s="345">
        <f>F42/'- 13 -'!$J$54*100</f>
        <v>4.8895098734680342E-3</v>
      </c>
      <c r="H42" s="143">
        <v>1484567</v>
      </c>
      <c r="I42" s="345">
        <f>H42/'- 13 -'!$J$54*100</f>
        <v>7.1298264439536962E-2</v>
      </c>
      <c r="J42" s="143">
        <v>1506101</v>
      </c>
      <c r="K42" s="345">
        <f>J42/'- 13 -'!$J$54*100</f>
        <v>7.2332462846507475E-2</v>
      </c>
    </row>
    <row r="43" spans="1:13">
      <c r="A43" s="142" t="s">
        <v>360</v>
      </c>
      <c r="B43" s="143">
        <v>12192952</v>
      </c>
      <c r="C43" s="345">
        <f>B43/'- 13 -'!$J$54*100</f>
        <v>0.58558240617943225</v>
      </c>
      <c r="D43" s="143">
        <v>777880</v>
      </c>
      <c r="E43" s="345">
        <f>D43/'- 13 -'!$J$54*100</f>
        <v>3.7358700511480464E-2</v>
      </c>
      <c r="F43" s="143">
        <v>68565</v>
      </c>
      <c r="G43" s="345">
        <f>F43/'- 13 -'!$J$54*100</f>
        <v>3.2929234593634723E-3</v>
      </c>
      <c r="H43" s="143">
        <v>126046</v>
      </c>
      <c r="I43" s="345">
        <f>H43/'- 13 -'!$J$54*100</f>
        <v>6.0535233772176511E-3</v>
      </c>
      <c r="J43" s="143">
        <v>145500</v>
      </c>
      <c r="K43" s="345">
        <f>J43/'- 13 -'!$J$54*100</f>
        <v>6.9878270741250675E-3</v>
      </c>
    </row>
    <row r="44" spans="1:13">
      <c r="A44" s="142" t="s">
        <v>361</v>
      </c>
      <c r="B44" s="143">
        <v>10051430</v>
      </c>
      <c r="C44" s="345">
        <f>B44/'- 13 -'!$J$54*100</f>
        <v>0.482733021908405</v>
      </c>
      <c r="D44" s="143">
        <v>586964</v>
      </c>
      <c r="E44" s="345">
        <f>D44/'- 13 -'!$J$54*100</f>
        <v>2.8189710864170076E-2</v>
      </c>
      <c r="F44" s="143">
        <v>163550</v>
      </c>
      <c r="G44" s="345">
        <f>F44/'- 13 -'!$J$54*100</f>
        <v>7.8547018417398952E-3</v>
      </c>
      <c r="H44" s="143">
        <v>11396</v>
      </c>
      <c r="I44" s="345">
        <f>H44/'- 13 -'!$J$54*100</f>
        <v>5.4730774801875785E-4</v>
      </c>
      <c r="J44" s="143">
        <v>322647</v>
      </c>
      <c r="K44" s="345">
        <f>J44/'- 13 -'!$J$54*100</f>
        <v>1.5495542556599523E-2</v>
      </c>
    </row>
    <row r="45" spans="1:13">
      <c r="A45" s="150" t="s">
        <v>362</v>
      </c>
      <c r="B45" s="146">
        <v>18549623</v>
      </c>
      <c r="C45" s="346">
        <f>B45/'- 13 -'!$J$54*100</f>
        <v>0.89086981315610347</v>
      </c>
      <c r="D45" s="146">
        <v>624252</v>
      </c>
      <c r="E45" s="346">
        <f>D45/'- 13 -'!$J$54*100</f>
        <v>2.9980515647262691E-2</v>
      </c>
      <c r="F45" s="146">
        <v>36657</v>
      </c>
      <c r="G45" s="346">
        <f>F45/'- 13 -'!$J$54*100</f>
        <v>1.7605001859532824E-3</v>
      </c>
      <c r="H45" s="146">
        <v>46375</v>
      </c>
      <c r="I45" s="346">
        <f>H45/'- 13 -'!$J$54*100</f>
        <v>2.227219797680756E-3</v>
      </c>
      <c r="J45" s="146">
        <v>718561</v>
      </c>
      <c r="K45" s="346">
        <f>J45/'- 13 -'!$J$54*100</f>
        <v>3.4509828248868613E-2</v>
      </c>
    </row>
    <row r="46" spans="1:13">
      <c r="A46" s="147" t="s">
        <v>363</v>
      </c>
      <c r="B46" s="153">
        <f>SUM(B42:B45)</f>
        <v>73560125</v>
      </c>
      <c r="C46" s="348">
        <f>B46/'- 13 -'!$J$54*100</f>
        <v>3.5328208457115067</v>
      </c>
      <c r="D46" s="153">
        <f>SUM(D42:D45)</f>
        <v>5274981</v>
      </c>
      <c r="E46" s="348">
        <f>D46/'- 13 -'!$J$54*100</f>
        <v>0.25333783537660015</v>
      </c>
      <c r="F46" s="153">
        <f>SUM(F42:F45)</f>
        <v>370581</v>
      </c>
      <c r="G46" s="348">
        <f>F46/'- 13 -'!$J$54*100</f>
        <v>1.7797635360524682E-2</v>
      </c>
      <c r="H46" s="153">
        <f>SUM(H42:H45)</f>
        <v>1668384</v>
      </c>
      <c r="I46" s="348">
        <f>H46/'- 13 -'!$J$54*100</f>
        <v>8.012631536245414E-2</v>
      </c>
      <c r="J46" s="153">
        <f>SUM(J42:J45)</f>
        <v>2692809</v>
      </c>
      <c r="K46" s="348">
        <f>J46/'- 13 -'!$J$54*100</f>
        <v>0.12932566072610066</v>
      </c>
    </row>
    <row r="47" spans="1:13">
      <c r="A47" s="371" t="s">
        <v>95</v>
      </c>
      <c r="B47" s="151"/>
      <c r="C47" s="349"/>
      <c r="D47" s="151"/>
      <c r="E47" s="349"/>
      <c r="F47" s="151"/>
      <c r="G47" s="349"/>
      <c r="H47" s="151"/>
      <c r="I47" s="349"/>
      <c r="J47" s="151"/>
      <c r="K47" s="349"/>
    </row>
    <row r="48" spans="1:13" ht="15" customHeight="1">
      <c r="A48" s="150" t="s">
        <v>461</v>
      </c>
      <c r="B48" s="152"/>
      <c r="C48" s="346"/>
      <c r="D48" s="152"/>
      <c r="E48" s="346"/>
      <c r="F48" s="146">
        <v>37000</v>
      </c>
      <c r="G48" s="346"/>
      <c r="H48" s="152"/>
      <c r="I48" s="346"/>
      <c r="J48" s="146">
        <v>-37000</v>
      </c>
      <c r="K48" s="346"/>
      <c r="M48" s="1">
        <f>F48+J48+'- 13 -'!F48</f>
        <v>0</v>
      </c>
    </row>
    <row r="49" spans="1:11">
      <c r="A49" s="147" t="s">
        <v>366</v>
      </c>
      <c r="B49" s="147"/>
      <c r="C49" s="348"/>
      <c r="D49" s="147"/>
      <c r="E49" s="348"/>
      <c r="F49" s="153">
        <f>F48</f>
        <v>37000</v>
      </c>
      <c r="G49" s="348"/>
      <c r="H49" s="147"/>
      <c r="I49" s="348"/>
      <c r="J49" s="153">
        <f>J48</f>
        <v>-37000</v>
      </c>
      <c r="K49" s="348"/>
    </row>
    <row r="50" spans="1:11" ht="5.0999999999999996" customHeight="1">
      <c r="A50" s="27"/>
      <c r="B50" s="31"/>
      <c r="C50" s="350"/>
      <c r="D50" s="92"/>
      <c r="E50" s="350"/>
      <c r="F50" s="92"/>
      <c r="G50" s="350"/>
      <c r="H50" s="92"/>
      <c r="I50" s="350"/>
      <c r="J50" s="92"/>
      <c r="K50" s="350"/>
    </row>
    <row r="51" spans="1:11">
      <c r="A51" s="372" t="s">
        <v>367</v>
      </c>
      <c r="B51" s="493">
        <f>SUM(B47,B46,B40,B23,B22)</f>
        <v>1152733194</v>
      </c>
      <c r="C51" s="494">
        <f>B51/'- 13 -'!$J$54*100</f>
        <v>55.36151355516057</v>
      </c>
      <c r="D51" s="493">
        <f>SUM(D47,D46,D40,D23,D22)</f>
        <v>390299623</v>
      </c>
      <c r="E51" s="494">
        <f>D51/'- 13 -'!$J$54*100</f>
        <v>18.744647921788363</v>
      </c>
      <c r="F51" s="493">
        <f>SUM(F49,F46,F40,F23,F22)</f>
        <v>7495573</v>
      </c>
      <c r="G51" s="494">
        <f>F51/'- 13 -'!$J$54*100</f>
        <v>0.3599846594191124</v>
      </c>
      <c r="H51" s="493">
        <f>SUM(H47,H46,H40,H23,H22)</f>
        <v>19743803</v>
      </c>
      <c r="I51" s="494">
        <f>H51/'- 13 -'!$J$54*100</f>
        <v>0.94822186357107707</v>
      </c>
      <c r="J51" s="493">
        <f>SUM(J49,J46,J40,J23,J22)</f>
        <v>71804409</v>
      </c>
      <c r="K51" s="494">
        <f>J51/'- 13 -'!$J$54*100</f>
        <v>3.4485002972628838</v>
      </c>
    </row>
    <row r="52" spans="1:11" ht="20.100000000000001" customHeight="1">
      <c r="A52" s="156" t="s">
        <v>462</v>
      </c>
    </row>
  </sheetData>
  <mergeCells count="1">
    <mergeCell ref="L26:L29"/>
  </mergeCells>
  <phoneticPr fontId="0" type="noConversion"/>
  <printOptions verticalCentered="1"/>
  <pageMargins left="0.74803149606299213" right="0" top="0.31496062992125984" bottom="0.31496062992125984"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60</vt:i4>
      </vt:variant>
    </vt:vector>
  </HeadingPairs>
  <TitlesOfParts>
    <vt:vector size="115"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- 39 -</vt:lpstr>
      <vt:lpstr>- 41 -</vt:lpstr>
      <vt:lpstr>- 42 -</vt:lpstr>
      <vt:lpstr>- 43 -</vt:lpstr>
      <vt:lpstr>- 44 -</vt:lpstr>
      <vt:lpstr>- 45 -</vt:lpstr>
      <vt:lpstr>- 46 -</vt:lpstr>
      <vt:lpstr>- 48 -</vt:lpstr>
      <vt:lpstr>- 49 - </vt:lpstr>
      <vt:lpstr>- 51 -</vt:lpstr>
      <vt:lpstr>- 52 -</vt:lpstr>
      <vt:lpstr>- 53 -</vt:lpstr>
      <vt:lpstr>- 54 -</vt:lpstr>
      <vt:lpstr>- 55 -</vt:lpstr>
      <vt:lpstr>- 56 -</vt:lpstr>
      <vt:lpstr>- 57 -</vt:lpstr>
      <vt:lpstr>- 58 -</vt:lpstr>
      <vt:lpstr>- 59 -</vt:lpstr>
      <vt:lpstr>- 60 -</vt:lpstr>
      <vt:lpstr>- 61 -</vt:lpstr>
      <vt:lpstr>Data</vt:lpstr>
      <vt:lpstr>OPYEAR</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'- 39 -'!Print_Area</vt:lpstr>
      <vt:lpstr>'- 4 -'!Print_Area</vt:lpstr>
      <vt:lpstr>'- 41 -'!Print_Area</vt:lpstr>
      <vt:lpstr>'- 42 -'!Print_Area</vt:lpstr>
      <vt:lpstr>'- 43 -'!Print_Area</vt:lpstr>
      <vt:lpstr>'- 44 -'!Print_Area</vt:lpstr>
      <vt:lpstr>'- 45 -'!Print_Area</vt:lpstr>
      <vt:lpstr>'- 46 -'!Print_Area</vt:lpstr>
      <vt:lpstr>'- 48 -'!Print_Area</vt:lpstr>
      <vt:lpstr>'- 49 - '!Print_Area</vt:lpstr>
      <vt:lpstr>'- 51 -'!Print_Area</vt:lpstr>
      <vt:lpstr>'- 52 -'!Print_Area</vt:lpstr>
      <vt:lpstr>'- 53 -'!Print_Area</vt:lpstr>
      <vt:lpstr>'- 54 -'!Print_Area</vt:lpstr>
      <vt:lpstr>'- 55 -'!Print_Area</vt:lpstr>
      <vt:lpstr>'- 56 -'!Print_Area</vt:lpstr>
      <vt:lpstr>'- 57 -'!Print_Area</vt:lpstr>
      <vt:lpstr>'- 58 -'!Print_Area</vt:lpstr>
      <vt:lpstr>'- 59 -'!Print_Area</vt:lpstr>
      <vt:lpstr>'- 6 -'!Print_Area</vt:lpstr>
      <vt:lpstr>'- 60 -'!Print_Area</vt:lpstr>
      <vt:lpstr>'- 61 -'!Print_Area</vt:lpstr>
      <vt:lpstr>'- 7 -'!Print_Area</vt:lpstr>
      <vt:lpstr>'- 8 -'!Print_Area</vt:lpstr>
      <vt:lpstr>'- 9 -'!Print_Area</vt:lpstr>
      <vt:lpstr>Data!Print_Area</vt:lpstr>
      <vt:lpstr>README!Print_Area</vt:lpstr>
      <vt:lpstr>REVYEAR</vt:lpstr>
      <vt:lpstr>STATDATE</vt:lpstr>
      <vt:lpstr>TAXYEAR</vt:lpstr>
      <vt:lpstr>YEAR</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Pizarro, Gonzalo (EDU)</dc:creator>
  <cp:lastModifiedBy>GPizarro</cp:lastModifiedBy>
  <cp:lastPrinted>2013-07-18T15:05:51Z</cp:lastPrinted>
  <dcterms:created xsi:type="dcterms:W3CDTF">1999-01-19T20:49:35Z</dcterms:created>
  <dcterms:modified xsi:type="dcterms:W3CDTF">2013-10-22T19:41:10Z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-62527470</vt:i4>
  </property>
  <property fmtid="{D5CDD505-2E9C-101B-9397-08002B2CF9AE}" pid="3" name="_NewReviewCycle">
    <vt:lpwstr/>
  </property>
  <property fmtid="{D5CDD505-2E9C-101B-9397-08002B2CF9AE}" pid="4" name="_EmailSubject">
    <vt:lpwstr>2013-14 Frame Report Budget</vt:lpwstr>
  </property>
  <property fmtid="{D5CDD505-2E9C-101B-9397-08002B2CF9AE}" pid="5" name="_AuthorEmail">
    <vt:lpwstr>Gonzalo.Pizarro@gov.mb.ca</vt:lpwstr>
  </property>
  <property fmtid="{D5CDD505-2E9C-101B-9397-08002B2CF9AE}" pid="6" name="_AuthorEmailDisplayName">
    <vt:lpwstr>Pizarro, Gonzalo (EDU)</vt:lpwstr>
  </property>
</Properties>
</file>