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5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codeName="ThisWorkbook"/>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38661" r:id="rId19"/>
    <sheet name="- 24 -" sheetId="82" r:id="rId20"/>
    <sheet name="- 25 -" sheetId="25" r:id="rId21"/>
    <sheet name="- 26 -" sheetId="26" r:id="rId22"/>
    <sheet name="- 27 -" sheetId="27" r:id="rId23"/>
    <sheet name="- 28 -" sheetId="38655" r:id="rId24"/>
    <sheet name="- 29 -" sheetId="38656" r:id="rId25"/>
    <sheet name="- 30 -" sheetId="34" r:id="rId26"/>
    <sheet name="- 31 -" sheetId="35" r:id="rId27"/>
    <sheet name="- 32 -" sheetId="36" r:id="rId28"/>
    <sheet name="- 33 -" sheetId="37" r:id="rId29"/>
    <sheet name="- 34 -" sheetId="38" r:id="rId30"/>
    <sheet name="- 35 -" sheetId="39" r:id="rId31"/>
    <sheet name="- 36 -" sheetId="40" r:id="rId32"/>
    <sheet name="- 37 -" sheetId="41" r:id="rId33"/>
    <sheet name="- 38 -" sheetId="54" r:id="rId34"/>
    <sheet name="- 39 -" sheetId="76" r:id="rId35"/>
    <sheet name="- 41 -" sheetId="42" r:id="rId36"/>
    <sheet name="- 42 -" sheetId="43" r:id="rId37"/>
    <sheet name="- 43 -" sheetId="44" r:id="rId38"/>
    <sheet name="- 44 -" sheetId="45" r:id="rId39"/>
    <sheet name="- 45 -" sheetId="70" r:id="rId40"/>
    <sheet name="- 46 -" sheetId="33" r:id="rId41"/>
    <sheet name="- 47 -" sheetId="32" r:id="rId42"/>
    <sheet name="- 48 -" sheetId="48" r:id="rId43"/>
    <sheet name="- 49 -" sheetId="38663" r:id="rId44"/>
    <sheet name="- 50 -" sheetId="38665" r:id="rId45"/>
    <sheet name="- 51 -" sheetId="38670" r:id="rId46"/>
    <sheet name="- 52 -" sheetId="38662" r:id="rId47"/>
    <sheet name="- 54 -" sheetId="38651" r:id="rId48"/>
    <sheet name="- 55 - " sheetId="38668" r:id="rId49"/>
    <sheet name="- 56 -" sheetId="38654" r:id="rId50"/>
    <sheet name="- 58 -" sheetId="81" r:id="rId51"/>
    <sheet name="- 59 -" sheetId="47" r:id="rId52"/>
    <sheet name="- 60 -" sheetId="46" r:id="rId53"/>
    <sheet name="- 61 -" sheetId="52" r:id="rId54"/>
    <sheet name="- 62 -" sheetId="78" r:id="rId55"/>
    <sheet name="- 63 -" sheetId="38658" r:id="rId56"/>
    <sheet name="- 64 -" sheetId="38659" r:id="rId57"/>
    <sheet name="- 65 -" sheetId="38666" r:id="rId58"/>
    <sheet name="- 66 -" sheetId="38667" r:id="rId59"/>
    <sheet name="- 67 -" sheetId="38648" r:id="rId60"/>
    <sheet name="Data" sheetId="3188" state="hidden" r:id="rId61"/>
  </sheets>
  <externalReferences>
    <externalReference r:id="rId62"/>
    <externalReference r:id="rId63"/>
    <externalReference r:id="rId64"/>
    <externalReference r:id="rId65"/>
  </externalReferences>
  <definedNames>
    <definedName name="_Fill" localSheetId="45" hidden="1">#REF!</definedName>
    <definedName name="_Fill" localSheetId="57" hidden="1">#REF!</definedName>
    <definedName name="_Fill" localSheetId="0" hidden="1">#REF!</definedName>
    <definedName name="_Fill" hidden="1">#REF!</definedName>
    <definedName name="_Order1" hidden="1">0</definedName>
    <definedName name="capyear" localSheetId="43">'- 49 -'!$B$3</definedName>
    <definedName name="capyear" localSheetId="48">#REF!</definedName>
    <definedName name="capyear" localSheetId="57">#REF!</definedName>
    <definedName name="capyear" localSheetId="58">#REF!</definedName>
    <definedName name="capyear">'- 47 -'!$B$3</definedName>
    <definedName name="CurrY" localSheetId="0">[1]Data!$B$5</definedName>
    <definedName name="CurrY">Data!$B$5</definedName>
    <definedName name="DATE_ENTRY" localSheetId="45">#REF!</definedName>
    <definedName name="DATE_ENTRY" localSheetId="0">#REF!</definedName>
    <definedName name="DATE_ENTRY">#REF!</definedName>
    <definedName name="DIV">[2]Data!$A$9:$A$696</definedName>
    <definedName name="DIVNUM">[3]DATA!$B$1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19" hidden="1">{"'- 4 -'!$A$1:$G$76","'-3 -'!$A$1:$G$77"}</definedName>
    <definedName name="HTML_Control" localSheetId="43" hidden="1">{"'- 4 -'!$A$1:$G$76","'-3 -'!$A$1:$G$77"}</definedName>
    <definedName name="HTML_Control" localSheetId="44" hidden="1">{"'- 4 -'!$A$1:$G$76","'-3 -'!$A$1:$G$77"}</definedName>
    <definedName name="HTML_Control" localSheetId="46" hidden="1">{"'- 4 -'!$A$1:$G$76","'-3 -'!$A$1:$G$77"}</definedName>
    <definedName name="HTML_Control" localSheetId="48" hidden="1">{"'- 4 -'!$A$1:$G$76","'-3 -'!$A$1:$G$77"}</definedName>
    <definedName name="HTML_Control" localSheetId="51"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59"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[3]DATA!$D$1:$D$39</definedName>
    <definedName name="LOADED1" localSheetId="45">#REF!</definedName>
    <definedName name="LOADED1" localSheetId="0">#REF!</definedName>
    <definedName name="LOADED1">#REF!</definedName>
    <definedName name="LOADED2" localSheetId="45">#REF!</definedName>
    <definedName name="LOADED2">#REF!</definedName>
    <definedName name="LOADED3" localSheetId="45">#REF!</definedName>
    <definedName name="LOADED3">#REF!</definedName>
    <definedName name="NOW" localSheetId="45">#REF!</definedName>
    <definedName name="NOW">#REF!</definedName>
    <definedName name="OD_FINISH" localSheetId="45">#REF!</definedName>
    <definedName name="OD_FINISH">#REF!</definedName>
    <definedName name="OD_FIRST" localSheetId="45">#REF!</definedName>
    <definedName name="OD_FIRST">#REF!</definedName>
    <definedName name="OD_LAST" localSheetId="45">#REF!</definedName>
    <definedName name="OD_LAST">#REF!</definedName>
    <definedName name="OD_START" localSheetId="45">#REF!</definedName>
    <definedName name="OD_START">#REF!</definedName>
    <definedName name="ONE_AM" localSheetId="45">#REF!</definedName>
    <definedName name="ONE_AM">#REF!</definedName>
    <definedName name="ONE_PM" localSheetId="45">#REF!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'- 21 -'!$A$1:$J$55</definedName>
    <definedName name="_xlnm.Print_Area" localSheetId="17">'- 22 -'!$A$1:$I$54</definedName>
    <definedName name="_xlnm.Print_Area" localSheetId="19">'- 24 -'!$A$1:$F$52</definedName>
    <definedName name="_xlnm.Print_Area" localSheetId="20">'- 25 -'!$A$1:$I$52</definedName>
    <definedName name="_xlnm.Print_Area" localSheetId="21">'- 26 -'!$A$1:$J$52</definedName>
    <definedName name="_xlnm.Print_Area" localSheetId="22">'- 27 -'!$A$1:$E$52</definedName>
    <definedName name="_xlnm.Print_Area" localSheetId="23">'- 28 -'!$A$1:$J$52</definedName>
    <definedName name="_xlnm.Print_Area" localSheetId="24">'- 29 -'!$A$1:$J$53</definedName>
    <definedName name="_xlnm.Print_Area" localSheetId="1">'- 3 -'!$A$2:$F$58</definedName>
    <definedName name="_xlnm.Print_Area" localSheetId="25">'- 30 -'!$A$1:$G$52</definedName>
    <definedName name="_xlnm.Print_Area" localSheetId="26">'- 31 -'!$A$1:$G$52</definedName>
    <definedName name="_xlnm.Print_Area" localSheetId="27">'- 32 -'!$A$1:$G$52</definedName>
    <definedName name="_xlnm.Print_Area" localSheetId="28">'- 33 -'!$A$1:$F$52</definedName>
    <definedName name="_xlnm.Print_Area" localSheetId="29">'- 34 -'!$A$1:$G$52</definedName>
    <definedName name="_xlnm.Print_Area" localSheetId="30">'- 35 -'!$A$1:$H$52</definedName>
    <definedName name="_xlnm.Print_Area" localSheetId="31">'- 36 -'!$A$1:$E$52</definedName>
    <definedName name="_xlnm.Print_Area" localSheetId="32">'- 37 -'!$A$1:$G$54</definedName>
    <definedName name="_xlnm.Print_Area" localSheetId="33">'- 38 -'!$A$1:$J$56</definedName>
    <definedName name="_xlnm.Print_Area" localSheetId="34">'- 39 -'!$A$1:$H$54</definedName>
    <definedName name="_xlnm.Print_Area" localSheetId="2">'- 4 -'!$A$1:$E$56</definedName>
    <definedName name="_xlnm.Print_Area" localSheetId="35">'- 41 -'!$A$1:$H$55</definedName>
    <definedName name="_xlnm.Print_Area" localSheetId="36">'- 42 -'!$A$1:$I$62</definedName>
    <definedName name="_xlnm.Print_Area" localSheetId="37">'- 43 -'!$A$1:$I$57</definedName>
    <definedName name="_xlnm.Print_Area" localSheetId="38">'- 44 -'!$A$1:$I$52</definedName>
    <definedName name="_xlnm.Print_Area" localSheetId="39">'- 45 -'!$A$2:$E$60</definedName>
    <definedName name="_xlnm.Print_Area" localSheetId="40">'- 46 -'!$A$1:$F$56</definedName>
    <definedName name="_xlnm.Print_Area" localSheetId="41">'- 47 -'!$A$1:$F$54</definedName>
    <definedName name="_xlnm.Print_Area" localSheetId="42">'- 48 -'!$A$1:$E$59</definedName>
    <definedName name="_xlnm.Print_Area" localSheetId="43">'- 49 -'!$A$1:$G$57</definedName>
    <definedName name="_xlnm.Print_Area" localSheetId="44">'- 50 -'!$A$1:$H$55</definedName>
    <definedName name="_xlnm.Print_Area" localSheetId="45">'- 51 -'!$A$1:$E$59</definedName>
    <definedName name="_xlnm.Print_Area" localSheetId="46">'- 52 -'!$A$1:$D$58</definedName>
    <definedName name="_xlnm.Print_Area" localSheetId="47">'- 54 -'!$A$1:$G$57</definedName>
    <definedName name="_xlnm.Print_Area" localSheetId="48">'- 55 - '!$A$1:$F$53</definedName>
    <definedName name="_xlnm.Print_Area" localSheetId="49">'- 56 -'!$A$1:$F$52</definedName>
    <definedName name="_xlnm.Print_Area" localSheetId="50">'- 58 -'!$A$1:$G$54</definedName>
    <definedName name="_xlnm.Print_Area" localSheetId="51">'- 59 -'!$A$1:$G$54</definedName>
    <definedName name="_xlnm.Print_Area" localSheetId="3">'- 6 -'!$A$1:$H$54</definedName>
    <definedName name="_xlnm.Print_Area" localSheetId="52">'- 60 -'!$A$1:$F$55</definedName>
    <definedName name="_xlnm.Print_Area" localSheetId="53">'- 61 -'!$A$1:$F$53</definedName>
    <definedName name="_xlnm.Print_Area" localSheetId="54">'- 62 -'!$A$1:$F$59</definedName>
    <definedName name="_xlnm.Print_Area" localSheetId="55">'- 63 -'!$A$2:$G$64</definedName>
    <definedName name="_xlnm.Print_Area" localSheetId="56">'- 64 -'!$A$2:$G$55</definedName>
    <definedName name="_xlnm.Print_Area" localSheetId="57">'- 65 -'!$A$1:$I$57</definedName>
    <definedName name="_xlnm.Print_Area" localSheetId="58">'- 66 -'!$A$2:$G$54</definedName>
    <definedName name="_xlnm.Print_Area" localSheetId="59">'- 67 -'!$A$1:$I$58</definedName>
    <definedName name="_xlnm.Print_Area" localSheetId="4">'- 7 -'!$A$1:$G$56</definedName>
    <definedName name="_xlnm.Print_Area" localSheetId="5">'- 8 -'!$A$1:$G$59</definedName>
    <definedName name="_xlnm.Print_Area" localSheetId="6">'- 9 -'!$A$1:$D$58</definedName>
    <definedName name="REVYEAR" localSheetId="0">'[1]- 42 -'!$B$1</definedName>
    <definedName name="REVYEAR">'- 42 -'!$B$1</definedName>
    <definedName name="SPRINGYR" localSheetId="0">[1]Data!$B$7</definedName>
    <definedName name="SPRINGYR">Data!$B$7</definedName>
    <definedName name="STAMP" localSheetId="45">#REF!</definedName>
    <definedName name="STAMP" localSheetId="0">#REF!</definedName>
    <definedName name="STAMP">#REF!</definedName>
    <definedName name="STATDATE" localSheetId="0">'[1]- 6 -'!$B$3</definedName>
    <definedName name="STATDATE">'- 6 -'!$B$3</definedName>
    <definedName name="TAXYEAR" localSheetId="48">'[4]- 46 -'!$B$3</definedName>
    <definedName name="TAXYEAR" localSheetId="0">'[1]- 52 -'!$B$3</definedName>
    <definedName name="TAXYEAR">'- 52 -'!$B$3</definedName>
    <definedName name="TOTAL1" localSheetId="45">#REF!</definedName>
    <definedName name="TOTAL1" localSheetId="0">#REF!</definedName>
    <definedName name="TOTAL1">#REF!</definedName>
    <definedName name="TOTAL2" localSheetId="45">#REF!</definedName>
    <definedName name="TOTAL2">#REF!</definedName>
    <definedName name="TOTAL3" localSheetId="45">#REF!</definedName>
    <definedName name="TOTAL3">#REF!</definedName>
    <definedName name="TWO" localSheetId="45">#REF!</definedName>
    <definedName name="TWO">#REF!</definedName>
  </definedNames>
  <calcPr calcId="125725"/>
</workbook>
</file>

<file path=xl/calcChain.xml><?xml version="1.0" encoding="utf-8"?>
<calcChain xmlns="http://schemas.openxmlformats.org/spreadsheetml/2006/main">
  <c r="I28" i="41"/>
  <c r="D48" i="43" l="1"/>
  <c r="A3" i="38666"/>
  <c r="A3" i="38651"/>
  <c r="A3" i="38668" s="1"/>
  <c r="A3" i="5" l="1"/>
  <c r="A3" i="41" s="1"/>
  <c r="A57" i="78" l="1"/>
  <c r="C48" i="38654" l="1"/>
  <c r="C46"/>
  <c r="C45"/>
  <c r="C44"/>
  <c r="C43"/>
  <c r="C42"/>
  <c r="C41"/>
  <c r="C40"/>
  <c r="C39"/>
  <c r="C38"/>
  <c r="C37"/>
  <c r="C36"/>
  <c r="C35"/>
  <c r="C34"/>
  <c r="C33"/>
  <c r="C32"/>
  <c r="C31"/>
  <c r="C30"/>
  <c r="C29"/>
  <c r="C28"/>
  <c r="C27"/>
  <c r="C26"/>
  <c r="C25"/>
  <c r="C24"/>
  <c r="C23"/>
  <c r="C22"/>
  <c r="C21"/>
  <c r="C20"/>
  <c r="C19"/>
  <c r="C18"/>
  <c r="C17"/>
  <c r="C16"/>
  <c r="C15"/>
  <c r="C14"/>
  <c r="C13"/>
  <c r="C12"/>
  <c r="C11"/>
  <c r="F48"/>
  <c r="F46"/>
  <c r="F45"/>
  <c r="F44"/>
  <c r="F43"/>
  <c r="F42"/>
  <c r="F41"/>
  <c r="F40"/>
  <c r="F39"/>
  <c r="F38"/>
  <c r="F37"/>
  <c r="F36"/>
  <c r="F35"/>
  <c r="F34"/>
  <c r="F33"/>
  <c r="F32"/>
  <c r="F31"/>
  <c r="F30"/>
  <c r="F29"/>
  <c r="F28"/>
  <c r="F27"/>
  <c r="F26"/>
  <c r="F25"/>
  <c r="F24"/>
  <c r="F23"/>
  <c r="F22"/>
  <c r="F21"/>
  <c r="F20"/>
  <c r="F19"/>
  <c r="F18"/>
  <c r="F17"/>
  <c r="F16"/>
  <c r="F15"/>
  <c r="F14"/>
  <c r="F13"/>
  <c r="F12"/>
  <c r="F11"/>
  <c r="H47" i="23" l="1"/>
  <c r="I16" i="21"/>
  <c r="H48" i="22"/>
  <c r="T48" i="3188" l="1"/>
  <c r="I48" i="41" s="1"/>
  <c r="I50"/>
  <c r="I46"/>
  <c r="I45"/>
  <c r="I44"/>
  <c r="I43"/>
  <c r="I42"/>
  <c r="I41"/>
  <c r="I40"/>
  <c r="I39"/>
  <c r="I38"/>
  <c r="I37"/>
  <c r="I36"/>
  <c r="I35"/>
  <c r="I34"/>
  <c r="I33"/>
  <c r="I32"/>
  <c r="I31"/>
  <c r="I30"/>
  <c r="I29"/>
  <c r="I27"/>
  <c r="I26"/>
  <c r="I25"/>
  <c r="I24"/>
  <c r="I23"/>
  <c r="I22"/>
  <c r="I21"/>
  <c r="I20"/>
  <c r="I19"/>
  <c r="I18"/>
  <c r="I17"/>
  <c r="I16"/>
  <c r="I15"/>
  <c r="I14"/>
  <c r="I13"/>
  <c r="I12"/>
  <c r="I11"/>
  <c r="I9"/>
  <c r="B46" i="38668"/>
  <c r="B45"/>
  <c r="B44"/>
  <c r="B43"/>
  <c r="B42"/>
  <c r="B41"/>
  <c r="B40"/>
  <c r="B39"/>
  <c r="B38"/>
  <c r="B37"/>
  <c r="B36"/>
  <c r="B35"/>
  <c r="B34"/>
  <c r="B33"/>
  <c r="B32"/>
  <c r="B31"/>
  <c r="B30"/>
  <c r="B29"/>
  <c r="B28"/>
  <c r="B27"/>
  <c r="B26"/>
  <c r="B25"/>
  <c r="B24"/>
  <c r="B23"/>
  <c r="B22"/>
  <c r="B21"/>
  <c r="B20"/>
  <c r="B19"/>
  <c r="B18"/>
  <c r="B17"/>
  <c r="B16"/>
  <c r="B15"/>
  <c r="B14"/>
  <c r="B13"/>
  <c r="B48" s="1"/>
  <c r="B12"/>
  <c r="D46"/>
  <c r="D45"/>
  <c r="D44"/>
  <c r="D43"/>
  <c r="D42"/>
  <c r="D41"/>
  <c r="D40"/>
  <c r="D39"/>
  <c r="D38"/>
  <c r="D37"/>
  <c r="D36"/>
  <c r="D35"/>
  <c r="D34"/>
  <c r="D33"/>
  <c r="D32"/>
  <c r="D31"/>
  <c r="D30"/>
  <c r="D29"/>
  <c r="D28"/>
  <c r="D27"/>
  <c r="D26"/>
  <c r="D25"/>
  <c r="D24"/>
  <c r="D23"/>
  <c r="D22"/>
  <c r="D21"/>
  <c r="D20"/>
  <c r="D19"/>
  <c r="D18"/>
  <c r="D17"/>
  <c r="D16"/>
  <c r="D15"/>
  <c r="D14"/>
  <c r="D13"/>
  <c r="D12"/>
  <c r="D48" s="1"/>
  <c r="D11"/>
  <c r="B11"/>
  <c r="I51" i="38648"/>
  <c r="I50"/>
  <c r="I14"/>
  <c r="I21" i="21"/>
  <c r="F45" i="23"/>
  <c r="F21" i="21" s="1"/>
  <c r="B45" i="23"/>
  <c r="F19" i="21" s="1"/>
  <c r="J28" i="23"/>
  <c r="D21" i="21"/>
  <c r="D19"/>
  <c r="B21" i="23"/>
  <c r="C19" i="21" s="1"/>
  <c r="J48" i="22"/>
  <c r="H45"/>
  <c r="F16" i="21" s="1"/>
  <c r="D45" i="22"/>
  <c r="F14" i="21" s="1"/>
  <c r="J34" i="23"/>
  <c r="F39" i="22"/>
  <c r="E15" i="21" s="1"/>
  <c r="D17"/>
  <c r="D16"/>
  <c r="D15"/>
  <c r="D14"/>
  <c r="D13"/>
  <c r="H21" i="22"/>
  <c r="C16" i="21" s="1"/>
  <c r="H50" i="23"/>
  <c r="J50" s="1"/>
  <c r="B7" i="3188"/>
  <c r="B2" i="38659" s="1"/>
  <c r="B89" i="3188"/>
  <c r="A53" i="81" s="1"/>
  <c r="B9" i="38648"/>
  <c r="C9"/>
  <c r="H9"/>
  <c r="K6" i="38667"/>
  <c r="L6"/>
  <c r="J7"/>
  <c r="K7"/>
  <c r="L7"/>
  <c r="J47"/>
  <c r="K47"/>
  <c r="L47"/>
  <c r="J20" i="38659"/>
  <c r="E2" i="38658"/>
  <c r="I16"/>
  <c r="I20"/>
  <c r="K51"/>
  <c r="B5" i="78"/>
  <c r="B4" i="52"/>
  <c r="B4" i="46"/>
  <c r="B4" i="47"/>
  <c r="B3" i="38654"/>
  <c r="G11" i="38648"/>
  <c r="G12"/>
  <c r="F12" i="38651"/>
  <c r="G13" i="38648"/>
  <c r="F13" i="38651"/>
  <c r="G14" i="38648"/>
  <c r="G15"/>
  <c r="F15" i="38651"/>
  <c r="G16" i="38648"/>
  <c r="F16" i="38651"/>
  <c r="G17" i="38648"/>
  <c r="F17" i="38651"/>
  <c r="G18" i="38648"/>
  <c r="F18" i="38651"/>
  <c r="G19" i="38648"/>
  <c r="F19" i="38651"/>
  <c r="G20" i="38648"/>
  <c r="F20" i="38651"/>
  <c r="G21" i="38648"/>
  <c r="F21" i="38651"/>
  <c r="G22" i="38648"/>
  <c r="F22" i="38651"/>
  <c r="G23" i="38648"/>
  <c r="F23" i="38651"/>
  <c r="G24" i="38648"/>
  <c r="F24" i="38651"/>
  <c r="G25" i="38648"/>
  <c r="F25" i="38651"/>
  <c r="G26" i="38648"/>
  <c r="F26" i="38651"/>
  <c r="G26" s="1"/>
  <c r="I26" i="38648" s="1"/>
  <c r="G27"/>
  <c r="F27" i="38651"/>
  <c r="G28" i="38648"/>
  <c r="F28" i="38651"/>
  <c r="G29" i="38648"/>
  <c r="F29" i="38651"/>
  <c r="G30" i="38648"/>
  <c r="F30" i="38651"/>
  <c r="G31" i="38648"/>
  <c r="F31" i="38651"/>
  <c r="G32" i="38648"/>
  <c r="F32" i="38651"/>
  <c r="G32" s="1"/>
  <c r="J31" s="1"/>
  <c r="G33" i="38648"/>
  <c r="F33" i="38651"/>
  <c r="G34" i="38648"/>
  <c r="F34" i="38651"/>
  <c r="G34" s="1"/>
  <c r="J33" s="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c r="E12"/>
  <c r="I12"/>
  <c r="E13"/>
  <c r="I13"/>
  <c r="E14"/>
  <c r="I14"/>
  <c r="E15"/>
  <c r="I15"/>
  <c r="E16"/>
  <c r="I16"/>
  <c r="E17"/>
  <c r="I17"/>
  <c r="E18"/>
  <c r="I18"/>
  <c r="E19"/>
  <c r="I19"/>
  <c r="E20"/>
  <c r="I20"/>
  <c r="E21"/>
  <c r="I21"/>
  <c r="E22"/>
  <c r="I22"/>
  <c r="E23"/>
  <c r="I23"/>
  <c r="E24"/>
  <c r="I24"/>
  <c r="E25"/>
  <c r="I25"/>
  <c r="E26"/>
  <c r="I26"/>
  <c r="E27"/>
  <c r="I27"/>
  <c r="E28"/>
  <c r="I28"/>
  <c r="E29"/>
  <c r="I29"/>
  <c r="E30"/>
  <c r="I30"/>
  <c r="E31"/>
  <c r="I31"/>
  <c r="E32"/>
  <c r="I32"/>
  <c r="E33"/>
  <c r="I33"/>
  <c r="E34"/>
  <c r="I34"/>
  <c r="E35"/>
  <c r="I35"/>
  <c r="E36"/>
  <c r="I36"/>
  <c r="E37"/>
  <c r="I37"/>
  <c r="E38"/>
  <c r="I38"/>
  <c r="E39"/>
  <c r="I39"/>
  <c r="E40"/>
  <c r="I40"/>
  <c r="E41"/>
  <c r="I41"/>
  <c r="E42"/>
  <c r="I42"/>
  <c r="E43"/>
  <c r="I43"/>
  <c r="E44"/>
  <c r="I44"/>
  <c r="E45"/>
  <c r="I45"/>
  <c r="E46"/>
  <c r="B48"/>
  <c r="B53" s="1"/>
  <c r="C48"/>
  <c r="C53" s="1"/>
  <c r="D48"/>
  <c r="E50"/>
  <c r="E51"/>
  <c r="D53"/>
  <c r="A5" i="38662"/>
  <c r="B11"/>
  <c r="C11" s="1"/>
  <c r="B12"/>
  <c r="C12" s="1"/>
  <c r="B12" i="38654" s="1"/>
  <c r="D12" s="1"/>
  <c r="B13" i="38662"/>
  <c r="C13" s="1"/>
  <c r="B13" i="38654" s="1"/>
  <c r="D13" s="1"/>
  <c r="B14" i="38662"/>
  <c r="C14" s="1"/>
  <c r="B14" i="38654" s="1"/>
  <c r="D14" s="1"/>
  <c r="B15" i="38662"/>
  <c r="C15" s="1"/>
  <c r="B15" i="38654" s="1"/>
  <c r="D15" s="1"/>
  <c r="B16" i="38662"/>
  <c r="C16" s="1"/>
  <c r="B16" i="38654" s="1"/>
  <c r="D16" s="1"/>
  <c r="B17" i="38662"/>
  <c r="C17" s="1"/>
  <c r="B17" i="38654" s="1"/>
  <c r="D17" s="1"/>
  <c r="B18" i="38662"/>
  <c r="C18" s="1"/>
  <c r="B18" i="38654" s="1"/>
  <c r="D18" s="1"/>
  <c r="B19" i="38662"/>
  <c r="C19" s="1"/>
  <c r="B19" i="38654" s="1"/>
  <c r="D19" s="1"/>
  <c r="B20" i="38662"/>
  <c r="C20" s="1"/>
  <c r="B20" i="38654" s="1"/>
  <c r="D20" s="1"/>
  <c r="B21" i="38662"/>
  <c r="C21" s="1"/>
  <c r="B21" i="38654" s="1"/>
  <c r="D21" s="1"/>
  <c r="B22" i="38662"/>
  <c r="C22" s="1"/>
  <c r="B22" i="38654" s="1"/>
  <c r="D22" s="1"/>
  <c r="B23" i="38662"/>
  <c r="C23" s="1"/>
  <c r="B23" i="38654" s="1"/>
  <c r="D23" s="1"/>
  <c r="B24" i="38662"/>
  <c r="C24" s="1"/>
  <c r="B24" i="38654" s="1"/>
  <c r="D24" s="1"/>
  <c r="B25" i="38662"/>
  <c r="C25" s="1"/>
  <c r="B25" i="38654" s="1"/>
  <c r="D25" s="1"/>
  <c r="B26" i="38662"/>
  <c r="C26" s="1"/>
  <c r="B26" i="38654" s="1"/>
  <c r="D26" s="1"/>
  <c r="B27" i="38662"/>
  <c r="C27" s="1"/>
  <c r="B27" i="38654" s="1"/>
  <c r="D27" s="1"/>
  <c r="B28" i="38662"/>
  <c r="C28" s="1"/>
  <c r="B28" i="38654" s="1"/>
  <c r="D28" s="1"/>
  <c r="B29" i="38662"/>
  <c r="C29" s="1"/>
  <c r="B29" i="38654" s="1"/>
  <c r="D29" s="1"/>
  <c r="B30" i="38662"/>
  <c r="C30" s="1"/>
  <c r="B30" i="38654" s="1"/>
  <c r="D30" s="1"/>
  <c r="B31" i="38662"/>
  <c r="C31" s="1"/>
  <c r="B31" i="38654" s="1"/>
  <c r="D31" s="1"/>
  <c r="B32" i="38662"/>
  <c r="C32" s="1"/>
  <c r="B32" i="38654" s="1"/>
  <c r="D32" s="1"/>
  <c r="B33" i="38662"/>
  <c r="C33" s="1"/>
  <c r="B33" i="38654" s="1"/>
  <c r="D33" s="1"/>
  <c r="B34" i="38662"/>
  <c r="C34" s="1"/>
  <c r="B34" i="38654" s="1"/>
  <c r="D34" s="1"/>
  <c r="B35" i="38662"/>
  <c r="C35" s="1"/>
  <c r="B35" i="38654" s="1"/>
  <c r="D35" s="1"/>
  <c r="B36" i="38662"/>
  <c r="C36" s="1"/>
  <c r="B36" i="38654" s="1"/>
  <c r="D36" s="1"/>
  <c r="B37" i="38662"/>
  <c r="C37" s="1"/>
  <c r="B37" i="38654" s="1"/>
  <c r="D37" s="1"/>
  <c r="B38" i="38662"/>
  <c r="C38" s="1"/>
  <c r="B38" i="38654" s="1"/>
  <c r="D38" s="1"/>
  <c r="B39" i="38662"/>
  <c r="C39" s="1"/>
  <c r="B39" i="38654" s="1"/>
  <c r="D39" s="1"/>
  <c r="B40" i="38662"/>
  <c r="C40" s="1"/>
  <c r="B40" i="38654" s="1"/>
  <c r="D40" s="1"/>
  <c r="B41" i="38662"/>
  <c r="C41" s="1"/>
  <c r="B41" i="38654" s="1"/>
  <c r="D41" s="1"/>
  <c r="B42" i="38662"/>
  <c r="C42" s="1"/>
  <c r="B42" i="38654" s="1"/>
  <c r="D42" s="1"/>
  <c r="B43" i="38662"/>
  <c r="C43" s="1"/>
  <c r="B43" i="38654" s="1"/>
  <c r="D43" s="1"/>
  <c r="B44" i="38662"/>
  <c r="C44" s="1"/>
  <c r="B44" i="38654" s="1"/>
  <c r="D44" s="1"/>
  <c r="B45" i="38662"/>
  <c r="C45" s="1"/>
  <c r="B45" i="38654" s="1"/>
  <c r="D45" s="1"/>
  <c r="B46" i="38662"/>
  <c r="C46" s="1"/>
  <c r="B46" i="38654" s="1"/>
  <c r="D46" s="1"/>
  <c r="B50" i="38662"/>
  <c r="B51"/>
  <c r="C51" s="1"/>
  <c r="A2" i="38665"/>
  <c r="A2" i="38670" s="1"/>
  <c r="B2" i="38663"/>
  <c r="B2" i="48"/>
  <c r="B2" i="32"/>
  <c r="B2" i="33" s="1"/>
  <c r="C3" i="70"/>
  <c r="E7"/>
  <c r="B1" i="43"/>
  <c r="B2" i="52" s="1"/>
  <c r="D14" i="40"/>
  <c r="D27"/>
  <c r="D50"/>
  <c r="D50" i="39"/>
  <c r="F50"/>
  <c r="H50"/>
  <c r="D11" i="16"/>
  <c r="D12"/>
  <c r="D13"/>
  <c r="D14"/>
  <c r="D15"/>
  <c r="D16"/>
  <c r="D17"/>
  <c r="D18"/>
  <c r="D19"/>
  <c r="D20"/>
  <c r="D21"/>
  <c r="D22"/>
  <c r="D23"/>
  <c r="D24"/>
  <c r="D25"/>
  <c r="D26"/>
  <c r="D27"/>
  <c r="D28"/>
  <c r="D29"/>
  <c r="D30"/>
  <c r="D31"/>
  <c r="D32"/>
  <c r="D33"/>
  <c r="D34"/>
  <c r="D35"/>
  <c r="D36"/>
  <c r="D37"/>
  <c r="D38"/>
  <c r="D39"/>
  <c r="D40"/>
  <c r="D41"/>
  <c r="D42"/>
  <c r="D43"/>
  <c r="D44"/>
  <c r="D45"/>
  <c r="D46"/>
  <c r="B48"/>
  <c r="C48"/>
  <c r="F48"/>
  <c r="G48"/>
  <c r="D50"/>
  <c r="D51"/>
  <c r="B3" i="14"/>
  <c r="B3" i="17" s="1"/>
  <c r="B3" i="40"/>
  <c r="B3" i="34"/>
  <c r="B3" i="27"/>
  <c r="B3" i="82"/>
  <c r="B3" i="20"/>
  <c r="B3" i="76"/>
  <c r="B3" i="39"/>
  <c r="B3" i="37"/>
  <c r="B3" i="35"/>
  <c r="B3" i="38655"/>
  <c r="B3" i="25"/>
  <c r="B3" i="38661"/>
  <c r="C3" i="11"/>
  <c r="B3" i="10"/>
  <c r="B3" i="7"/>
  <c r="B3" i="9"/>
  <c r="B3" i="8"/>
  <c r="C2" i="21"/>
  <c r="C2" i="23"/>
  <c r="B3" i="18"/>
  <c r="B3" i="19"/>
  <c r="F11" i="38651"/>
  <c r="G11" s="1"/>
  <c r="D2" i="22"/>
  <c r="B2" i="44"/>
  <c r="B2" i="45"/>
  <c r="D9" i="38667"/>
  <c r="G9" s="1"/>
  <c r="J44" i="23"/>
  <c r="G35" i="38651"/>
  <c r="I35" i="38648" s="1"/>
  <c r="G33" i="38651"/>
  <c r="I33" i="38648" s="1"/>
  <c r="G31" i="38651"/>
  <c r="I31" i="38648" s="1"/>
  <c r="G19" i="38651"/>
  <c r="I19" i="38648" s="1"/>
  <c r="G18" i="38651"/>
  <c r="I18" i="38648" s="1"/>
  <c r="G15" i="38651"/>
  <c r="I15" i="38648" s="1"/>
  <c r="G43" i="38651"/>
  <c r="I43" i="38648" s="1"/>
  <c r="G41" i="38651"/>
  <c r="I41" i="38648" s="1"/>
  <c r="G39" i="38651"/>
  <c r="I39" i="38648" s="1"/>
  <c r="G27" i="38651"/>
  <c r="I27" i="38648" s="1"/>
  <c r="G23" i="38651"/>
  <c r="I23" i="38648" s="1"/>
  <c r="G12" i="38651"/>
  <c r="J12" s="1"/>
  <c r="J26"/>
  <c r="I17" i="21"/>
  <c r="J41" i="23"/>
  <c r="J13"/>
  <c r="F51"/>
  <c r="J45" i="22"/>
  <c r="F17" i="21" s="1"/>
  <c r="D21" i="23"/>
  <c r="J15"/>
  <c r="F39"/>
  <c r="E21" i="21" s="1"/>
  <c r="K22"/>
  <c r="J19" i="23"/>
  <c r="J37"/>
  <c r="J42"/>
  <c r="J43"/>
  <c r="D20" i="21"/>
  <c r="J22" i="23"/>
  <c r="J24"/>
  <c r="J38"/>
  <c r="H48"/>
  <c r="J48" s="1"/>
  <c r="G25" i="21"/>
  <c r="B39" i="23"/>
  <c r="E19" i="21" s="1"/>
  <c r="J21" i="22"/>
  <c r="D21"/>
  <c r="C14" i="21" s="1"/>
  <c r="F21" i="22"/>
  <c r="C15" i="21" s="1"/>
  <c r="B45" i="22"/>
  <c r="D39" i="23"/>
  <c r="E20" i="21" s="1"/>
  <c r="J27" i="23"/>
  <c r="D45"/>
  <c r="F20" i="21" s="1"/>
  <c r="I15"/>
  <c r="F48" i="22"/>
  <c r="J14" i="23"/>
  <c r="F21"/>
  <c r="C21" i="21" s="1"/>
  <c r="J29" i="23"/>
  <c r="J17"/>
  <c r="J30"/>
  <c r="J31"/>
  <c r="J32"/>
  <c r="J33"/>
  <c r="J35"/>
  <c r="H25" i="21"/>
  <c r="H49" i="23"/>
  <c r="J49" s="1"/>
  <c r="B39" i="22"/>
  <c r="E13" i="21" s="1"/>
  <c r="J20" i="23"/>
  <c r="J26"/>
  <c r="J25"/>
  <c r="J18"/>
  <c r="B2" i="47" l="1"/>
  <c r="B2" i="81"/>
  <c r="B2" i="46"/>
  <c r="A2" i="42"/>
  <c r="B2" i="78"/>
  <c r="J22" i="38651"/>
  <c r="J42"/>
  <c r="G42"/>
  <c r="I42" i="38648" s="1"/>
  <c r="G40" i="38651"/>
  <c r="B3" i="15"/>
  <c r="B9" i="38667"/>
  <c r="F9" s="1"/>
  <c r="A3" i="38648"/>
  <c r="A3" i="38667" s="1"/>
  <c r="H51" i="23"/>
  <c r="H53" s="1"/>
  <c r="I42" i="38666"/>
  <c r="J40" i="38651"/>
  <c r="B48" i="38662"/>
  <c r="B53" s="1"/>
  <c r="E48" i="38651"/>
  <c r="J18"/>
  <c r="F33" i="38658"/>
  <c r="F23"/>
  <c r="I40" i="38666"/>
  <c r="L48" i="3188"/>
  <c r="B3" i="38"/>
  <c r="D9" i="38648"/>
  <c r="I32" i="38666"/>
  <c r="I24"/>
  <c r="H50" i="38658"/>
  <c r="C50" i="38659"/>
  <c r="I43" i="38666"/>
  <c r="I33"/>
  <c r="I15"/>
  <c r="I14"/>
  <c r="F32" i="38658"/>
  <c r="F28"/>
  <c r="F26"/>
  <c r="F24"/>
  <c r="F22"/>
  <c r="F17"/>
  <c r="F13"/>
  <c r="F43"/>
  <c r="F25"/>
  <c r="I50" i="38666"/>
  <c r="I46"/>
  <c r="I41"/>
  <c r="I38"/>
  <c r="I35"/>
  <c r="I29"/>
  <c r="I28"/>
  <c r="I26"/>
  <c r="I25"/>
  <c r="I19"/>
  <c r="I16"/>
  <c r="I12"/>
  <c r="C48"/>
  <c r="D53" i="23"/>
  <c r="K19" i="21"/>
  <c r="F48" i="38658"/>
  <c r="F46"/>
  <c r="F45"/>
  <c r="F42"/>
  <c r="F39"/>
  <c r="F15"/>
  <c r="F14"/>
  <c r="F44"/>
  <c r="B53" i="23"/>
  <c r="D50" i="38658"/>
  <c r="B50"/>
  <c r="I50" i="38659"/>
  <c r="I51" i="38666"/>
  <c r="I45"/>
  <c r="I44"/>
  <c r="I39"/>
  <c r="I37"/>
  <c r="I36"/>
  <c r="I34"/>
  <c r="I31"/>
  <c r="I30"/>
  <c r="I27"/>
  <c r="I23"/>
  <c r="I22"/>
  <c r="I21"/>
  <c r="I20"/>
  <c r="I18"/>
  <c r="I17"/>
  <c r="I13"/>
  <c r="H48"/>
  <c r="B48"/>
  <c r="G48"/>
  <c r="E48"/>
  <c r="F53" i="23"/>
  <c r="D25" i="21"/>
  <c r="F52" i="38658"/>
  <c r="F37"/>
  <c r="F35"/>
  <c r="F34"/>
  <c r="D48" i="16"/>
  <c r="D50" i="38659"/>
  <c r="F48" i="38666"/>
  <c r="D48"/>
  <c r="I11"/>
  <c r="M48" i="3188"/>
  <c r="E53" i="38651"/>
  <c r="G30"/>
  <c r="J29" s="1"/>
  <c r="G25"/>
  <c r="I25" i="38648" s="1"/>
  <c r="G24" i="38651"/>
  <c r="J23" s="1"/>
  <c r="G46"/>
  <c r="I46" i="38648" s="1"/>
  <c r="G45" i="38651"/>
  <c r="I45" i="38648" s="1"/>
  <c r="G44" i="38651"/>
  <c r="J43" s="1"/>
  <c r="G38"/>
  <c r="J37" s="1"/>
  <c r="G37"/>
  <c r="I37" i="38648" s="1"/>
  <c r="G36" i="38651"/>
  <c r="J35" s="1"/>
  <c r="G29"/>
  <c r="I29" i="38648" s="1"/>
  <c r="G28" i="38651"/>
  <c r="I28" i="38648" s="1"/>
  <c r="G22" i="38651"/>
  <c r="I22" i="38648" s="1"/>
  <c r="G21" i="38651"/>
  <c r="I21" i="38648" s="1"/>
  <c r="G20" i="38651"/>
  <c r="J19" s="1"/>
  <c r="G17"/>
  <c r="I17" i="38648" s="1"/>
  <c r="G13" i="38651"/>
  <c r="J13" s="1"/>
  <c r="J51" i="23"/>
  <c r="F47" i="38658"/>
  <c r="F40"/>
  <c r="F38"/>
  <c r="F30"/>
  <c r="F29"/>
  <c r="F19"/>
  <c r="F18"/>
  <c r="J11" i="38651"/>
  <c r="I11" i="38648"/>
  <c r="I40"/>
  <c r="J39" i="38651"/>
  <c r="G16"/>
  <c r="F48"/>
  <c r="G48" s="1"/>
  <c r="I48" i="38648" s="1"/>
  <c r="I13"/>
  <c r="I44"/>
  <c r="I38"/>
  <c r="I30"/>
  <c r="M47" i="38667"/>
  <c r="I47" s="1"/>
  <c r="J32" i="38651"/>
  <c r="J14"/>
  <c r="J30"/>
  <c r="J25"/>
  <c r="J17"/>
  <c r="J38"/>
  <c r="B3" i="26"/>
  <c r="B3" i="38656"/>
  <c r="B3" i="36"/>
  <c r="B3" i="54"/>
  <c r="F41" i="38658"/>
  <c r="F36"/>
  <c r="F31"/>
  <c r="F27"/>
  <c r="F21"/>
  <c r="J16" i="23"/>
  <c r="C48" i="38662"/>
  <c r="C53" s="1"/>
  <c r="B11" i="38654"/>
  <c r="H39" i="22"/>
  <c r="I12" i="38648"/>
  <c r="I32"/>
  <c r="I34"/>
  <c r="J36" i="38651"/>
  <c r="J24"/>
  <c r="J34"/>
  <c r="J36" i="23"/>
  <c r="K21" i="21"/>
  <c r="B21" i="22"/>
  <c r="C13" i="21" s="1"/>
  <c r="D39" i="22"/>
  <c r="J39"/>
  <c r="J50" s="1"/>
  <c r="F45"/>
  <c r="F15" i="21" s="1"/>
  <c r="K15" s="1"/>
  <c r="C20"/>
  <c r="K20" s="1"/>
  <c r="I25"/>
  <c r="C17"/>
  <c r="F13"/>
  <c r="J27" i="38651" l="1"/>
  <c r="I24" i="38648"/>
  <c r="J45" i="38651"/>
  <c r="J21"/>
  <c r="I20" i="38648"/>
  <c r="J16" i="38651"/>
  <c r="J28"/>
  <c r="J41"/>
  <c r="J44"/>
  <c r="I36" i="38648"/>
  <c r="J20" i="38651"/>
  <c r="I48" i="38666"/>
  <c r="F50" i="22"/>
  <c r="B50"/>
  <c r="J21" i="23"/>
  <c r="F50" i="38658"/>
  <c r="I16" i="38648"/>
  <c r="J15" i="38651"/>
  <c r="E16" i="21"/>
  <c r="K16" s="1"/>
  <c r="H50" i="22"/>
  <c r="D11" i="38654"/>
  <c r="D48" s="1"/>
  <c r="B48"/>
  <c r="E17" i="21"/>
  <c r="K17" s="1"/>
  <c r="J39" i="23"/>
  <c r="J45"/>
  <c r="E14" i="21"/>
  <c r="D50" i="22"/>
  <c r="C25" i="21"/>
  <c r="F25"/>
  <c r="K13"/>
  <c r="J53" i="23" l="1"/>
  <c r="K50" i="22" s="1"/>
  <c r="N27" i="23" s="1"/>
  <c r="K14" i="21"/>
  <c r="K25" s="1"/>
  <c r="E25"/>
  <c r="I24" i="22" l="1"/>
  <c r="E43" i="23"/>
  <c r="C20" i="22"/>
  <c r="C35"/>
  <c r="E45" i="23"/>
  <c r="C41"/>
  <c r="G39"/>
  <c r="E32"/>
  <c r="C27"/>
  <c r="G53"/>
  <c r="N30" s="1"/>
  <c r="G30" i="22"/>
  <c r="C30"/>
  <c r="E26" i="23"/>
  <c r="E21"/>
  <c r="E25"/>
  <c r="K20" i="22"/>
  <c r="I35"/>
  <c r="G36"/>
  <c r="K48" i="23"/>
  <c r="N16" s="1"/>
  <c r="I25" i="22"/>
  <c r="K51" i="23"/>
  <c r="C50" i="22"/>
  <c r="N23" i="23" s="1"/>
  <c r="G15"/>
  <c r="E50" i="22"/>
  <c r="N24" i="23" s="1"/>
  <c r="C21" i="22"/>
  <c r="K44"/>
  <c r="K28" i="23"/>
  <c r="C15"/>
  <c r="G34"/>
  <c r="C32" i="22"/>
  <c r="C33"/>
  <c r="E38" i="23"/>
  <c r="G43"/>
  <c r="K22"/>
  <c r="N13" s="1"/>
  <c r="C20"/>
  <c r="G15" i="22"/>
  <c r="E41"/>
  <c r="K26"/>
  <c r="E44" i="23"/>
  <c r="C17"/>
  <c r="E36" i="22"/>
  <c r="I17"/>
  <c r="I30"/>
  <c r="K41" i="23"/>
  <c r="C14" i="22"/>
  <c r="G33" i="23"/>
  <c r="K17" i="22"/>
  <c r="I37"/>
  <c r="E16"/>
  <c r="G18" i="23"/>
  <c r="K38"/>
  <c r="G38" i="22"/>
  <c r="E18" i="23"/>
  <c r="K49"/>
  <c r="G28" i="22"/>
  <c r="G20"/>
  <c r="K25"/>
  <c r="G39"/>
  <c r="E32"/>
  <c r="K35" i="23"/>
  <c r="E38" i="22"/>
  <c r="C28"/>
  <c r="G18"/>
  <c r="I15"/>
  <c r="C39" i="23"/>
  <c r="G21" i="22"/>
  <c r="G24" i="23"/>
  <c r="C26"/>
  <c r="E17" i="22"/>
  <c r="I44"/>
  <c r="K41"/>
  <c r="G14"/>
  <c r="I38"/>
  <c r="I50" i="23"/>
  <c r="C45" i="22"/>
  <c r="K50" i="23"/>
  <c r="G29" i="22"/>
  <c r="G32" i="23"/>
  <c r="I34" i="22"/>
  <c r="I53" i="23"/>
  <c r="N31" s="1"/>
  <c r="I50" i="22"/>
  <c r="N26" i="23" s="1"/>
  <c r="I39" i="22"/>
  <c r="I14"/>
  <c r="K44" i="23"/>
  <c r="K18" i="22"/>
  <c r="I42"/>
  <c r="G42" i="23"/>
  <c r="C31"/>
  <c r="G22" i="22"/>
  <c r="G28" i="23"/>
  <c r="I33" i="22"/>
  <c r="K26" i="23"/>
  <c r="K35" i="22"/>
  <c r="I48" i="23"/>
  <c r="E42" i="22"/>
  <c r="K36"/>
  <c r="G45"/>
  <c r="C24" i="23"/>
  <c r="E25" i="22"/>
  <c r="K21"/>
  <c r="E43"/>
  <c r="G42"/>
  <c r="E29" i="23"/>
  <c r="I18" i="22"/>
  <c r="I29"/>
  <c r="K32" i="23"/>
  <c r="K31"/>
  <c r="G43" i="22"/>
  <c r="K24"/>
  <c r="G29" i="23"/>
  <c r="G26" i="22"/>
  <c r="I22"/>
  <c r="E24"/>
  <c r="K33" i="23"/>
  <c r="C25"/>
  <c r="C27" i="22"/>
  <c r="G38" i="23"/>
  <c r="G22"/>
  <c r="E28"/>
  <c r="K15"/>
  <c r="E34"/>
  <c r="K20"/>
  <c r="I28" i="22"/>
  <c r="K27" i="23"/>
  <c r="G25" i="22"/>
  <c r="C44" i="23"/>
  <c r="G44" i="22"/>
  <c r="C36"/>
  <c r="G27"/>
  <c r="C36" i="23"/>
  <c r="E39" i="22"/>
  <c r="G36" i="23"/>
  <c r="I20" i="22"/>
  <c r="E31" i="23"/>
  <c r="K37" i="22"/>
  <c r="E22"/>
  <c r="I26"/>
  <c r="C44"/>
  <c r="C34"/>
  <c r="C37" i="23"/>
  <c r="K21"/>
  <c r="N12" s="1"/>
  <c r="K30"/>
  <c r="K25"/>
  <c r="E53"/>
  <c r="N29" s="1"/>
  <c r="I51"/>
  <c r="G44"/>
  <c r="K14"/>
  <c r="C39" i="22"/>
  <c r="E39" i="23"/>
  <c r="G17"/>
  <c r="C43"/>
  <c r="G24" i="22"/>
  <c r="E31"/>
  <c r="E20" i="23"/>
  <c r="C42"/>
  <c r="E34" i="22"/>
  <c r="G31"/>
  <c r="K14"/>
  <c r="K16" i="23"/>
  <c r="G17" i="22"/>
  <c r="C28" i="23"/>
  <c r="G37"/>
  <c r="E33"/>
  <c r="K45" i="22"/>
  <c r="G37"/>
  <c r="C35" i="23"/>
  <c r="C24" i="22"/>
  <c r="G41"/>
  <c r="E17" i="23"/>
  <c r="C14"/>
  <c r="C38"/>
  <c r="K28" i="22"/>
  <c r="K18" i="23"/>
  <c r="C30"/>
  <c r="E35" i="22"/>
  <c r="K29" i="23"/>
  <c r="I49"/>
  <c r="K45"/>
  <c r="N15" s="1"/>
  <c r="C41" i="22"/>
  <c r="I32"/>
  <c r="G27" i="23"/>
  <c r="E27"/>
  <c r="K38" i="22"/>
  <c r="C17"/>
  <c r="E30" i="23"/>
  <c r="K37"/>
  <c r="K31" i="22"/>
  <c r="I43"/>
  <c r="C53" i="23"/>
  <c r="N28" s="1"/>
  <c r="G16"/>
  <c r="E19" i="22"/>
  <c r="E16" i="23"/>
  <c r="K43"/>
  <c r="C15" i="22"/>
  <c r="C22" i="23"/>
  <c r="C31" i="22"/>
  <c r="E14" i="23"/>
  <c r="G34" i="22"/>
  <c r="K43"/>
  <c r="E36" i="23"/>
  <c r="C21"/>
  <c r="E26" i="22"/>
  <c r="C25"/>
  <c r="E45"/>
  <c r="I41"/>
  <c r="K17" i="23"/>
  <c r="K39"/>
  <c r="N14" s="1"/>
  <c r="G21"/>
  <c r="E21" i="22"/>
  <c r="I45"/>
  <c r="K15"/>
  <c r="I31"/>
  <c r="K29"/>
  <c r="C43"/>
  <c r="C26"/>
  <c r="C18" i="23"/>
  <c r="E42"/>
  <c r="K22" i="22"/>
  <c r="C38"/>
  <c r="G31" i="23"/>
  <c r="E37"/>
  <c r="E24"/>
  <c r="G25"/>
  <c r="I27" i="22"/>
  <c r="K53" i="23"/>
  <c r="K42"/>
  <c r="C16" i="22"/>
  <c r="C16" i="23"/>
  <c r="K27" i="22"/>
  <c r="E15"/>
  <c r="G33"/>
  <c r="K32"/>
  <c r="I36"/>
  <c r="E20"/>
  <c r="C42"/>
  <c r="K24" i="23"/>
  <c r="G30"/>
  <c r="E27" i="22"/>
  <c r="E15" i="23"/>
  <c r="K13"/>
  <c r="E33" i="22"/>
  <c r="K33"/>
  <c r="I16"/>
  <c r="G32"/>
  <c r="C29"/>
  <c r="E30"/>
  <c r="G14" i="23"/>
  <c r="K16" i="22"/>
  <c r="C45" i="23"/>
  <c r="E35"/>
  <c r="E28" i="22"/>
  <c r="G35" i="23"/>
  <c r="K36"/>
  <c r="K34" i="22"/>
  <c r="I21"/>
  <c r="E44"/>
  <c r="K34" i="23"/>
  <c r="K42" i="22"/>
  <c r="G26" i="23"/>
  <c r="C33"/>
  <c r="E22"/>
  <c r="K30" i="22"/>
  <c r="G45" i="23"/>
  <c r="G16" i="22"/>
  <c r="E37"/>
  <c r="G41" i="23"/>
  <c r="E18" i="22"/>
  <c r="C18"/>
  <c r="C29" i="23"/>
  <c r="C37" i="22"/>
  <c r="E14"/>
  <c r="C34" i="23"/>
  <c r="E41"/>
  <c r="G35" i="22"/>
  <c r="C22"/>
  <c r="C32" i="23"/>
  <c r="E29" i="22"/>
  <c r="G20" i="23"/>
  <c r="K19"/>
  <c r="K39" i="22"/>
  <c r="G50"/>
  <c r="N25" i="23" s="1"/>
  <c r="N17" l="1"/>
  <c r="N19" s="1"/>
  <c r="N33"/>
  <c r="C48" i="38668" l="1"/>
  <c r="G29" i="38663" l="1"/>
  <c r="G29" i="8"/>
  <c r="G29" i="9"/>
  <c r="C29" i="38670"/>
  <c r="G29" i="47" l="1"/>
  <c r="E29" i="7"/>
  <c r="I29" s="1"/>
  <c r="C29" i="15"/>
  <c r="E29" s="1"/>
  <c r="G30" i="47"/>
  <c r="E29" i="33"/>
  <c r="B29" i="38670"/>
  <c r="D29" i="70"/>
  <c r="F29" i="52"/>
  <c r="F29" i="7" l="1"/>
  <c r="H29"/>
  <c r="B29" i="43"/>
  <c r="F29" s="1"/>
  <c r="H29" s="1"/>
  <c r="G29" i="7"/>
  <c r="F30" i="52"/>
  <c r="B29" i="76"/>
  <c r="D29" i="27"/>
  <c r="D29" i="76" s="1"/>
  <c r="F30" i="45"/>
  <c r="J29" i="26"/>
  <c r="D29" i="32"/>
  <c r="F29" i="45"/>
  <c r="H29" i="20"/>
  <c r="I29" i="11"/>
  <c r="G29" i="38656"/>
  <c r="E29" i="41"/>
  <c r="E29" i="16"/>
  <c r="H29" i="18"/>
  <c r="I29" i="45" l="1"/>
  <c r="E29" i="44" s="1"/>
  <c r="D29" i="42" s="1"/>
  <c r="B30" i="43"/>
  <c r="F30" s="1"/>
  <c r="H30" s="1"/>
  <c r="I30" i="45" s="1"/>
  <c r="B29" i="18"/>
  <c r="D29" i="8"/>
  <c r="J29" i="10"/>
  <c r="G29"/>
  <c r="D29" i="9"/>
  <c r="D29" i="10"/>
  <c r="F29" i="11"/>
  <c r="E31" i="38658"/>
  <c r="K29" i="3188"/>
  <c r="C29" i="5" s="1"/>
  <c r="G29" i="26"/>
  <c r="B29" i="39"/>
  <c r="G31" i="38658"/>
  <c r="B29" i="41"/>
  <c r="J29" i="20"/>
  <c r="D29" i="7"/>
  <c r="J29" i="9"/>
  <c r="D29" i="38655"/>
  <c r="F29" i="41"/>
  <c r="G29" s="1"/>
  <c r="D29" i="38656"/>
  <c r="B29" i="20"/>
  <c r="D29" i="19"/>
  <c r="D29" i="26"/>
  <c r="B29" i="40"/>
  <c r="D29" s="1"/>
  <c r="E29" i="18"/>
  <c r="G29" i="38655"/>
  <c r="E29" i="20"/>
  <c r="G29" i="45"/>
  <c r="B29" i="19"/>
  <c r="E29" i="38648"/>
  <c r="C29" i="45" l="1"/>
  <c r="G29" i="42" s="1"/>
  <c r="C29" i="44"/>
  <c r="C29" i="42" s="1"/>
  <c r="G29" i="44"/>
  <c r="E29" i="42" s="1"/>
  <c r="I29" i="43"/>
  <c r="B29" i="42" s="1"/>
  <c r="E29" i="45"/>
  <c r="H29" i="42" s="1"/>
  <c r="I29" i="44"/>
  <c r="F29" i="42" s="1"/>
  <c r="K29" i="38667"/>
  <c r="G29" i="18"/>
  <c r="I30" i="43"/>
  <c r="B30" i="42" s="1"/>
  <c r="G30" i="44"/>
  <c r="E30" i="42" s="1"/>
  <c r="E30" i="45"/>
  <c r="H30" i="42" s="1"/>
  <c r="E30" i="44"/>
  <c r="D30" i="42" s="1"/>
  <c r="C30" i="44"/>
  <c r="C30" i="42" s="1"/>
  <c r="I30" i="44"/>
  <c r="F30" i="42" s="1"/>
  <c r="C30" i="45"/>
  <c r="G30" i="42" s="1"/>
  <c r="F29" i="19"/>
  <c r="H29" i="39"/>
  <c r="F29"/>
  <c r="D29"/>
  <c r="D29" i="38661"/>
  <c r="D29" i="41"/>
  <c r="C29"/>
  <c r="G30" i="45"/>
  <c r="I31" i="38658"/>
  <c r="F31" i="38659"/>
  <c r="G29" i="20"/>
  <c r="J29" i="38655"/>
  <c r="D29" i="20"/>
  <c r="D29" i="18"/>
  <c r="J29" i="38667"/>
  <c r="G29" i="19"/>
  <c r="E29" i="5"/>
  <c r="J29" i="42" l="1"/>
  <c r="G29" i="38667"/>
  <c r="L29"/>
  <c r="M29" s="1"/>
  <c r="I29" s="1"/>
  <c r="I29" i="19"/>
  <c r="J30" i="42"/>
  <c r="C48" i="70" l="1"/>
  <c r="J30" i="9" l="1"/>
  <c r="G30"/>
  <c r="C30" i="38670"/>
  <c r="E30" i="33" l="1"/>
  <c r="C30" i="15"/>
  <c r="E30" s="1"/>
  <c r="E30" i="16" s="1"/>
  <c r="H30" i="20"/>
  <c r="B30" i="38670"/>
  <c r="D30" i="70"/>
  <c r="D31"/>
  <c r="G30" i="38663"/>
  <c r="E30" i="7"/>
  <c r="E30" i="41" l="1"/>
  <c r="J30" i="20"/>
  <c r="D30" i="7"/>
  <c r="I30"/>
  <c r="G30"/>
  <c r="F30"/>
  <c r="H30"/>
  <c r="J51" i="9" l="1"/>
  <c r="G51"/>
  <c r="G50" i="8"/>
  <c r="J50" i="9"/>
  <c r="G50"/>
  <c r="G46"/>
  <c r="J45"/>
  <c r="G45"/>
  <c r="G44" i="8"/>
  <c r="J44" i="9"/>
  <c r="J43"/>
  <c r="G43"/>
  <c r="J42"/>
  <c r="G42"/>
  <c r="G41" i="8"/>
  <c r="J41" i="9"/>
  <c r="G41"/>
  <c r="G40"/>
  <c r="J39"/>
  <c r="G39"/>
  <c r="G38"/>
  <c r="G37" i="8"/>
  <c r="G37" i="9"/>
  <c r="J36"/>
  <c r="G36"/>
  <c r="G35"/>
  <c r="G34"/>
  <c r="J33"/>
  <c r="G33"/>
  <c r="G32"/>
  <c r="J31"/>
  <c r="G31"/>
  <c r="G28" i="8"/>
  <c r="J28" i="9"/>
  <c r="G28"/>
  <c r="J27"/>
  <c r="G27"/>
  <c r="G26"/>
  <c r="G25"/>
  <c r="G24"/>
  <c r="J23"/>
  <c r="G23"/>
  <c r="G22" i="8"/>
  <c r="J22" i="9"/>
  <c r="G22"/>
  <c r="G21" i="8"/>
  <c r="J21" i="9"/>
  <c r="G21"/>
  <c r="J20"/>
  <c r="G20"/>
  <c r="J19"/>
  <c r="G19"/>
  <c r="J18"/>
  <c r="G18"/>
  <c r="J17"/>
  <c r="G17"/>
  <c r="J16"/>
  <c r="G16"/>
  <c r="J15"/>
  <c r="G15"/>
  <c r="G14" i="8"/>
  <c r="J14" i="9"/>
  <c r="G13"/>
  <c r="J12"/>
  <c r="G12"/>
  <c r="F48" i="14"/>
  <c r="F51" i="39"/>
  <c r="D51" i="40"/>
  <c r="D51" i="39"/>
  <c r="H27"/>
  <c r="F27"/>
  <c r="C51" i="38670"/>
  <c r="C50"/>
  <c r="C46"/>
  <c r="C45"/>
  <c r="C44"/>
  <c r="C43"/>
  <c r="C42"/>
  <c r="C41"/>
  <c r="C40"/>
  <c r="C39"/>
  <c r="C38"/>
  <c r="C37"/>
  <c r="C36"/>
  <c r="C35"/>
  <c r="C34"/>
  <c r="C33"/>
  <c r="C32"/>
  <c r="C31"/>
  <c r="B31" s="1"/>
  <c r="C28"/>
  <c r="C27"/>
  <c r="C26"/>
  <c r="C25"/>
  <c r="C24"/>
  <c r="C23"/>
  <c r="C22"/>
  <c r="C21"/>
  <c r="C20"/>
  <c r="C19"/>
  <c r="C18"/>
  <c r="C17"/>
  <c r="C16"/>
  <c r="C15"/>
  <c r="C14"/>
  <c r="C13"/>
  <c r="C12"/>
  <c r="C48" i="48"/>
  <c r="E14" i="33"/>
  <c r="D48" l="1"/>
  <c r="E18"/>
  <c r="E32"/>
  <c r="G48" i="14"/>
  <c r="D48" i="48"/>
  <c r="E26" i="33"/>
  <c r="G46" i="47"/>
  <c r="G28"/>
  <c r="G12"/>
  <c r="E44" i="33"/>
  <c r="E48" i="38663"/>
  <c r="G34" i="47"/>
  <c r="G16"/>
  <c r="G38"/>
  <c r="G20"/>
  <c r="E22" i="33"/>
  <c r="E36"/>
  <c r="E51"/>
  <c r="G48" i="38665"/>
  <c r="G42" i="47"/>
  <c r="G24"/>
  <c r="E40" i="33"/>
  <c r="C48" i="40"/>
  <c r="D45" i="70"/>
  <c r="D33"/>
  <c r="H20" i="20"/>
  <c r="H38"/>
  <c r="D28" i="70"/>
  <c r="D26"/>
  <c r="D24"/>
  <c r="B22" i="38670"/>
  <c r="D22" i="70"/>
  <c r="D20"/>
  <c r="D18"/>
  <c r="D16"/>
  <c r="B14" i="38670"/>
  <c r="D14" i="70"/>
  <c r="D12"/>
  <c r="G11" i="47"/>
  <c r="B48" i="81"/>
  <c r="H13" i="20"/>
  <c r="H17"/>
  <c r="H21"/>
  <c r="H25"/>
  <c r="H31"/>
  <c r="E11" i="33"/>
  <c r="B48"/>
  <c r="E48" i="39"/>
  <c r="J11" i="9"/>
  <c r="D48" i="14"/>
  <c r="D48" i="52"/>
  <c r="E48" i="47"/>
  <c r="G45"/>
  <c r="G41"/>
  <c r="G37"/>
  <c r="G33"/>
  <c r="G27"/>
  <c r="G23"/>
  <c r="G19"/>
  <c r="G15"/>
  <c r="C48" i="43"/>
  <c r="A53" i="44" s="1"/>
  <c r="C48" i="52"/>
  <c r="B48"/>
  <c r="E48" i="46"/>
  <c r="D48" i="47"/>
  <c r="F48" i="81"/>
  <c r="F48" i="32"/>
  <c r="E15" i="33"/>
  <c r="E19"/>
  <c r="E27"/>
  <c r="E33"/>
  <c r="E37"/>
  <c r="E41"/>
  <c r="H48" i="14"/>
  <c r="E36" i="7"/>
  <c r="E37"/>
  <c r="E38"/>
  <c r="E39"/>
  <c r="E40"/>
  <c r="E41"/>
  <c r="E42"/>
  <c r="E43"/>
  <c r="E44"/>
  <c r="E45"/>
  <c r="E46"/>
  <c r="E50"/>
  <c r="E51"/>
  <c r="B43" i="38670"/>
  <c r="D43" i="70"/>
  <c r="B37" i="38670"/>
  <c r="D37" i="70"/>
  <c r="H16" i="20"/>
  <c r="H34"/>
  <c r="B48" i="78"/>
  <c r="B33" i="38670"/>
  <c r="B45"/>
  <c r="D41" i="70"/>
  <c r="B35" i="38670"/>
  <c r="D35" i="70"/>
  <c r="H12" i="20"/>
  <c r="H28"/>
  <c r="H46"/>
  <c r="B27" i="38670"/>
  <c r="D27" i="70"/>
  <c r="B25" i="38670"/>
  <c r="D25" i="70"/>
  <c r="B23" i="38670"/>
  <c r="D23" i="70"/>
  <c r="B21" i="38670"/>
  <c r="D21" i="70"/>
  <c r="B19" i="38670"/>
  <c r="D19" i="70"/>
  <c r="B17" i="38670"/>
  <c r="D17" i="70"/>
  <c r="B15" i="38670"/>
  <c r="D15" i="70"/>
  <c r="B13" i="38670"/>
  <c r="D13" i="70"/>
  <c r="D30" i="32"/>
  <c r="H11" i="20"/>
  <c r="H15"/>
  <c r="H19"/>
  <c r="H23"/>
  <c r="H27"/>
  <c r="H33"/>
  <c r="H37"/>
  <c r="H41"/>
  <c r="H45"/>
  <c r="F48" i="38"/>
  <c r="D48"/>
  <c r="C48" i="39"/>
  <c r="C11" i="15"/>
  <c r="B48" i="14"/>
  <c r="D48" i="78"/>
  <c r="C48" i="81"/>
  <c r="G38" i="38663"/>
  <c r="G50" i="47"/>
  <c r="G43"/>
  <c r="G39"/>
  <c r="G35"/>
  <c r="G31"/>
  <c r="G25"/>
  <c r="G21"/>
  <c r="G17"/>
  <c r="G13"/>
  <c r="C48" i="78"/>
  <c r="F48" i="46"/>
  <c r="F48" i="47"/>
  <c r="B48"/>
  <c r="D48" i="81"/>
  <c r="E13" i="33"/>
  <c r="E16"/>
  <c r="E17"/>
  <c r="E20"/>
  <c r="E21"/>
  <c r="E24"/>
  <c r="E25"/>
  <c r="E28"/>
  <c r="E31"/>
  <c r="E34"/>
  <c r="E35"/>
  <c r="E38"/>
  <c r="E39"/>
  <c r="E42"/>
  <c r="E43"/>
  <c r="E46"/>
  <c r="E50"/>
  <c r="D48" i="38663"/>
  <c r="C12" i="15"/>
  <c r="E12" s="1"/>
  <c r="C13"/>
  <c r="E13" s="1"/>
  <c r="C14"/>
  <c r="C15"/>
  <c r="E15" s="1"/>
  <c r="C16"/>
  <c r="E16" s="1"/>
  <c r="C17"/>
  <c r="E17" s="1"/>
  <c r="C18"/>
  <c r="E18" s="1"/>
  <c r="C19"/>
  <c r="E19" s="1"/>
  <c r="C20"/>
  <c r="E20" s="1"/>
  <c r="C21"/>
  <c r="E21" s="1"/>
  <c r="C22"/>
  <c r="C23"/>
  <c r="C24"/>
  <c r="E24" s="1"/>
  <c r="C25"/>
  <c r="E25" s="1"/>
  <c r="C26"/>
  <c r="E26" s="1"/>
  <c r="C27"/>
  <c r="E27" s="1"/>
  <c r="C28"/>
  <c r="E28" s="1"/>
  <c r="C31"/>
  <c r="E31" s="1"/>
  <c r="C32"/>
  <c r="E32" s="1"/>
  <c r="C33"/>
  <c r="E33" s="1"/>
  <c r="C34"/>
  <c r="E34" s="1"/>
  <c r="C35"/>
  <c r="E35" s="1"/>
  <c r="B50" i="38670"/>
  <c r="D50" i="70"/>
  <c r="B39" i="38670"/>
  <c r="D39" i="70"/>
  <c r="H24" i="20"/>
  <c r="H42"/>
  <c r="G11" i="9"/>
  <c r="C48" i="14"/>
  <c r="B51" i="38670"/>
  <c r="D51" i="70"/>
  <c r="B46" i="38670"/>
  <c r="D46" i="70"/>
  <c r="B44" i="38670"/>
  <c r="D44" i="70"/>
  <c r="B42" i="38670"/>
  <c r="D42" i="70"/>
  <c r="B40" i="38670"/>
  <c r="D40" i="70"/>
  <c r="B38" i="38670"/>
  <c r="D38" i="70"/>
  <c r="B36" i="38670"/>
  <c r="D36" i="70"/>
  <c r="B34" i="38670"/>
  <c r="D34" i="70"/>
  <c r="B32" i="38670"/>
  <c r="D32" i="70"/>
  <c r="B48" i="46"/>
  <c r="H22" i="20"/>
  <c r="H32"/>
  <c r="H36"/>
  <c r="H40"/>
  <c r="H44"/>
  <c r="H51"/>
  <c r="C11" i="38670"/>
  <c r="F48" i="38665"/>
  <c r="G48" i="39"/>
  <c r="E11" i="7"/>
  <c r="E48" i="14"/>
  <c r="G11" i="8"/>
  <c r="B48" i="15"/>
  <c r="D48" i="46"/>
  <c r="G48" i="81"/>
  <c r="G16" i="38663"/>
  <c r="G51" i="47"/>
  <c r="G44"/>
  <c r="G40"/>
  <c r="G36"/>
  <c r="G32"/>
  <c r="F31" i="52"/>
  <c r="G26" i="47"/>
  <c r="G22"/>
  <c r="G18"/>
  <c r="G14"/>
  <c r="F13" i="52"/>
  <c r="C48" i="47"/>
  <c r="E48" i="81"/>
  <c r="E23" i="33"/>
  <c r="E45"/>
  <c r="G12" i="38663"/>
  <c r="G14"/>
  <c r="G18"/>
  <c r="G20"/>
  <c r="G22"/>
  <c r="G24"/>
  <c r="G26"/>
  <c r="G28"/>
  <c r="G32"/>
  <c r="G34"/>
  <c r="G36"/>
  <c r="G40"/>
  <c r="G42"/>
  <c r="G44"/>
  <c r="G46"/>
  <c r="G51"/>
  <c r="B12" i="38670"/>
  <c r="B16"/>
  <c r="B18"/>
  <c r="B20"/>
  <c r="B24"/>
  <c r="B26"/>
  <c r="B28"/>
  <c r="B41"/>
  <c r="E12" i="7"/>
  <c r="E13"/>
  <c r="E14"/>
  <c r="E15"/>
  <c r="E16"/>
  <c r="E17"/>
  <c r="E18"/>
  <c r="E19"/>
  <c r="E20"/>
  <c r="E21"/>
  <c r="E22"/>
  <c r="E23"/>
  <c r="E24"/>
  <c r="E25"/>
  <c r="E26"/>
  <c r="E27"/>
  <c r="E28"/>
  <c r="E31"/>
  <c r="E32"/>
  <c r="E33"/>
  <c r="E34"/>
  <c r="E35"/>
  <c r="C36" i="15"/>
  <c r="C37"/>
  <c r="E37" s="1"/>
  <c r="C38"/>
  <c r="E38" s="1"/>
  <c r="C39"/>
  <c r="E39" s="1"/>
  <c r="C40"/>
  <c r="E40" s="1"/>
  <c r="C41"/>
  <c r="C42"/>
  <c r="C43"/>
  <c r="C44"/>
  <c r="E44" s="1"/>
  <c r="C45"/>
  <c r="E45" s="1"/>
  <c r="C46"/>
  <c r="C50"/>
  <c r="E50" s="1"/>
  <c r="C51"/>
  <c r="E51" s="1"/>
  <c r="F32" i="52"/>
  <c r="F41"/>
  <c r="F15"/>
  <c r="F45"/>
  <c r="F27"/>
  <c r="F19"/>
  <c r="F44"/>
  <c r="F40"/>
  <c r="F37"/>
  <c r="F36"/>
  <c r="F33"/>
  <c r="F26"/>
  <c r="F25"/>
  <c r="F23"/>
  <c r="F22"/>
  <c r="G26" i="8"/>
  <c r="F51" i="52"/>
  <c r="J32" i="38655" l="1"/>
  <c r="B26" i="43"/>
  <c r="F26" s="1"/>
  <c r="H26" s="1"/>
  <c r="B36"/>
  <c r="F36" s="1"/>
  <c r="H36" s="1"/>
  <c r="B22"/>
  <c r="F22" s="1"/>
  <c r="H22" s="1"/>
  <c r="B32"/>
  <c r="F32" s="1"/>
  <c r="H32" s="1"/>
  <c r="B40"/>
  <c r="F40" s="1"/>
  <c r="H40" s="1"/>
  <c r="B51"/>
  <c r="F51" s="1"/>
  <c r="H51" s="1"/>
  <c r="B15"/>
  <c r="F15" s="1"/>
  <c r="H15" s="1"/>
  <c r="B23"/>
  <c r="F23" s="1"/>
  <c r="H23" s="1"/>
  <c r="B33"/>
  <c r="F33" s="1"/>
  <c r="H33" s="1"/>
  <c r="B41"/>
  <c r="F41" s="1"/>
  <c r="H41" s="1"/>
  <c r="B13"/>
  <c r="F13" s="1"/>
  <c r="H13" s="1"/>
  <c r="B31"/>
  <c r="F31" s="1"/>
  <c r="H31" s="1"/>
  <c r="B19"/>
  <c r="F19" s="1"/>
  <c r="H19" s="1"/>
  <c r="B27"/>
  <c r="F27" s="1"/>
  <c r="H27" s="1"/>
  <c r="B45"/>
  <c r="F45" s="1"/>
  <c r="H45" s="1"/>
  <c r="B25"/>
  <c r="F25" s="1"/>
  <c r="H25" s="1"/>
  <c r="B44"/>
  <c r="F44" s="1"/>
  <c r="H44" s="1"/>
  <c r="G25" i="38663"/>
  <c r="G35"/>
  <c r="G17"/>
  <c r="F21" i="52"/>
  <c r="B21" i="43" s="1"/>
  <c r="F21" s="1"/>
  <c r="H21" s="1"/>
  <c r="F39" i="52"/>
  <c r="F50"/>
  <c r="B50" i="43" s="1"/>
  <c r="F50" s="1"/>
  <c r="H50" s="1"/>
  <c r="B48" i="38"/>
  <c r="G15" i="38663"/>
  <c r="F14" i="52"/>
  <c r="B14" i="43" s="1"/>
  <c r="F14" s="1"/>
  <c r="H14" s="1"/>
  <c r="F48" i="38663"/>
  <c r="C48" i="33"/>
  <c r="F16" i="52"/>
  <c r="F24"/>
  <c r="F34"/>
  <c r="F42"/>
  <c r="B37" i="43"/>
  <c r="F37" s="1"/>
  <c r="H37" s="1"/>
  <c r="F17" i="52"/>
  <c r="F35"/>
  <c r="F43"/>
  <c r="B43" i="43" s="1"/>
  <c r="F43" s="1"/>
  <c r="H43" s="1"/>
  <c r="F18" i="52"/>
  <c r="K30" i="3188"/>
  <c r="C30" i="5" s="1"/>
  <c r="F12" i="52"/>
  <c r="F20"/>
  <c r="F28"/>
  <c r="F38"/>
  <c r="F46"/>
  <c r="D26" i="38656"/>
  <c r="B16" i="41"/>
  <c r="F33"/>
  <c r="G33" s="1"/>
  <c r="D19" i="38656"/>
  <c r="J35" i="26"/>
  <c r="F34" i="11"/>
  <c r="I35"/>
  <c r="G30" i="26"/>
  <c r="F16" i="45"/>
  <c r="F38"/>
  <c r="F43"/>
  <c r="F22"/>
  <c r="D40" i="8"/>
  <c r="F50" i="45"/>
  <c r="F46"/>
  <c r="D31" i="32"/>
  <c r="D37" i="8"/>
  <c r="B34" i="41"/>
  <c r="B35"/>
  <c r="B33"/>
  <c r="B18"/>
  <c r="F30" i="11"/>
  <c r="G39" i="26"/>
  <c r="B30" i="19"/>
  <c r="E32" i="38658"/>
  <c r="B30" i="41"/>
  <c r="G30" i="38655"/>
  <c r="B30" i="39"/>
  <c r="F30" i="41"/>
  <c r="G30" s="1"/>
  <c r="B32"/>
  <c r="D35" i="38656"/>
  <c r="D25"/>
  <c r="D13"/>
  <c r="J50" i="10"/>
  <c r="J38"/>
  <c r="J32"/>
  <c r="I27" i="11"/>
  <c r="E46" i="15"/>
  <c r="J46" i="10" s="1"/>
  <c r="E42" i="15"/>
  <c r="J42" i="20" s="1"/>
  <c r="E38" i="16"/>
  <c r="E38" i="41"/>
  <c r="H28" i="7"/>
  <c r="D28"/>
  <c r="F28"/>
  <c r="G28"/>
  <c r="I28"/>
  <c r="G26"/>
  <c r="I26"/>
  <c r="H26"/>
  <c r="F26"/>
  <c r="F24"/>
  <c r="G24"/>
  <c r="I24"/>
  <c r="H24"/>
  <c r="F21"/>
  <c r="G21"/>
  <c r="H21"/>
  <c r="I21"/>
  <c r="H19"/>
  <c r="D19"/>
  <c r="G19"/>
  <c r="F19"/>
  <c r="I19"/>
  <c r="D14"/>
  <c r="G14"/>
  <c r="I14"/>
  <c r="F14"/>
  <c r="H14"/>
  <c r="F12"/>
  <c r="D12"/>
  <c r="G12"/>
  <c r="H12"/>
  <c r="I12"/>
  <c r="J51" i="20"/>
  <c r="J40"/>
  <c r="J32"/>
  <c r="E35" i="16"/>
  <c r="E35" i="41"/>
  <c r="E31" i="16"/>
  <c r="E31" i="41"/>
  <c r="J25" i="20"/>
  <c r="E25" i="41"/>
  <c r="E25" i="16"/>
  <c r="E21"/>
  <c r="E21" i="41"/>
  <c r="E17" i="16"/>
  <c r="E17" i="41"/>
  <c r="E13"/>
  <c r="E13" i="16"/>
  <c r="E11" i="15"/>
  <c r="D11" i="38656" s="1"/>
  <c r="C48" i="15"/>
  <c r="J45" i="20"/>
  <c r="J37"/>
  <c r="J27"/>
  <c r="J19"/>
  <c r="D11" i="70"/>
  <c r="B48"/>
  <c r="J34" i="20"/>
  <c r="I51" i="7"/>
  <c r="G51"/>
  <c r="F51"/>
  <c r="H51"/>
  <c r="D51"/>
  <c r="I43"/>
  <c r="F43"/>
  <c r="D43"/>
  <c r="H43"/>
  <c r="G43"/>
  <c r="G36"/>
  <c r="H36"/>
  <c r="F36"/>
  <c r="D36"/>
  <c r="I36"/>
  <c r="J31" i="20"/>
  <c r="J21"/>
  <c r="J13"/>
  <c r="J20"/>
  <c r="G48" i="43"/>
  <c r="D12" i="32"/>
  <c r="D41"/>
  <c r="D27"/>
  <c r="D35"/>
  <c r="D32"/>
  <c r="D15"/>
  <c r="E12" i="33"/>
  <c r="G39" i="38663"/>
  <c r="G21"/>
  <c r="C48"/>
  <c r="G41"/>
  <c r="G33"/>
  <c r="G19"/>
  <c r="F12" i="41"/>
  <c r="G12" s="1"/>
  <c r="G32" i="26"/>
  <c r="G51"/>
  <c r="F51" i="45"/>
  <c r="J30" i="38655"/>
  <c r="J37"/>
  <c r="B17" i="76"/>
  <c r="D17" i="27"/>
  <c r="D17" i="76" s="1"/>
  <c r="D13" i="8"/>
  <c r="F40" i="45"/>
  <c r="D24" i="54"/>
  <c r="F14" i="45"/>
  <c r="F37"/>
  <c r="D25" i="8"/>
  <c r="F33" i="45"/>
  <c r="F20"/>
  <c r="I21" i="11"/>
  <c r="B15" i="41"/>
  <c r="D18" i="8"/>
  <c r="G20" i="54"/>
  <c r="G40"/>
  <c r="F28" i="45"/>
  <c r="D16" i="54"/>
  <c r="B17" i="41"/>
  <c r="J30" i="26"/>
  <c r="J21" i="38655"/>
  <c r="I31" i="11"/>
  <c r="G44" i="10"/>
  <c r="D50" i="38661"/>
  <c r="G40" i="10"/>
  <c r="G32"/>
  <c r="I50" i="11"/>
  <c r="F45"/>
  <c r="J30" i="10"/>
  <c r="D18" i="38656"/>
  <c r="B48" i="32"/>
  <c r="E50" i="16"/>
  <c r="E50" i="41"/>
  <c r="E43" i="15"/>
  <c r="J39" i="54"/>
  <c r="E39" i="16"/>
  <c r="E39" i="41"/>
  <c r="I35" i="7"/>
  <c r="G35"/>
  <c r="F35"/>
  <c r="H35"/>
  <c r="H33"/>
  <c r="I33"/>
  <c r="F33"/>
  <c r="G33"/>
  <c r="G31"/>
  <c r="F31"/>
  <c r="H31"/>
  <c r="I31"/>
  <c r="G22"/>
  <c r="H22"/>
  <c r="F22"/>
  <c r="I22"/>
  <c r="F17"/>
  <c r="I17"/>
  <c r="H17"/>
  <c r="G17"/>
  <c r="D17"/>
  <c r="F15"/>
  <c r="H15"/>
  <c r="I15"/>
  <c r="D15"/>
  <c r="G15"/>
  <c r="H14" i="20"/>
  <c r="E32" i="16"/>
  <c r="E32" i="41"/>
  <c r="E26"/>
  <c r="E26" i="16"/>
  <c r="E22" i="15"/>
  <c r="D22" i="54" s="1"/>
  <c r="E18" i="16"/>
  <c r="E18" i="41"/>
  <c r="E14" i="15"/>
  <c r="J46" i="20"/>
  <c r="F46" i="7"/>
  <c r="I46"/>
  <c r="G46"/>
  <c r="H46"/>
  <c r="I41"/>
  <c r="F41"/>
  <c r="H41"/>
  <c r="G41"/>
  <c r="I39"/>
  <c r="G39"/>
  <c r="H39"/>
  <c r="D39"/>
  <c r="F39"/>
  <c r="H50" i="20"/>
  <c r="H39"/>
  <c r="E48" i="52"/>
  <c r="D22" i="32"/>
  <c r="D43"/>
  <c r="C48" i="38665"/>
  <c r="D45" i="32"/>
  <c r="D34"/>
  <c r="D25"/>
  <c r="D16"/>
  <c r="D13"/>
  <c r="D36"/>
  <c r="D23"/>
  <c r="D42"/>
  <c r="D24"/>
  <c r="D50"/>
  <c r="C48" i="46"/>
  <c r="A54" s="1"/>
  <c r="D51" i="32"/>
  <c r="D14"/>
  <c r="F45" i="41"/>
  <c r="G45" s="1"/>
  <c r="D30" i="38661"/>
  <c r="F24" i="41"/>
  <c r="G24" s="1"/>
  <c r="J30" i="54"/>
  <c r="D30" i="38656"/>
  <c r="I30" i="11"/>
  <c r="B30" i="20"/>
  <c r="D39" i="38656"/>
  <c r="B13" i="76"/>
  <c r="D13" i="27"/>
  <c r="D13" i="76" s="1"/>
  <c r="D19" i="8"/>
  <c r="D30"/>
  <c r="D45" i="54"/>
  <c r="J46"/>
  <c r="J51"/>
  <c r="D32"/>
  <c r="F12" i="45"/>
  <c r="F15"/>
  <c r="F24"/>
  <c r="F36"/>
  <c r="F45"/>
  <c r="J29" i="54"/>
  <c r="G30"/>
  <c r="F44" i="45"/>
  <c r="I19" i="11"/>
  <c r="J19" i="54"/>
  <c r="B37" i="41"/>
  <c r="B31"/>
  <c r="B22"/>
  <c r="J51" i="38655"/>
  <c r="D24" i="26"/>
  <c r="G30" i="10"/>
  <c r="G27" i="38656"/>
  <c r="G50" i="26"/>
  <c r="G24"/>
  <c r="D46" i="10"/>
  <c r="J27"/>
  <c r="D30" i="54"/>
  <c r="E30" i="18"/>
  <c r="D30" i="10"/>
  <c r="F31" i="45"/>
  <c r="D30" i="26"/>
  <c r="D15" i="54"/>
  <c r="E51" i="16"/>
  <c r="E51" i="41"/>
  <c r="I44" i="11"/>
  <c r="E44" i="16"/>
  <c r="E44" i="41"/>
  <c r="E40"/>
  <c r="E40" i="16"/>
  <c r="E36" i="15"/>
  <c r="G36" i="10" s="1"/>
  <c r="H27" i="7"/>
  <c r="G27"/>
  <c r="F27"/>
  <c r="I27"/>
  <c r="F25"/>
  <c r="G25"/>
  <c r="I25"/>
  <c r="H25"/>
  <c r="F23"/>
  <c r="D23"/>
  <c r="G23"/>
  <c r="H23"/>
  <c r="I23"/>
  <c r="D20"/>
  <c r="I20"/>
  <c r="F20"/>
  <c r="H20"/>
  <c r="G20"/>
  <c r="H13"/>
  <c r="G13"/>
  <c r="I13"/>
  <c r="F13"/>
  <c r="F11"/>
  <c r="G11"/>
  <c r="D11"/>
  <c r="H11"/>
  <c r="I11"/>
  <c r="E48"/>
  <c r="B11" i="38670"/>
  <c r="B48" s="1"/>
  <c r="C48"/>
  <c r="J44" i="20"/>
  <c r="J36"/>
  <c r="E33" i="41"/>
  <c r="E33" i="16"/>
  <c r="E27" i="41"/>
  <c r="E27" i="16"/>
  <c r="E23" i="15"/>
  <c r="G23" i="54" s="1"/>
  <c r="E19" i="41"/>
  <c r="E19" i="16"/>
  <c r="E15" i="41"/>
  <c r="E15" i="16"/>
  <c r="J33" i="20"/>
  <c r="J15"/>
  <c r="J12"/>
  <c r="J16"/>
  <c r="H44" i="7"/>
  <c r="F44"/>
  <c r="G44"/>
  <c r="D44"/>
  <c r="I44"/>
  <c r="F42"/>
  <c r="H42"/>
  <c r="G42"/>
  <c r="I42"/>
  <c r="F37"/>
  <c r="H37"/>
  <c r="G37"/>
  <c r="I37"/>
  <c r="F48" i="3188"/>
  <c r="D46" i="32"/>
  <c r="D37"/>
  <c r="D28"/>
  <c r="D17"/>
  <c r="D40"/>
  <c r="D33"/>
  <c r="G50" i="38663"/>
  <c r="G31"/>
  <c r="G13"/>
  <c r="D20" i="32"/>
  <c r="G37" i="38663"/>
  <c r="G27"/>
  <c r="D21" i="32"/>
  <c r="E48" i="33"/>
  <c r="G48" i="47"/>
  <c r="J38" i="20"/>
  <c r="D32" i="38656"/>
  <c r="F46" i="41"/>
  <c r="G46" s="1"/>
  <c r="D38" i="9"/>
  <c r="D20" i="8"/>
  <c r="D27" i="54"/>
  <c r="F11" i="45"/>
  <c r="B48" i="44"/>
  <c r="F27" i="45"/>
  <c r="F41"/>
  <c r="F42"/>
  <c r="D27" i="9"/>
  <c r="D28" i="8"/>
  <c r="E29" i="76"/>
  <c r="D29" i="54"/>
  <c r="D30" i="9"/>
  <c r="F18" i="45"/>
  <c r="F32"/>
  <c r="F34"/>
  <c r="D48" i="44"/>
  <c r="F21" i="45"/>
  <c r="I26" i="11"/>
  <c r="B28" i="41"/>
  <c r="F25" i="45"/>
  <c r="F39"/>
  <c r="B44" i="41"/>
  <c r="B36"/>
  <c r="B25"/>
  <c r="B21"/>
  <c r="B51" i="39"/>
  <c r="H51" s="1"/>
  <c r="J25" i="38655"/>
  <c r="G38" i="26"/>
  <c r="G21"/>
  <c r="D15" i="8"/>
  <c r="G37" i="10"/>
  <c r="G33"/>
  <c r="D38" i="38661"/>
  <c r="D19" i="54"/>
  <c r="G24"/>
  <c r="G29"/>
  <c r="F35" i="45"/>
  <c r="D34" i="8"/>
  <c r="F32" i="11"/>
  <c r="J33" i="54"/>
  <c r="E30" i="20"/>
  <c r="H30" i="18"/>
  <c r="G30" i="38656"/>
  <c r="F37" i="41"/>
  <c r="G37" s="1"/>
  <c r="F25"/>
  <c r="G25" s="1"/>
  <c r="F21"/>
  <c r="G21" s="1"/>
  <c r="F17"/>
  <c r="G17" s="1"/>
  <c r="D50" i="38656"/>
  <c r="D17"/>
  <c r="B48" i="38665"/>
  <c r="I40" i="11"/>
  <c r="I37"/>
  <c r="D30" i="19"/>
  <c r="E45" i="16"/>
  <c r="E45" i="41"/>
  <c r="E41" i="15"/>
  <c r="I41" i="11" s="1"/>
  <c r="E37" i="16"/>
  <c r="E37" i="41"/>
  <c r="I34" i="7"/>
  <c r="G34"/>
  <c r="F34"/>
  <c r="H34"/>
  <c r="H32"/>
  <c r="I32"/>
  <c r="F32"/>
  <c r="G32"/>
  <c r="H18"/>
  <c r="D18"/>
  <c r="I18"/>
  <c r="G18"/>
  <c r="F18"/>
  <c r="G16"/>
  <c r="I16"/>
  <c r="F16"/>
  <c r="H16"/>
  <c r="H26" i="20"/>
  <c r="H18"/>
  <c r="E34" i="16"/>
  <c r="E34" i="41"/>
  <c r="E28"/>
  <c r="E28" i="16"/>
  <c r="J24" i="20"/>
  <c r="E24" i="41"/>
  <c r="E24" i="16"/>
  <c r="E20"/>
  <c r="E20" i="41"/>
  <c r="E16" i="16"/>
  <c r="E16" i="41"/>
  <c r="E12" i="16"/>
  <c r="E12" i="41"/>
  <c r="J28" i="20"/>
  <c r="F50" i="7"/>
  <c r="H50"/>
  <c r="I50"/>
  <c r="D50"/>
  <c r="G50"/>
  <c r="G45"/>
  <c r="F45"/>
  <c r="I45"/>
  <c r="H45"/>
  <c r="I40"/>
  <c r="H40"/>
  <c r="D40"/>
  <c r="G40"/>
  <c r="F40"/>
  <c r="I38"/>
  <c r="F38"/>
  <c r="G38"/>
  <c r="H38"/>
  <c r="B48" i="38663"/>
  <c r="G11"/>
  <c r="H43" i="20"/>
  <c r="H35"/>
  <c r="J17"/>
  <c r="E48" i="43"/>
  <c r="E48" i="78"/>
  <c r="B30" i="40"/>
  <c r="D30" s="1"/>
  <c r="D38" i="32"/>
  <c r="D26"/>
  <c r="D19"/>
  <c r="D39"/>
  <c r="F11" i="52"/>
  <c r="G43" i="38663"/>
  <c r="D48" i="38670"/>
  <c r="G45" i="38663"/>
  <c r="G23"/>
  <c r="D44" i="32"/>
  <c r="D18"/>
  <c r="E16" i="38648"/>
  <c r="E35"/>
  <c r="E28"/>
  <c r="E23"/>
  <c r="E12"/>
  <c r="E41"/>
  <c r="E32"/>
  <c r="E13"/>
  <c r="E19"/>
  <c r="E31"/>
  <c r="E36"/>
  <c r="E14"/>
  <c r="E44"/>
  <c r="E34"/>
  <c r="E17"/>
  <c r="E46"/>
  <c r="E42"/>
  <c r="E38"/>
  <c r="E20"/>
  <c r="E26"/>
  <c r="E15"/>
  <c r="E45"/>
  <c r="E21"/>
  <c r="E50"/>
  <c r="E43"/>
  <c r="E22"/>
  <c r="E33"/>
  <c r="E27"/>
  <c r="E18"/>
  <c r="E51"/>
  <c r="E40"/>
  <c r="E25"/>
  <c r="D27" i="7"/>
  <c r="D25"/>
  <c r="D37"/>
  <c r="G18" i="8"/>
  <c r="D21" i="7"/>
  <c r="D34"/>
  <c r="K38" i="3188"/>
  <c r="C38" i="5" s="1"/>
  <c r="H25" i="18"/>
  <c r="B16" i="19"/>
  <c r="D26" i="7"/>
  <c r="D36" i="8"/>
  <c r="D23"/>
  <c r="H48" i="3188"/>
  <c r="K25"/>
  <c r="C25" i="5" s="1"/>
  <c r="E11" i="38648"/>
  <c r="E39"/>
  <c r="E30"/>
  <c r="E24"/>
  <c r="E37"/>
  <c r="K51" i="3188" l="1"/>
  <c r="C51" i="5" s="1"/>
  <c r="D22" i="38661"/>
  <c r="K28" i="3188"/>
  <c r="C28" i="5" s="1"/>
  <c r="J11" i="20"/>
  <c r="K11" i="3188"/>
  <c r="C11" i="5" s="1"/>
  <c r="I15" i="45"/>
  <c r="E15" i="44" s="1"/>
  <c r="D15" i="42" s="1"/>
  <c r="K42" i="3188"/>
  <c r="C42" i="5" s="1"/>
  <c r="J43" i="26"/>
  <c r="K33" i="3188"/>
  <c r="C33" i="5" s="1"/>
  <c r="K34" i="3188"/>
  <c r="C34" i="5" s="1"/>
  <c r="C48" i="32"/>
  <c r="K32" i="3188"/>
  <c r="C32" i="5" s="1"/>
  <c r="I42" i="11"/>
  <c r="G42" i="54"/>
  <c r="I36" i="45"/>
  <c r="E36" s="1"/>
  <c r="H36" i="42" s="1"/>
  <c r="B38" i="43"/>
  <c r="F38" s="1"/>
  <c r="H38" s="1"/>
  <c r="B34"/>
  <c r="F34" s="1"/>
  <c r="H34" s="1"/>
  <c r="I34" i="45" s="1"/>
  <c r="B18" i="43"/>
  <c r="F18" s="1"/>
  <c r="H18" s="1"/>
  <c r="I18" i="45" s="1"/>
  <c r="G18" s="1"/>
  <c r="K50" i="3188"/>
  <c r="C50" i="5" s="1"/>
  <c r="K37" i="3188"/>
  <c r="C37" i="5" s="1"/>
  <c r="K31" i="3188"/>
  <c r="C31" i="5" s="1"/>
  <c r="B17" i="43"/>
  <c r="F17" s="1"/>
  <c r="H17" s="1"/>
  <c r="B16"/>
  <c r="F16" s="1"/>
  <c r="H16" s="1"/>
  <c r="I16" i="45" s="1"/>
  <c r="G16" s="1"/>
  <c r="B42" i="43"/>
  <c r="F42" s="1"/>
  <c r="H42" s="1"/>
  <c r="I42" i="45" s="1"/>
  <c r="G42" s="1"/>
  <c r="B20" i="43"/>
  <c r="F20" s="1"/>
  <c r="H20" s="1"/>
  <c r="I51" i="45"/>
  <c r="E51" s="1"/>
  <c r="H51" i="42" s="1"/>
  <c r="B12" i="43"/>
  <c r="F12" s="1"/>
  <c r="H12" s="1"/>
  <c r="I12" i="45" s="1"/>
  <c r="K44" i="3188"/>
  <c r="C44" i="5" s="1"/>
  <c r="K46" i="3188"/>
  <c r="C46" i="5" s="1"/>
  <c r="G32" i="38658"/>
  <c r="F32" i="38659" s="1"/>
  <c r="B28" i="43"/>
  <c r="F28" s="1"/>
  <c r="H28" s="1"/>
  <c r="I28" i="45" s="1"/>
  <c r="I28" i="44" s="1"/>
  <c r="F28" i="42" s="1"/>
  <c r="B35" i="43"/>
  <c r="F35" s="1"/>
  <c r="H35" s="1"/>
  <c r="I35" i="45" s="1"/>
  <c r="B46" i="43"/>
  <c r="F46" s="1"/>
  <c r="H46" s="1"/>
  <c r="I46" i="45" s="1"/>
  <c r="G46" s="1"/>
  <c r="B39" i="43"/>
  <c r="F39" s="1"/>
  <c r="H39" s="1"/>
  <c r="I39" i="45" s="1"/>
  <c r="B24" i="43"/>
  <c r="F24" s="1"/>
  <c r="H24" s="1"/>
  <c r="I24" i="45" s="1"/>
  <c r="I37"/>
  <c r="C37" s="1"/>
  <c r="G37" i="42" s="1"/>
  <c r="B51" i="20"/>
  <c r="D51" s="1"/>
  <c r="K17" i="3188"/>
  <c r="C17" i="5" s="1"/>
  <c r="B30" i="18"/>
  <c r="J30" i="38667" s="1"/>
  <c r="B42" i="20"/>
  <c r="K14" i="3188"/>
  <c r="C14" i="5" s="1"/>
  <c r="K26" i="3188"/>
  <c r="C26" i="5" s="1"/>
  <c r="K35" i="3188"/>
  <c r="C35" i="5" s="1"/>
  <c r="K36" i="3188"/>
  <c r="C36" i="5" s="1"/>
  <c r="K22" i="3188"/>
  <c r="C22" i="5" s="1"/>
  <c r="K15" i="3188"/>
  <c r="C15" i="5" s="1"/>
  <c r="K16" i="3188"/>
  <c r="C16" i="5" s="1"/>
  <c r="B19" i="18"/>
  <c r="D19" s="1"/>
  <c r="K27" i="3188"/>
  <c r="C27" i="5" s="1"/>
  <c r="H48" i="44"/>
  <c r="K23" i="3188"/>
  <c r="C23" i="5" s="1"/>
  <c r="B50" i="19"/>
  <c r="B45"/>
  <c r="K43" i="3188"/>
  <c r="C43" i="5" s="1"/>
  <c r="K39" i="3188"/>
  <c r="C39" i="5" s="1"/>
  <c r="E31" i="20"/>
  <c r="G31" s="1"/>
  <c r="K13" i="3188"/>
  <c r="C13" i="5" s="1"/>
  <c r="K18" i="3188"/>
  <c r="C18" i="5" s="1"/>
  <c r="K24" i="3188"/>
  <c r="C24" i="5" s="1"/>
  <c r="B32" i="20"/>
  <c r="D32" s="1"/>
  <c r="K20" i="3188"/>
  <c r="C20" i="5" s="1"/>
  <c r="B46" i="20"/>
  <c r="D46" s="1"/>
  <c r="G41" i="10"/>
  <c r="E21" i="18"/>
  <c r="D21" i="10"/>
  <c r="J37" i="9"/>
  <c r="B41" i="18"/>
  <c r="D41" i="8"/>
  <c r="J35" i="9"/>
  <c r="F48" i="34"/>
  <c r="D15" i="9"/>
  <c r="D42" i="20"/>
  <c r="D51" i="9"/>
  <c r="D33" i="7"/>
  <c r="C48" i="3188"/>
  <c r="B15" i="18"/>
  <c r="G36" i="44"/>
  <c r="E36" i="42" s="1"/>
  <c r="E36" i="44"/>
  <c r="D36" i="42" s="1"/>
  <c r="J15" i="10"/>
  <c r="G24" i="8"/>
  <c r="J44" i="54"/>
  <c r="J34" i="9"/>
  <c r="D48" i="11"/>
  <c r="F11"/>
  <c r="D12" i="38661"/>
  <c r="J12" i="10"/>
  <c r="G14"/>
  <c r="F17" i="11"/>
  <c r="F18"/>
  <c r="D43" i="19"/>
  <c r="D43" i="26"/>
  <c r="B43" i="41"/>
  <c r="B43" i="39"/>
  <c r="D43" i="27"/>
  <c r="D43" i="76" s="1"/>
  <c r="B43"/>
  <c r="J14" i="10"/>
  <c r="D18"/>
  <c r="G25" i="8"/>
  <c r="F19" i="11"/>
  <c r="G23" i="10"/>
  <c r="I20" i="11"/>
  <c r="J22" i="10"/>
  <c r="D23" i="38661"/>
  <c r="D19" i="10"/>
  <c r="E19" i="18"/>
  <c r="D22" i="9"/>
  <c r="G43" i="8"/>
  <c r="G42"/>
  <c r="D36" i="9"/>
  <c r="F16" i="11"/>
  <c r="D19" i="38661"/>
  <c r="D25"/>
  <c r="E16" i="18"/>
  <c r="D11" i="38661"/>
  <c r="F26" i="11"/>
  <c r="G35" i="8"/>
  <c r="D38"/>
  <c r="B38" i="18"/>
  <c r="D33" i="9"/>
  <c r="E13" i="18"/>
  <c r="D42" i="10"/>
  <c r="B12" i="19"/>
  <c r="H12" i="18"/>
  <c r="H20"/>
  <c r="H35"/>
  <c r="H41"/>
  <c r="D15" i="26"/>
  <c r="D23" i="19"/>
  <c r="D23" i="26"/>
  <c r="D34"/>
  <c r="G33" i="38655"/>
  <c r="B12" i="40"/>
  <c r="D12" s="1"/>
  <c r="B18"/>
  <c r="D18" s="1"/>
  <c r="B20"/>
  <c r="D20" s="1"/>
  <c r="B23"/>
  <c r="D23" s="1"/>
  <c r="B25"/>
  <c r="D25" s="1"/>
  <c r="B28"/>
  <c r="D28" s="1"/>
  <c r="B34"/>
  <c r="D34" s="1"/>
  <c r="B37" i="39"/>
  <c r="B42" i="40"/>
  <c r="D42" s="1"/>
  <c r="B50"/>
  <c r="E15" i="38658"/>
  <c r="E30"/>
  <c r="E35"/>
  <c r="E39"/>
  <c r="G39" s="1"/>
  <c r="E42"/>
  <c r="E47"/>
  <c r="H24" i="18"/>
  <c r="H28"/>
  <c r="B48" i="25"/>
  <c r="E38" i="18"/>
  <c r="D38" i="10"/>
  <c r="J36" i="26"/>
  <c r="J46"/>
  <c r="G46" i="38655"/>
  <c r="B31" i="40"/>
  <c r="D31" s="1"/>
  <c r="E13" i="20"/>
  <c r="H15" i="18"/>
  <c r="G35" i="38658"/>
  <c r="H46" i="18"/>
  <c r="B51" i="40"/>
  <c r="B31" i="39"/>
  <c r="B35"/>
  <c r="D41" i="19"/>
  <c r="D41" i="26"/>
  <c r="G38" i="38655"/>
  <c r="B45" i="40"/>
  <c r="D45" s="1"/>
  <c r="D11" i="8"/>
  <c r="B11" i="18"/>
  <c r="G43" i="10"/>
  <c r="D24"/>
  <c r="G13" i="54"/>
  <c r="D28" i="9"/>
  <c r="H21" i="18"/>
  <c r="G43" i="38655"/>
  <c r="D12" i="8"/>
  <c r="B12" i="18"/>
  <c r="J21" i="26"/>
  <c r="J34"/>
  <c r="G23" i="38655"/>
  <c r="K41" i="3188"/>
  <c r="C41" i="5" s="1"/>
  <c r="J16" i="26"/>
  <c r="J41"/>
  <c r="G21" i="38655"/>
  <c r="D37" i="19"/>
  <c r="D37" i="26"/>
  <c r="D22"/>
  <c r="D14"/>
  <c r="G17" i="8"/>
  <c r="G32"/>
  <c r="B24" i="18"/>
  <c r="D24" i="8"/>
  <c r="J33" i="26"/>
  <c r="J44"/>
  <c r="G19" i="38655"/>
  <c r="G25"/>
  <c r="H34" i="18"/>
  <c r="D44" i="9"/>
  <c r="G15" i="38655"/>
  <c r="F43" i="11"/>
  <c r="H19" i="18"/>
  <c r="F39" i="41"/>
  <c r="G39" s="1"/>
  <c r="F51"/>
  <c r="J50" i="26"/>
  <c r="B26" i="19"/>
  <c r="E12" i="20"/>
  <c r="G33" i="26"/>
  <c r="J20" i="54"/>
  <c r="B14" i="18"/>
  <c r="J37" i="54"/>
  <c r="B40" i="20"/>
  <c r="G34" i="10"/>
  <c r="G11" i="38656"/>
  <c r="E48"/>
  <c r="G33"/>
  <c r="B21" i="20"/>
  <c r="D40" i="9"/>
  <c r="G34" i="8"/>
  <c r="D39" i="54"/>
  <c r="B36" i="19"/>
  <c r="F26" i="41"/>
  <c r="G26" s="1"/>
  <c r="D41" i="38661"/>
  <c r="F50" i="11"/>
  <c r="B41" i="20"/>
  <c r="G24" i="10"/>
  <c r="G41" i="54"/>
  <c r="B15" i="19"/>
  <c r="J15" i="54"/>
  <c r="G32"/>
  <c r="J22"/>
  <c r="D28"/>
  <c r="D46"/>
  <c r="B16" i="20"/>
  <c r="E15"/>
  <c r="E19"/>
  <c r="F31" i="41"/>
  <c r="G31" s="1"/>
  <c r="E42" i="20"/>
  <c r="J24" i="9"/>
  <c r="G28" i="54"/>
  <c r="B42" i="18"/>
  <c r="G28" i="10"/>
  <c r="F37" i="11"/>
  <c r="B13" i="41"/>
  <c r="G44" i="38656"/>
  <c r="G12"/>
  <c r="G40"/>
  <c r="E36" i="20"/>
  <c r="J14" i="26"/>
  <c r="F28" i="11"/>
  <c r="D28" i="19"/>
  <c r="B27" i="20"/>
  <c r="F32" i="41"/>
  <c r="G32" s="1"/>
  <c r="G50" i="10"/>
  <c r="G37" i="38656"/>
  <c r="I23" i="11"/>
  <c r="G46" i="38656"/>
  <c r="B15" i="20"/>
  <c r="B23"/>
  <c r="G14" i="54"/>
  <c r="D42" i="38661"/>
  <c r="F42" i="11"/>
  <c r="F20" i="41"/>
  <c r="G20" s="1"/>
  <c r="J42" i="54"/>
  <c r="B28" i="20"/>
  <c r="H13" i="18"/>
  <c r="H51"/>
  <c r="F33" i="11"/>
  <c r="F41"/>
  <c r="G50" i="38656"/>
  <c r="G25"/>
  <c r="B20" i="19"/>
  <c r="E39" i="20"/>
  <c r="J33" i="10"/>
  <c r="J19" i="26"/>
  <c r="I32" i="11"/>
  <c r="E52" i="38658"/>
  <c r="I33" i="11"/>
  <c r="E18" i="20"/>
  <c r="F40" i="11"/>
  <c r="G19" i="38656"/>
  <c r="G31"/>
  <c r="G42" i="26"/>
  <c r="B20" i="41"/>
  <c r="J23" i="10"/>
  <c r="G35"/>
  <c r="J13" i="54"/>
  <c r="I38" i="11"/>
  <c r="D22" i="19"/>
  <c r="F34" i="41"/>
  <c r="G34" s="1"/>
  <c r="G15" i="26"/>
  <c r="G22" i="38656"/>
  <c r="G36"/>
  <c r="E20" i="18"/>
  <c r="G46" i="54"/>
  <c r="D42"/>
  <c r="G35" i="26"/>
  <c r="J31" i="10"/>
  <c r="D51" i="19"/>
  <c r="J28" i="54"/>
  <c r="E43" i="38658"/>
  <c r="I40" i="45"/>
  <c r="I40" i="43" s="1"/>
  <c r="B40" i="42" s="1"/>
  <c r="J26" i="20"/>
  <c r="D25" i="41"/>
  <c r="C25"/>
  <c r="D44"/>
  <c r="C44"/>
  <c r="F48" i="7"/>
  <c r="I48"/>
  <c r="G48"/>
  <c r="H48"/>
  <c r="B41" i="76"/>
  <c r="E41" s="1"/>
  <c r="D41" i="27"/>
  <c r="D41" i="76" s="1"/>
  <c r="F17" i="45"/>
  <c r="J39" i="20"/>
  <c r="E14" i="41"/>
  <c r="E14" i="16"/>
  <c r="E22" i="41"/>
  <c r="E22" i="16"/>
  <c r="E43" i="41"/>
  <c r="E43" i="16"/>
  <c r="B27" i="76"/>
  <c r="D27" i="27"/>
  <c r="D27" i="76" s="1"/>
  <c r="B37"/>
  <c r="E37" s="1"/>
  <c r="D37" i="27"/>
  <c r="D37" i="76" s="1"/>
  <c r="D46" i="38656"/>
  <c r="D39" i="19"/>
  <c r="E42" i="41"/>
  <c r="E42" i="16"/>
  <c r="B23" i="76"/>
  <c r="D23" i="27"/>
  <c r="D23" i="76" s="1"/>
  <c r="B45"/>
  <c r="D45" i="27"/>
  <c r="D45" i="76" s="1"/>
  <c r="J16" i="38655"/>
  <c r="D42" i="38656"/>
  <c r="F19" i="45"/>
  <c r="I19" s="1"/>
  <c r="C19" i="44" s="1"/>
  <c r="C19" i="42" s="1"/>
  <c r="I22" i="45"/>
  <c r="I22" i="43" s="1"/>
  <c r="B22" i="42" s="1"/>
  <c r="G37" i="38655"/>
  <c r="I36" i="11"/>
  <c r="J36" i="38655"/>
  <c r="D13" i="7"/>
  <c r="D11" i="32"/>
  <c r="D48" s="1"/>
  <c r="B32" i="19"/>
  <c r="C37" i="44"/>
  <c r="C37" i="42" s="1"/>
  <c r="E17" i="76"/>
  <c r="K12" i="3188"/>
  <c r="C12" i="5" s="1"/>
  <c r="G41" i="26"/>
  <c r="F23" i="45"/>
  <c r="I27"/>
  <c r="G27" s="1"/>
  <c r="D14" i="10"/>
  <c r="E43" i="20"/>
  <c r="J20" i="10"/>
  <c r="D21" i="38661"/>
  <c r="I24" i="11"/>
  <c r="F25"/>
  <c r="B23" i="18"/>
  <c r="J32" i="9"/>
  <c r="D46"/>
  <c r="G51" i="8"/>
  <c r="D16" i="9"/>
  <c r="B36" i="18"/>
  <c r="D16" i="10"/>
  <c r="I18" i="11"/>
  <c r="G45" i="8"/>
  <c r="E27" i="18"/>
  <c r="D27" i="10"/>
  <c r="D39"/>
  <c r="K21" i="3188"/>
  <c r="C21" i="5" s="1"/>
  <c r="K45" i="3188"/>
  <c r="C45" i="5" s="1"/>
  <c r="H40" i="18"/>
  <c r="H45"/>
  <c r="B48" i="26"/>
  <c r="D11"/>
  <c r="D11" i="19"/>
  <c r="D13"/>
  <c r="D13" i="26"/>
  <c r="J22"/>
  <c r="D38"/>
  <c r="G16" i="38655"/>
  <c r="G20"/>
  <c r="G24"/>
  <c r="G28"/>
  <c r="G40"/>
  <c r="B13" i="40"/>
  <c r="D13" s="1"/>
  <c r="B14" i="39"/>
  <c r="B21" i="40"/>
  <c r="D21" s="1"/>
  <c r="B22" i="39"/>
  <c r="B24"/>
  <c r="B26" i="40"/>
  <c r="D26" s="1"/>
  <c r="B33"/>
  <c r="D33" s="1"/>
  <c r="B41"/>
  <c r="D41" s="1"/>
  <c r="B46"/>
  <c r="D46" s="1"/>
  <c r="B11" i="41"/>
  <c r="D48" i="36"/>
  <c r="E18" i="38658"/>
  <c r="E22"/>
  <c r="E28"/>
  <c r="E41"/>
  <c r="D28" i="10"/>
  <c r="D45"/>
  <c r="H22" i="18"/>
  <c r="H32"/>
  <c r="J12" i="26"/>
  <c r="J42"/>
  <c r="G45" i="38655"/>
  <c r="D48" i="35"/>
  <c r="B11" i="20"/>
  <c r="B40" i="39"/>
  <c r="B12"/>
  <c r="F48" i="36"/>
  <c r="F11" i="41"/>
  <c r="B39" i="40"/>
  <c r="D39" s="1"/>
  <c r="G44" i="38655"/>
  <c r="B33" i="39"/>
  <c r="B11" i="40"/>
  <c r="B48" i="34"/>
  <c r="J11" i="26"/>
  <c r="H48"/>
  <c r="D11" i="9"/>
  <c r="B48"/>
  <c r="E32" i="18"/>
  <c r="D32" i="10"/>
  <c r="G31"/>
  <c r="D20"/>
  <c r="G43" i="38656"/>
  <c r="B33" i="18"/>
  <c r="D33" i="8"/>
  <c r="H23" i="18"/>
  <c r="E38" i="38658"/>
  <c r="G12" i="26"/>
  <c r="G17" i="38655"/>
  <c r="G36"/>
  <c r="J24" i="26"/>
  <c r="D39"/>
  <c r="D28"/>
  <c r="D16" i="19"/>
  <c r="D16" i="26"/>
  <c r="G12" i="8"/>
  <c r="J43" i="10"/>
  <c r="J18"/>
  <c r="D32" i="9"/>
  <c r="D50"/>
  <c r="J40" i="26"/>
  <c r="I13" i="11"/>
  <c r="D23" i="9"/>
  <c r="J13" i="26"/>
  <c r="E38" i="20"/>
  <c r="E44"/>
  <c r="E45"/>
  <c r="B51" i="41"/>
  <c r="C51" s="1"/>
  <c r="B22" i="19"/>
  <c r="F27" i="11"/>
  <c r="E44" i="18"/>
  <c r="G26" i="10"/>
  <c r="G20" i="8"/>
  <c r="D38" i="19"/>
  <c r="J35" i="54"/>
  <c r="G24" i="38656"/>
  <c r="B19" i="20"/>
  <c r="B44" i="39"/>
  <c r="J26" i="9"/>
  <c r="G19" i="8"/>
  <c r="F23" i="41"/>
  <c r="G23" s="1"/>
  <c r="J11" i="38655"/>
  <c r="J46" i="9"/>
  <c r="D34" i="54"/>
  <c r="J45" i="10"/>
  <c r="E40" i="18"/>
  <c r="D40" i="10"/>
  <c r="G12" i="54"/>
  <c r="B23" i="19"/>
  <c r="J26" i="54"/>
  <c r="J18" i="38655"/>
  <c r="J26"/>
  <c r="D44" i="38656"/>
  <c r="D26" i="54"/>
  <c r="E41" i="20"/>
  <c r="D12" i="54"/>
  <c r="B18" i="20"/>
  <c r="G27" i="54"/>
  <c r="B46" i="18"/>
  <c r="D46" i="8"/>
  <c r="E23" i="38658"/>
  <c r="J37" i="10"/>
  <c r="F31" i="11"/>
  <c r="F50" i="41"/>
  <c r="G50" s="1"/>
  <c r="E50" i="18"/>
  <c r="D50" i="10"/>
  <c r="E28" i="20"/>
  <c r="J31" i="26"/>
  <c r="B28" i="19"/>
  <c r="I34" i="11"/>
  <c r="G19" i="26"/>
  <c r="G20" i="10"/>
  <c r="D44" i="54"/>
  <c r="J40"/>
  <c r="J34"/>
  <c r="F44" i="11"/>
  <c r="B15" i="39"/>
  <c r="G39" i="54"/>
  <c r="D51"/>
  <c r="B21" i="39"/>
  <c r="B37" i="20"/>
  <c r="J25" i="9"/>
  <c r="J38" i="54"/>
  <c r="G26" i="26"/>
  <c r="F41" i="41"/>
  <c r="G41" s="1"/>
  <c r="D32" i="38661"/>
  <c r="J41" i="10"/>
  <c r="B46" i="19"/>
  <c r="G18" i="26"/>
  <c r="B16" i="39"/>
  <c r="D23" i="54"/>
  <c r="D26" i="38661"/>
  <c r="G42" i="10"/>
  <c r="D24" i="9"/>
  <c r="D40" i="19"/>
  <c r="D40" i="26"/>
  <c r="E26" i="38658"/>
  <c r="D51" i="26"/>
  <c r="B35" i="20"/>
  <c r="G40" i="26"/>
  <c r="G17" i="38656"/>
  <c r="G26"/>
  <c r="G39"/>
  <c r="B27" i="41"/>
  <c r="G44" i="54"/>
  <c r="G22"/>
  <c r="F48" i="25"/>
  <c r="G42" i="38656"/>
  <c r="G45"/>
  <c r="D42" i="9"/>
  <c r="B33" i="19"/>
  <c r="G32" i="38656"/>
  <c r="D18" i="54"/>
  <c r="G18" i="38656"/>
  <c r="G34"/>
  <c r="B23" i="41"/>
  <c r="D37" i="54"/>
  <c r="G31" i="26"/>
  <c r="B39" i="41"/>
  <c r="B46" i="76"/>
  <c r="E46" s="1"/>
  <c r="D46" i="27"/>
  <c r="D46" i="76" s="1"/>
  <c r="B24" i="41"/>
  <c r="B31" i="19"/>
  <c r="D40" i="54"/>
  <c r="E37" i="38658"/>
  <c r="F15" i="41"/>
  <c r="G15" s="1"/>
  <c r="J43" i="20"/>
  <c r="J18"/>
  <c r="B36" i="76"/>
  <c r="D36" i="27"/>
  <c r="D36" i="76" s="1"/>
  <c r="J33" i="38655"/>
  <c r="G29" i="76"/>
  <c r="E23" i="16"/>
  <c r="E23" i="41"/>
  <c r="J36" i="54"/>
  <c r="E36" i="41"/>
  <c r="E36" i="16"/>
  <c r="I32" i="38658"/>
  <c r="F30" i="19"/>
  <c r="D27" i="38656"/>
  <c r="C31" i="41"/>
  <c r="D31"/>
  <c r="J14" i="20"/>
  <c r="J15" i="38655"/>
  <c r="B18" i="19"/>
  <c r="B44"/>
  <c r="E11" i="41"/>
  <c r="E11" i="16"/>
  <c r="E48" i="15"/>
  <c r="E48" i="41" s="1"/>
  <c r="D32"/>
  <c r="C32"/>
  <c r="F30" i="39"/>
  <c r="D30"/>
  <c r="H30"/>
  <c r="D30" i="41"/>
  <c r="C30"/>
  <c r="D18"/>
  <c r="C18"/>
  <c r="C35"/>
  <c r="D35"/>
  <c r="I21" i="45"/>
  <c r="I21" i="44" s="1"/>
  <c r="F21" i="42" s="1"/>
  <c r="B26" i="20"/>
  <c r="H48"/>
  <c r="D32" i="7"/>
  <c r="K40" i="3188"/>
  <c r="C40" i="5" s="1"/>
  <c r="B45" i="20"/>
  <c r="B51" i="19"/>
  <c r="E14" i="20"/>
  <c r="E35"/>
  <c r="D31" i="7"/>
  <c r="B39" i="20"/>
  <c r="E22"/>
  <c r="D24" i="7"/>
  <c r="B37" i="19"/>
  <c r="B37" i="18"/>
  <c r="I45" i="45"/>
  <c r="G45" s="1"/>
  <c r="D11" i="10"/>
  <c r="B48"/>
  <c r="E11" i="18"/>
  <c r="I16" i="11"/>
  <c r="E12" i="18"/>
  <c r="D12" i="10"/>
  <c r="J13"/>
  <c r="D32" i="19"/>
  <c r="D32" i="26"/>
  <c r="G36" i="8"/>
  <c r="B51" i="18"/>
  <c r="D51" i="8"/>
  <c r="G31" i="54"/>
  <c r="G14" i="9"/>
  <c r="D39"/>
  <c r="D26"/>
  <c r="G15" i="10"/>
  <c r="F12" i="11"/>
  <c r="F13"/>
  <c r="D15" i="10"/>
  <c r="E15" i="18"/>
  <c r="I15" i="11"/>
  <c r="I12"/>
  <c r="B43" i="19"/>
  <c r="B43" i="40"/>
  <c r="D43" s="1"/>
  <c r="D15" i="38661"/>
  <c r="J17" i="10"/>
  <c r="G19"/>
  <c r="G21"/>
  <c r="F24" i="11"/>
  <c r="F22"/>
  <c r="F20"/>
  <c r="G21" i="54"/>
  <c r="B32" i="18"/>
  <c r="D32" i="8"/>
  <c r="J13" i="9"/>
  <c r="E45" i="38658"/>
  <c r="G30" i="8"/>
  <c r="G18" i="10"/>
  <c r="D43" i="9"/>
  <c r="F21" i="11"/>
  <c r="G17" i="10"/>
  <c r="G44" i="9"/>
  <c r="D43" i="54"/>
  <c r="D18" i="9"/>
  <c r="B48" i="82"/>
  <c r="H27" i="18"/>
  <c r="H39"/>
  <c r="D21" i="26"/>
  <c r="D27" i="19"/>
  <c r="D27" i="26"/>
  <c r="J37"/>
  <c r="G32" i="38655"/>
  <c r="G42"/>
  <c r="B48" i="35"/>
  <c r="B19" i="39"/>
  <c r="B20"/>
  <c r="B27" i="40"/>
  <c r="B36"/>
  <c r="D36" s="1"/>
  <c r="B40"/>
  <c r="D40" s="1"/>
  <c r="B48" i="36"/>
  <c r="E13" i="38658"/>
  <c r="E14"/>
  <c r="F13" i="41"/>
  <c r="G13" s="1"/>
  <c r="E25" i="38658"/>
  <c r="E34"/>
  <c r="E44"/>
  <c r="H18" i="18"/>
  <c r="H26"/>
  <c r="H31"/>
  <c r="H36"/>
  <c r="H42"/>
  <c r="D11" i="27"/>
  <c r="D11" i="76" s="1"/>
  <c r="B11"/>
  <c r="J23" i="26"/>
  <c r="B14" i="41"/>
  <c r="D14" s="1"/>
  <c r="H17" i="18"/>
  <c r="B13" i="39"/>
  <c r="B39"/>
  <c r="B45"/>
  <c r="B27"/>
  <c r="D27" s="1"/>
  <c r="G11" i="54"/>
  <c r="D33" i="10"/>
  <c r="B42" i="39"/>
  <c r="G11" i="26"/>
  <c r="E48"/>
  <c r="J32"/>
  <c r="G34" i="38655"/>
  <c r="B12" i="20"/>
  <c r="J20" i="26"/>
  <c r="D46" i="19"/>
  <c r="D46" i="26"/>
  <c r="D33" i="19"/>
  <c r="D33" i="26"/>
  <c r="D18"/>
  <c r="D51" i="38655"/>
  <c r="E43" i="18"/>
  <c r="D43" i="10"/>
  <c r="E17" i="18"/>
  <c r="B27"/>
  <c r="D27" i="8"/>
  <c r="J28" i="26"/>
  <c r="J38" i="9"/>
  <c r="G19" i="54"/>
  <c r="J15" i="26"/>
  <c r="H50" i="18"/>
  <c r="B36" i="39"/>
  <c r="G33" i="8"/>
  <c r="D12" i="9"/>
  <c r="F38" i="41"/>
  <c r="G38" s="1"/>
  <c r="F42"/>
  <c r="G42" s="1"/>
  <c r="B45"/>
  <c r="F44"/>
  <c r="G44" s="1"/>
  <c r="B14" i="19"/>
  <c r="D25"/>
  <c r="F27" i="41"/>
  <c r="G27" s="1"/>
  <c r="G45" i="26"/>
  <c r="B42" i="41"/>
  <c r="G51" i="54"/>
  <c r="G36"/>
  <c r="G38" i="10"/>
  <c r="B18" i="39"/>
  <c r="B38" i="41"/>
  <c r="J25" i="10"/>
  <c r="D50" i="54"/>
  <c r="G39" i="8"/>
  <c r="J34" i="10"/>
  <c r="G41" i="38656"/>
  <c r="J18" i="54"/>
  <c r="D19" i="9"/>
  <c r="D38" i="54"/>
  <c r="J40" i="10"/>
  <c r="B17" i="40"/>
  <c r="D17" s="1"/>
  <c r="B40" i="19"/>
  <c r="D25" i="54"/>
  <c r="G37" i="26"/>
  <c r="G17" i="54"/>
  <c r="D21"/>
  <c r="F14" i="41"/>
  <c r="G14" s="1"/>
  <c r="F18"/>
  <c r="G18" s="1"/>
  <c r="E23" i="20"/>
  <c r="F35" i="41"/>
  <c r="G35" s="1"/>
  <c r="B16" i="40"/>
  <c r="D16" s="1"/>
  <c r="B41" i="41"/>
  <c r="B50"/>
  <c r="D37" i="9"/>
  <c r="D45"/>
  <c r="J39" i="10"/>
  <c r="J44"/>
  <c r="J31" i="54"/>
  <c r="G15" i="38656"/>
  <c r="F19" i="41"/>
  <c r="G19" s="1"/>
  <c r="D35" i="10"/>
  <c r="E41" i="18"/>
  <c r="D41" i="10"/>
  <c r="D31" i="26"/>
  <c r="J45"/>
  <c r="B41" i="39"/>
  <c r="F28" i="41"/>
  <c r="G28" s="1"/>
  <c r="J28" i="10"/>
  <c r="G45"/>
  <c r="G23" i="26"/>
  <c r="G27"/>
  <c r="D43" i="38661"/>
  <c r="J50" i="54"/>
  <c r="B37" i="40"/>
  <c r="D37" s="1"/>
  <c r="E45" i="76"/>
  <c r="H48" i="25"/>
  <c r="B11" i="19"/>
  <c r="F46" i="11"/>
  <c r="G46" i="26"/>
  <c r="B36" i="20"/>
  <c r="J14" i="54"/>
  <c r="G16" i="26"/>
  <c r="E37" i="20"/>
  <c r="E48" i="38658"/>
  <c r="E25" i="18"/>
  <c r="D25" i="10"/>
  <c r="J32" i="54"/>
  <c r="I39" i="11"/>
  <c r="I45"/>
  <c r="B41" i="19"/>
  <c r="B13" i="20"/>
  <c r="B17" i="19"/>
  <c r="B25"/>
  <c r="F39" i="11"/>
  <c r="E24" i="20"/>
  <c r="D45" i="19"/>
  <c r="D45" i="26"/>
  <c r="G25"/>
  <c r="G13" i="38656"/>
  <c r="G21"/>
  <c r="B33" i="20"/>
  <c r="B19" i="41"/>
  <c r="G40" i="8"/>
  <c r="G44" i="26"/>
  <c r="G13" i="8"/>
  <c r="B19" i="19"/>
  <c r="D50"/>
  <c r="G51" i="10"/>
  <c r="F38" i="11"/>
  <c r="G14" i="38656"/>
  <c r="G28"/>
  <c r="B38" i="39"/>
  <c r="J19" i="10"/>
  <c r="J41" i="54"/>
  <c r="G37"/>
  <c r="G28" i="26"/>
  <c r="E29" i="38658"/>
  <c r="D31" i="54"/>
  <c r="B25" i="20"/>
  <c r="J39" i="26"/>
  <c r="F16" i="41"/>
  <c r="G16" s="1"/>
  <c r="I46" i="11"/>
  <c r="D19" i="19"/>
  <c r="D41" i="54"/>
  <c r="E33" i="18"/>
  <c r="D19" i="26"/>
  <c r="F48" i="52"/>
  <c r="J35" i="20"/>
  <c r="E30" i="5"/>
  <c r="G30" i="20"/>
  <c r="D34" i="38661"/>
  <c r="C21" i="41"/>
  <c r="D21"/>
  <c r="C36"/>
  <c r="D36"/>
  <c r="D28"/>
  <c r="C28"/>
  <c r="B44" i="76"/>
  <c r="E44" s="1"/>
  <c r="D44" i="27"/>
  <c r="D44" i="76" s="1"/>
  <c r="G30" i="19"/>
  <c r="D30" i="38655"/>
  <c r="G30" i="18"/>
  <c r="K30" i="38667"/>
  <c r="I14" i="45"/>
  <c r="J50" i="20"/>
  <c r="B20" i="76"/>
  <c r="E20" s="1"/>
  <c r="D20" i="27"/>
  <c r="D20" i="76" s="1"/>
  <c r="B33"/>
  <c r="E33" s="1"/>
  <c r="D33" i="27"/>
  <c r="D33" i="76" s="1"/>
  <c r="D17" i="41"/>
  <c r="C17"/>
  <c r="D15"/>
  <c r="C15"/>
  <c r="E21" i="20"/>
  <c r="E46" i="16"/>
  <c r="E46" i="41"/>
  <c r="B16" i="76"/>
  <c r="E16" s="1"/>
  <c r="D16" i="27"/>
  <c r="D16" i="76" s="1"/>
  <c r="B40"/>
  <c r="E40" s="1"/>
  <c r="D40" i="27"/>
  <c r="D40" i="76" s="1"/>
  <c r="D22" i="38656"/>
  <c r="D31"/>
  <c r="D38"/>
  <c r="D27" i="38661"/>
  <c r="D40"/>
  <c r="D16" i="41"/>
  <c r="C16"/>
  <c r="I31" i="45"/>
  <c r="G31" i="44" s="1"/>
  <c r="E31" i="42" s="1"/>
  <c r="I25" i="45"/>
  <c r="G25" s="1"/>
  <c r="G48" i="3188"/>
  <c r="B42" i="19"/>
  <c r="B48" i="45"/>
  <c r="B28" i="18"/>
  <c r="B20"/>
  <c r="F13" i="45"/>
  <c r="I13" s="1"/>
  <c r="F48" i="44"/>
  <c r="D41" i="7"/>
  <c r="D35"/>
  <c r="D48" i="37"/>
  <c r="F26" i="45"/>
  <c r="D13" i="10"/>
  <c r="J36"/>
  <c r="D22"/>
  <c r="B40" i="18"/>
  <c r="H38"/>
  <c r="E50" i="20"/>
  <c r="E34"/>
  <c r="I37" i="43"/>
  <c r="B37" i="42" s="1"/>
  <c r="I51" i="43"/>
  <c r="B51" i="42" s="1"/>
  <c r="I44" i="45"/>
  <c r="B32" i="39"/>
  <c r="J26" i="10"/>
  <c r="D17" i="9"/>
  <c r="B44" i="18"/>
  <c r="D44" i="8"/>
  <c r="D20" i="9"/>
  <c r="D13"/>
  <c r="G12" i="10"/>
  <c r="H48"/>
  <c r="J11"/>
  <c r="G13"/>
  <c r="F14" i="11"/>
  <c r="F15"/>
  <c r="I17"/>
  <c r="G11" i="10"/>
  <c r="E48"/>
  <c r="B48" i="11"/>
  <c r="H43" i="18"/>
  <c r="G43" i="26"/>
  <c r="I14" i="11"/>
  <c r="G25" i="10"/>
  <c r="E23" i="18"/>
  <c r="D23" i="10"/>
  <c r="J24"/>
  <c r="D35" i="9"/>
  <c r="F23" i="11"/>
  <c r="D17" i="10"/>
  <c r="D34" i="9"/>
  <c r="J40"/>
  <c r="G23" i="8"/>
  <c r="B43" i="20"/>
  <c r="D43" i="38656"/>
  <c r="J17" i="54"/>
  <c r="J16" i="10"/>
  <c r="F43" i="41"/>
  <c r="G43" s="1"/>
  <c r="D41" i="9"/>
  <c r="D31" i="10"/>
  <c r="H14" i="18"/>
  <c r="H37"/>
  <c r="D17" i="19"/>
  <c r="D17" i="26"/>
  <c r="D25"/>
  <c r="D36" i="19"/>
  <c r="D36" i="26"/>
  <c r="E48" i="38655"/>
  <c r="G11"/>
  <c r="G12"/>
  <c r="G14"/>
  <c r="G18"/>
  <c r="G22"/>
  <c r="G26"/>
  <c r="G31"/>
  <c r="G35"/>
  <c r="G41"/>
  <c r="B14" i="40"/>
  <c r="B15"/>
  <c r="D15" s="1"/>
  <c r="B19"/>
  <c r="D19" s="1"/>
  <c r="B22"/>
  <c r="D22" s="1"/>
  <c r="B24"/>
  <c r="D24" s="1"/>
  <c r="B25" i="39"/>
  <c r="B26"/>
  <c r="B28"/>
  <c r="B35" i="40"/>
  <c r="D35" s="1"/>
  <c r="B38"/>
  <c r="D38" s="1"/>
  <c r="B44"/>
  <c r="D44" s="1"/>
  <c r="B50" i="39"/>
  <c r="E17" i="38658"/>
  <c r="E21"/>
  <c r="E24"/>
  <c r="E27"/>
  <c r="E33"/>
  <c r="E36"/>
  <c r="E40"/>
  <c r="E31" i="18"/>
  <c r="H16"/>
  <c r="H33"/>
  <c r="D48" i="25"/>
  <c r="J17" i="26"/>
  <c r="J27"/>
  <c r="J38"/>
  <c r="D48" i="34"/>
  <c r="B11" i="39"/>
  <c r="B34"/>
  <c r="E19" i="38658"/>
  <c r="D50" i="26"/>
  <c r="D48" i="82"/>
  <c r="H11" i="18"/>
  <c r="D11" i="54"/>
  <c r="E46" i="38658"/>
  <c r="E26" i="18"/>
  <c r="D26" i="10"/>
  <c r="J25" i="54"/>
  <c r="B22" i="18"/>
  <c r="D25" i="9"/>
  <c r="I22" i="11"/>
  <c r="J25" i="26"/>
  <c r="G13" i="38655"/>
  <c r="K19" i="3188"/>
  <c r="C19" i="5" s="1"/>
  <c r="J18" i="26"/>
  <c r="D44" i="19"/>
  <c r="F44" s="1"/>
  <c r="D44" i="26"/>
  <c r="D35" i="19"/>
  <c r="D35" i="26"/>
  <c r="D20" i="19"/>
  <c r="D20" i="26"/>
  <c r="G50" i="38655"/>
  <c r="G15" i="8"/>
  <c r="J16" i="54"/>
  <c r="G27" i="8"/>
  <c r="D16"/>
  <c r="B24" i="20"/>
  <c r="G46" i="8"/>
  <c r="G48" i="11"/>
  <c r="I11"/>
  <c r="H44" i="18"/>
  <c r="D35" i="8"/>
  <c r="B35" i="18"/>
  <c r="D50" i="8"/>
  <c r="B50" i="18"/>
  <c r="B23" i="39"/>
  <c r="B20" i="20"/>
  <c r="B22"/>
  <c r="I43" i="11"/>
  <c r="D37" i="10"/>
  <c r="G27" i="38655"/>
  <c r="E40" i="20"/>
  <c r="D26" i="8"/>
  <c r="B26" i="18"/>
  <c r="F40" i="41"/>
  <c r="G40" s="1"/>
  <c r="B40"/>
  <c r="G16" i="10"/>
  <c r="E20" i="20"/>
  <c r="D20" i="54"/>
  <c r="E39" i="18"/>
  <c r="F36" i="41"/>
  <c r="G36" s="1"/>
  <c r="D44" i="10"/>
  <c r="G13" i="26"/>
  <c r="G17"/>
  <c r="G16" i="38656"/>
  <c r="G22" i="10"/>
  <c r="D21" i="9"/>
  <c r="G27" i="10"/>
  <c r="D26" i="19"/>
  <c r="G20" i="26"/>
  <c r="B46" i="41"/>
  <c r="G16" i="54"/>
  <c r="D39" i="8"/>
  <c r="B39" i="18"/>
  <c r="G31" i="8"/>
  <c r="G39" i="38655"/>
  <c r="G51" i="38656"/>
  <c r="B12" i="41"/>
  <c r="E16" i="20"/>
  <c r="F22" i="41"/>
  <c r="G22" s="1"/>
  <c r="E32" i="20"/>
  <c r="G51" i="38655"/>
  <c r="E46" i="20"/>
  <c r="E51"/>
  <c r="B17" i="39"/>
  <c r="B21" i="18"/>
  <c r="D21" i="8"/>
  <c r="D17"/>
  <c r="J35" i="10"/>
  <c r="B44" i="20"/>
  <c r="D17" i="54"/>
  <c r="B39" i="19"/>
  <c r="J26" i="26"/>
  <c r="D42"/>
  <c r="B32" i="40"/>
  <c r="D32" s="1"/>
  <c r="E34" i="18"/>
  <c r="D34" i="10"/>
  <c r="I28" i="11"/>
  <c r="J51" i="10"/>
  <c r="B24" i="19"/>
  <c r="D12"/>
  <c r="D12" i="26"/>
  <c r="D35" i="54"/>
  <c r="I25" i="11"/>
  <c r="D31" i="9"/>
  <c r="F35" i="11"/>
  <c r="G14" i="26"/>
  <c r="J21" i="10"/>
  <c r="E26" i="20"/>
  <c r="B43" i="18"/>
  <c r="D13" i="54"/>
  <c r="G25"/>
  <c r="G38" i="8"/>
  <c r="B31" i="18"/>
  <c r="D31" i="8"/>
  <c r="D36" i="10"/>
  <c r="E36" i="18"/>
  <c r="J42" i="10"/>
  <c r="F51" i="11"/>
  <c r="B13" i="19"/>
  <c r="D51" i="10"/>
  <c r="J51" i="26"/>
  <c r="D42" i="19"/>
  <c r="E33" i="20"/>
  <c r="D26" i="26"/>
  <c r="B27" i="19"/>
  <c r="G46" i="10"/>
  <c r="D24" i="19"/>
  <c r="B34" i="20"/>
  <c r="G34" i="26"/>
  <c r="G20" i="38656"/>
  <c r="G35"/>
  <c r="B31" i="20"/>
  <c r="B26" i="41"/>
  <c r="G34" i="54"/>
  <c r="G39" i="10"/>
  <c r="B14" i="20"/>
  <c r="B48" i="37"/>
  <c r="G33" i="54"/>
  <c r="G50"/>
  <c r="G23" i="38656"/>
  <c r="G38"/>
  <c r="B46" i="39"/>
  <c r="G15" i="54"/>
  <c r="G35"/>
  <c r="G45"/>
  <c r="B17" i="20"/>
  <c r="D37" i="38656"/>
  <c r="B50" i="20"/>
  <c r="G38" i="54"/>
  <c r="I51" i="11"/>
  <c r="B21" i="19"/>
  <c r="E41" i="16"/>
  <c r="E41" i="41"/>
  <c r="B30" i="76"/>
  <c r="E30" s="1"/>
  <c r="D30" i="27"/>
  <c r="D30" i="76" s="1"/>
  <c r="B32"/>
  <c r="E32" s="1"/>
  <c r="D32" i="27"/>
  <c r="D32" i="76" s="1"/>
  <c r="J23" i="38655"/>
  <c r="J34"/>
  <c r="J38"/>
  <c r="I43" i="45"/>
  <c r="G43" s="1"/>
  <c r="D22" i="41"/>
  <c r="C22"/>
  <c r="D37"/>
  <c r="C37"/>
  <c r="D30" i="20"/>
  <c r="E17"/>
  <c r="D48" i="70"/>
  <c r="D33" i="41"/>
  <c r="C33"/>
  <c r="D34"/>
  <c r="C34"/>
  <c r="I48" i="3188"/>
  <c r="G48" i="38663"/>
  <c r="D38" i="7"/>
  <c r="D45"/>
  <c r="B34" i="18"/>
  <c r="D42" i="7"/>
  <c r="J23" i="20"/>
  <c r="J41"/>
  <c r="E25"/>
  <c r="B38"/>
  <c r="E13" i="76"/>
  <c r="E27" i="20"/>
  <c r="B35" i="19"/>
  <c r="G36" i="26"/>
  <c r="D46" i="7"/>
  <c r="D14" i="8"/>
  <c r="D22"/>
  <c r="J22" i="20"/>
  <c r="D22" i="7"/>
  <c r="D43" i="8"/>
  <c r="E11" i="20"/>
  <c r="D14" i="54"/>
  <c r="B25" i="18"/>
  <c r="G37" i="45"/>
  <c r="D48"/>
  <c r="B13" i="18"/>
  <c r="C51" i="44"/>
  <c r="C51" i="42" s="1"/>
  <c r="D42" i="8"/>
  <c r="B34" i="19"/>
  <c r="B38"/>
  <c r="D36" i="38661"/>
  <c r="F36" i="11"/>
  <c r="G22" i="26"/>
  <c r="J48" i="3188"/>
  <c r="E22" i="18"/>
  <c r="E37" i="44"/>
  <c r="D37" i="42" s="1"/>
  <c r="I33" i="45"/>
  <c r="I50"/>
  <c r="I41"/>
  <c r="G41" s="1"/>
  <c r="I32"/>
  <c r="G32" s="1"/>
  <c r="B17" i="18"/>
  <c r="E48" i="9"/>
  <c r="E48" i="38665"/>
  <c r="G42" i="38658" l="1"/>
  <c r="F42" i="38659" s="1"/>
  <c r="G15" i="38658"/>
  <c r="G43"/>
  <c r="C36" i="45"/>
  <c r="G36" i="42" s="1"/>
  <c r="I36" i="43"/>
  <c r="B36" i="42" s="1"/>
  <c r="G36" i="45"/>
  <c r="G22"/>
  <c r="I36" i="44"/>
  <c r="F36" i="42" s="1"/>
  <c r="C36" i="44"/>
  <c r="C36" i="42" s="1"/>
  <c r="E23" i="76"/>
  <c r="G18" i="38658"/>
  <c r="G41"/>
  <c r="G27"/>
  <c r="F27" i="38659" s="1"/>
  <c r="I51" i="44"/>
  <c r="F51" i="42" s="1"/>
  <c r="G15" i="44"/>
  <c r="E15" i="42" s="1"/>
  <c r="G15" i="45"/>
  <c r="G51" i="44"/>
  <c r="E51" i="42" s="1"/>
  <c r="G51" i="45"/>
  <c r="C51"/>
  <c r="G51" i="42" s="1"/>
  <c r="G44" i="38658"/>
  <c r="G25"/>
  <c r="I25" s="1"/>
  <c r="C15" i="45"/>
  <c r="G15" i="42" s="1"/>
  <c r="I15" i="44"/>
  <c r="F15" i="42" s="1"/>
  <c r="D30" i="18"/>
  <c r="E51" i="44"/>
  <c r="D51" i="42" s="1"/>
  <c r="F48" i="45"/>
  <c r="E15"/>
  <c r="H15" i="42" s="1"/>
  <c r="C15" i="44"/>
  <c r="C15" i="42" s="1"/>
  <c r="G40" i="45"/>
  <c r="G38" i="38658"/>
  <c r="I38" s="1"/>
  <c r="I15" i="43"/>
  <c r="B15" i="42" s="1"/>
  <c r="G39" i="45"/>
  <c r="I39" i="44"/>
  <c r="F39" i="42" s="1"/>
  <c r="I20" i="45"/>
  <c r="I20" i="43" s="1"/>
  <c r="B20" i="42" s="1"/>
  <c r="G36" i="38658"/>
  <c r="F36" i="38659" s="1"/>
  <c r="G47" i="38658"/>
  <c r="I47" s="1"/>
  <c r="G30"/>
  <c r="I30" s="1"/>
  <c r="G22"/>
  <c r="I38" i="45"/>
  <c r="G52" i="38658"/>
  <c r="D48" i="3188"/>
  <c r="I37" i="44"/>
  <c r="F37" i="42" s="1"/>
  <c r="G37" i="44"/>
  <c r="E37" i="42" s="1"/>
  <c r="E37" i="45"/>
  <c r="H37" i="42" s="1"/>
  <c r="J19" i="38667"/>
  <c r="B16" i="18"/>
  <c r="J16" i="38667" s="1"/>
  <c r="G48" i="9"/>
  <c r="D17" i="18"/>
  <c r="J17" i="38667"/>
  <c r="K33"/>
  <c r="G33" i="18"/>
  <c r="F38" i="19"/>
  <c r="F22"/>
  <c r="K39" i="38667"/>
  <c r="G39" i="18"/>
  <c r="K31" i="38667"/>
  <c r="G31" i="18"/>
  <c r="G16" i="76"/>
  <c r="K13" i="38667"/>
  <c r="G13" i="18"/>
  <c r="G45" i="76"/>
  <c r="J21" i="54"/>
  <c r="J12"/>
  <c r="I35" i="43"/>
  <c r="B35" i="42" s="1"/>
  <c r="G35" i="44"/>
  <c r="E35" i="42" s="1"/>
  <c r="C35" i="45"/>
  <c r="G35" i="42" s="1"/>
  <c r="C35" i="44"/>
  <c r="C35" i="42" s="1"/>
  <c r="I35" i="44"/>
  <c r="F35" i="42" s="1"/>
  <c r="E35" i="44"/>
  <c r="D35" i="42" s="1"/>
  <c r="G33" i="44"/>
  <c r="E33" i="42" s="1"/>
  <c r="C33" i="44"/>
  <c r="C33" i="42" s="1"/>
  <c r="E33" i="44"/>
  <c r="D33" i="42" s="1"/>
  <c r="I33" i="43"/>
  <c r="B33" i="42" s="1"/>
  <c r="E33" i="45"/>
  <c r="H33" i="42" s="1"/>
  <c r="I33" i="44"/>
  <c r="F33" i="42" s="1"/>
  <c r="G22" i="18"/>
  <c r="K22" i="38667"/>
  <c r="G11" i="20"/>
  <c r="E48"/>
  <c r="F24" i="19"/>
  <c r="G32" i="76"/>
  <c r="D14" i="20"/>
  <c r="D28" i="38661"/>
  <c r="B24" i="76"/>
  <c r="E24" s="1"/>
  <c r="D24" i="27"/>
  <c r="D24" i="76" s="1"/>
  <c r="D51" i="38656"/>
  <c r="D51" i="38661"/>
  <c r="J28" i="38655"/>
  <c r="F42" i="19"/>
  <c r="D44" i="20"/>
  <c r="D17" i="39"/>
  <c r="H17"/>
  <c r="F17"/>
  <c r="G46" i="20"/>
  <c r="G32"/>
  <c r="G16"/>
  <c r="D39" i="18"/>
  <c r="J39" i="38667"/>
  <c r="D45" i="38661"/>
  <c r="J24" i="54"/>
  <c r="K44" i="38667"/>
  <c r="G44" i="18"/>
  <c r="G20" i="76"/>
  <c r="B18"/>
  <c r="E18" s="1"/>
  <c r="D18" i="27"/>
  <c r="D18" i="76" s="1"/>
  <c r="G40" i="20"/>
  <c r="I48" i="11"/>
  <c r="J22" i="38667"/>
  <c r="D22" i="18"/>
  <c r="G42" i="19"/>
  <c r="D42" i="38655"/>
  <c r="E16" i="5"/>
  <c r="F26" i="39"/>
  <c r="D26"/>
  <c r="H26"/>
  <c r="F47" i="38659"/>
  <c r="F17" i="19"/>
  <c r="J43" i="38655"/>
  <c r="D44" i="18"/>
  <c r="J44" i="38667"/>
  <c r="I44" i="43"/>
  <c r="B44" i="42" s="1"/>
  <c r="E44" i="45"/>
  <c r="H44" i="42" s="1"/>
  <c r="C44" i="44"/>
  <c r="C44" i="42" s="1"/>
  <c r="G44" i="44"/>
  <c r="E44" i="42" s="1"/>
  <c r="I44" i="44"/>
  <c r="F44" i="42" s="1"/>
  <c r="C44" i="45"/>
  <c r="G44" i="42" s="1"/>
  <c r="E44" i="44"/>
  <c r="D44" i="42" s="1"/>
  <c r="G34" i="20"/>
  <c r="G13" i="45"/>
  <c r="I13" i="44"/>
  <c r="F13" i="42" s="1"/>
  <c r="C13" i="44"/>
  <c r="C13" i="42" s="1"/>
  <c r="G13" i="44"/>
  <c r="E13" i="42" s="1"/>
  <c r="E13" i="44"/>
  <c r="D13" i="42" s="1"/>
  <c r="I13" i="43"/>
  <c r="B13" i="42" s="1"/>
  <c r="D20" i="18"/>
  <c r="J20" i="38667"/>
  <c r="G31" i="45"/>
  <c r="C31"/>
  <c r="G31" i="42" s="1"/>
  <c r="I31" i="44"/>
  <c r="F31" i="42" s="1"/>
  <c r="E31" i="45"/>
  <c r="H31" i="42" s="1"/>
  <c r="C31" i="44"/>
  <c r="C31" i="42" s="1"/>
  <c r="E31" i="44"/>
  <c r="D31" i="42" s="1"/>
  <c r="C14" i="44"/>
  <c r="C14" i="42" s="1"/>
  <c r="I14" i="44"/>
  <c r="F14" i="42" s="1"/>
  <c r="E14" i="45"/>
  <c r="H14" i="42" s="1"/>
  <c r="G14" i="44"/>
  <c r="E14" i="42" s="1"/>
  <c r="E14" i="44"/>
  <c r="D14" i="42" s="1"/>
  <c r="C14" i="45"/>
  <c r="G14" i="42" s="1"/>
  <c r="B11" i="43"/>
  <c r="F48" i="78"/>
  <c r="F19" i="19"/>
  <c r="D25" i="20"/>
  <c r="J42" i="38655"/>
  <c r="D13" i="20"/>
  <c r="D24" i="38661"/>
  <c r="H41" i="39"/>
  <c r="F41"/>
  <c r="D41"/>
  <c r="K41" i="38667"/>
  <c r="G41" i="18"/>
  <c r="D35" i="38661"/>
  <c r="D33" i="38656"/>
  <c r="H18" i="39"/>
  <c r="F18"/>
  <c r="D18"/>
  <c r="D45" i="41"/>
  <c r="C45"/>
  <c r="E50" i="5"/>
  <c r="D17" i="38661"/>
  <c r="G43" i="18"/>
  <c r="K43" i="38667"/>
  <c r="D12" i="20"/>
  <c r="H45" i="39"/>
  <c r="F45"/>
  <c r="D45"/>
  <c r="F13"/>
  <c r="H13"/>
  <c r="D13"/>
  <c r="E17" i="5"/>
  <c r="E42"/>
  <c r="E31"/>
  <c r="E18"/>
  <c r="G39" i="19"/>
  <c r="D39" i="38655"/>
  <c r="G28" i="19"/>
  <c r="D28" i="38655"/>
  <c r="G20" i="19"/>
  <c r="D20" i="38655"/>
  <c r="F27" i="19"/>
  <c r="D32" i="18"/>
  <c r="J32" i="38667"/>
  <c r="D51" i="18"/>
  <c r="E28" i="44"/>
  <c r="D28" i="42" s="1"/>
  <c r="I28" i="43"/>
  <c r="B28" i="42" s="1"/>
  <c r="C28" i="44"/>
  <c r="C28" i="42" s="1"/>
  <c r="C28" i="45"/>
  <c r="G28" i="42" s="1"/>
  <c r="E28" i="45"/>
  <c r="H28" i="42" s="1"/>
  <c r="G28" i="44"/>
  <c r="E28" i="42" s="1"/>
  <c r="G14" i="20"/>
  <c r="D26"/>
  <c r="D39" i="41"/>
  <c r="C39"/>
  <c r="H16" i="39"/>
  <c r="F16"/>
  <c r="D16"/>
  <c r="D19" i="20"/>
  <c r="G44"/>
  <c r="F28" i="19"/>
  <c r="D14" i="38661"/>
  <c r="J33" i="38667"/>
  <c r="D33" i="18"/>
  <c r="D48" i="9"/>
  <c r="D11" i="38655"/>
  <c r="G11" i="19"/>
  <c r="B48" i="38655"/>
  <c r="G27" i="19"/>
  <c r="D27" i="38655"/>
  <c r="D40" i="39"/>
  <c r="H40"/>
  <c r="F40"/>
  <c r="B48" i="41"/>
  <c r="D11"/>
  <c r="C11"/>
  <c r="F22" i="39"/>
  <c r="H22"/>
  <c r="D22"/>
  <c r="F13" i="19"/>
  <c r="D48" i="26"/>
  <c r="E40" i="5"/>
  <c r="K16" i="38667"/>
  <c r="G16" i="18"/>
  <c r="G43" i="20"/>
  <c r="G17" i="76"/>
  <c r="C22" i="45"/>
  <c r="G22" i="42" s="1"/>
  <c r="G22" i="44"/>
  <c r="E22" i="42" s="1"/>
  <c r="E22" i="44"/>
  <c r="D22" i="42" s="1"/>
  <c r="C22" i="44"/>
  <c r="C22" i="42" s="1"/>
  <c r="E22" i="45"/>
  <c r="H22" i="42" s="1"/>
  <c r="I22" i="44"/>
  <c r="F22" i="42" s="1"/>
  <c r="G19" i="45"/>
  <c r="I19" i="44"/>
  <c r="F19" i="42" s="1"/>
  <c r="C19" i="45"/>
  <c r="G19" i="42" s="1"/>
  <c r="E19" i="44"/>
  <c r="D19" i="42" s="1"/>
  <c r="G19" i="44"/>
  <c r="E19" i="42" s="1"/>
  <c r="I19" i="43"/>
  <c r="B19" i="42" s="1"/>
  <c r="E19" i="45"/>
  <c r="H19" i="42" s="1"/>
  <c r="G37" i="76"/>
  <c r="D20" i="38661"/>
  <c r="J44" i="38655"/>
  <c r="B15" i="76"/>
  <c r="E15" s="1"/>
  <c r="D15" i="27"/>
  <c r="D15" i="76" s="1"/>
  <c r="G36" i="20"/>
  <c r="B35" i="76"/>
  <c r="E35" s="1"/>
  <c r="G35" s="1"/>
  <c r="D35" i="27"/>
  <c r="D35" i="76" s="1"/>
  <c r="J22" i="38655"/>
  <c r="J42" i="38667"/>
  <c r="D42" i="18"/>
  <c r="D19" i="38655"/>
  <c r="G19" i="19"/>
  <c r="D36" i="38656"/>
  <c r="D21" i="20"/>
  <c r="E19" i="5"/>
  <c r="E34"/>
  <c r="F37" i="19"/>
  <c r="D11" i="18"/>
  <c r="J11" i="38667"/>
  <c r="G33" i="19"/>
  <c r="D33" i="38655"/>
  <c r="E24" i="5"/>
  <c r="J38" i="38667"/>
  <c r="D38" i="18"/>
  <c r="D15"/>
  <c r="J15" i="38667"/>
  <c r="G21" i="18"/>
  <c r="K21" i="38667"/>
  <c r="B18" i="18"/>
  <c r="E50" i="38658"/>
  <c r="E48" i="3188"/>
  <c r="E48" i="16"/>
  <c r="G17" i="38658"/>
  <c r="G48"/>
  <c r="E24" i="18"/>
  <c r="G33" i="38658"/>
  <c r="G24"/>
  <c r="B48" i="38661"/>
  <c r="G35" i="45"/>
  <c r="D45" i="8"/>
  <c r="B45" i="18"/>
  <c r="D16" i="7"/>
  <c r="G27" i="38667"/>
  <c r="J43" i="54"/>
  <c r="J11"/>
  <c r="I32" i="43"/>
  <c r="B32" i="42" s="1"/>
  <c r="E32" i="44"/>
  <c r="D32" i="42" s="1"/>
  <c r="I32" i="44"/>
  <c r="F32" i="42" s="1"/>
  <c r="C32" i="44"/>
  <c r="C32" i="42" s="1"/>
  <c r="C32" i="45"/>
  <c r="G32" i="42" s="1"/>
  <c r="G32" i="44"/>
  <c r="E32" i="42" s="1"/>
  <c r="E32" i="45"/>
  <c r="H32" i="42" s="1"/>
  <c r="I50" i="43"/>
  <c r="B50" i="42" s="1"/>
  <c r="E50" i="44"/>
  <c r="D50" i="42" s="1"/>
  <c r="E50" i="45"/>
  <c r="H50" i="42" s="1"/>
  <c r="C50" i="44"/>
  <c r="C50" i="42" s="1"/>
  <c r="C50" i="45"/>
  <c r="G50" i="42" s="1"/>
  <c r="G50" i="44"/>
  <c r="E50" i="42" s="1"/>
  <c r="I50" i="44"/>
  <c r="F50" i="42" s="1"/>
  <c r="D38" i="20"/>
  <c r="J34" i="38667"/>
  <c r="D34" i="18"/>
  <c r="G17" i="20"/>
  <c r="C43" i="44"/>
  <c r="C43" i="42" s="1"/>
  <c r="E43" i="44"/>
  <c r="D43" i="42" s="1"/>
  <c r="C43" i="45"/>
  <c r="G43" i="42" s="1"/>
  <c r="E43" i="45"/>
  <c r="H43" i="42" s="1"/>
  <c r="I43" i="44"/>
  <c r="F43" i="42" s="1"/>
  <c r="G43" i="44"/>
  <c r="E43" i="42" s="1"/>
  <c r="G30" i="76"/>
  <c r="D31" i="20"/>
  <c r="D34"/>
  <c r="D42" i="27"/>
  <c r="D42" i="76" s="1"/>
  <c r="B42"/>
  <c r="E42" s="1"/>
  <c r="G36" i="18"/>
  <c r="K36" i="38667"/>
  <c r="J31"/>
  <c r="D31" i="18"/>
  <c r="J43" i="38667"/>
  <c r="D43" i="18"/>
  <c r="D37" i="38661"/>
  <c r="D28" i="38656"/>
  <c r="D20"/>
  <c r="B21" i="76"/>
  <c r="E21" s="1"/>
  <c r="D21" i="27"/>
  <c r="D21" i="76" s="1"/>
  <c r="G20" i="20"/>
  <c r="D20"/>
  <c r="D50" i="18"/>
  <c r="D24" i="20"/>
  <c r="I42" i="38658"/>
  <c r="F15" i="38659"/>
  <c r="I15" i="38658"/>
  <c r="B48" i="39"/>
  <c r="D11"/>
  <c r="F11"/>
  <c r="H11"/>
  <c r="G45" i="19"/>
  <c r="D45" i="38655"/>
  <c r="G48"/>
  <c r="E14" i="5"/>
  <c r="G23" i="18"/>
  <c r="K23" i="38667"/>
  <c r="E43" i="5"/>
  <c r="G48" i="10"/>
  <c r="J48"/>
  <c r="I24" i="43"/>
  <c r="B24" i="42" s="1"/>
  <c r="I24" i="44"/>
  <c r="F24" i="42" s="1"/>
  <c r="E24" i="45"/>
  <c r="H24" i="42" s="1"/>
  <c r="E24" i="44"/>
  <c r="D24" i="42" s="1"/>
  <c r="C24" i="44"/>
  <c r="C24" i="42" s="1"/>
  <c r="G24" i="44"/>
  <c r="E24" i="42" s="1"/>
  <c r="C24" i="45"/>
  <c r="G24" i="42" s="1"/>
  <c r="J28" i="38667"/>
  <c r="D28" i="18"/>
  <c r="G40" i="76"/>
  <c r="J41" i="38655"/>
  <c r="F38" i="39"/>
  <c r="D38"/>
  <c r="H38"/>
  <c r="D33" i="20"/>
  <c r="J31" i="38655"/>
  <c r="G37" i="20"/>
  <c r="J45" i="54"/>
  <c r="J24" i="38655"/>
  <c r="B31" i="76"/>
  <c r="E31" s="1"/>
  <c r="D31" i="27"/>
  <c r="D31" i="76" s="1"/>
  <c r="D50" i="41"/>
  <c r="C50"/>
  <c r="G23" i="20"/>
  <c r="B34" i="76"/>
  <c r="E34" s="1"/>
  <c r="D34" i="27"/>
  <c r="D34" i="76" s="1"/>
  <c r="J19" i="38655"/>
  <c r="J27" i="38667"/>
  <c r="D27" i="18"/>
  <c r="F46" i="19"/>
  <c r="G36"/>
  <c r="D36" i="38655"/>
  <c r="H19" i="39"/>
  <c r="F19"/>
  <c r="D19"/>
  <c r="I18" i="38658"/>
  <c r="F18" i="38659"/>
  <c r="E27" i="5"/>
  <c r="D48" i="10"/>
  <c r="E45" i="45"/>
  <c r="H45" i="42" s="1"/>
  <c r="G45" i="44"/>
  <c r="E45" i="42" s="1"/>
  <c r="E45" i="44"/>
  <c r="D45" i="42" s="1"/>
  <c r="I45" i="43"/>
  <c r="B45" i="42" s="1"/>
  <c r="C45" i="45"/>
  <c r="G45" i="42" s="1"/>
  <c r="C45" i="44"/>
  <c r="C45" i="42" s="1"/>
  <c r="I45" i="44"/>
  <c r="F45" i="42" s="1"/>
  <c r="D39" i="20"/>
  <c r="D45"/>
  <c r="C21" i="45"/>
  <c r="G21" i="42" s="1"/>
  <c r="E21" i="45"/>
  <c r="H21" i="42" s="1"/>
  <c r="G21" i="44"/>
  <c r="E21" i="42" s="1"/>
  <c r="C21" i="44"/>
  <c r="C21" i="42" s="1"/>
  <c r="E21" i="44"/>
  <c r="D21" i="42" s="1"/>
  <c r="D24" i="41"/>
  <c r="C24"/>
  <c r="J40" i="38655"/>
  <c r="D41" i="38656"/>
  <c r="D15" i="38655"/>
  <c r="G15" i="19"/>
  <c r="D21" i="39"/>
  <c r="F21"/>
  <c r="H21"/>
  <c r="D16" i="38656"/>
  <c r="G50" i="18"/>
  <c r="K40" i="38667"/>
  <c r="G40" i="18"/>
  <c r="D44" i="38661"/>
  <c r="D40" i="38656"/>
  <c r="J27" i="54"/>
  <c r="F39" i="19"/>
  <c r="J48" i="26"/>
  <c r="D11" i="40"/>
  <c r="B48"/>
  <c r="D48" s="1"/>
  <c r="F33" i="39"/>
  <c r="D33"/>
  <c r="H33"/>
  <c r="G11" i="41"/>
  <c r="F48"/>
  <c r="G48" s="1"/>
  <c r="E22" i="5"/>
  <c r="H14" i="39"/>
  <c r="F14"/>
  <c r="D14"/>
  <c r="G46" i="19"/>
  <c r="D46" i="38655"/>
  <c r="J12"/>
  <c r="D36" i="18"/>
  <c r="J36" i="38667"/>
  <c r="J23"/>
  <c r="D23" i="18"/>
  <c r="G18" i="20"/>
  <c r="G39"/>
  <c r="E51" i="5"/>
  <c r="D23" i="20"/>
  <c r="D13" i="41"/>
  <c r="C13"/>
  <c r="G15" i="20"/>
  <c r="J14" i="38655"/>
  <c r="D41" i="20"/>
  <c r="B14" i="76"/>
  <c r="E14" s="1"/>
  <c r="D14" i="27"/>
  <c r="D14" i="76" s="1"/>
  <c r="J14" i="38667"/>
  <c r="D14" i="18"/>
  <c r="J24" i="38667"/>
  <c r="D24" i="18"/>
  <c r="J12" i="38667"/>
  <c r="D12" i="18"/>
  <c r="F41" i="19"/>
  <c r="D31" i="39"/>
  <c r="H31"/>
  <c r="F31"/>
  <c r="E46" i="5"/>
  <c r="E15"/>
  <c r="G31" i="19"/>
  <c r="D31" i="38655"/>
  <c r="D22"/>
  <c r="G22" i="19"/>
  <c r="G14"/>
  <c r="D14" i="38655"/>
  <c r="E41" i="5"/>
  <c r="E20"/>
  <c r="D13" i="38661"/>
  <c r="K19" i="38667"/>
  <c r="G19" i="18"/>
  <c r="F43" i="19"/>
  <c r="F48" i="11"/>
  <c r="G50" i="45"/>
  <c r="G40" i="38658"/>
  <c r="J37" i="42"/>
  <c r="G42" i="44"/>
  <c r="E42" i="42" s="1"/>
  <c r="G44" i="45"/>
  <c r="I31" i="43"/>
  <c r="B31" i="42" s="1"/>
  <c r="I14" i="43"/>
  <c r="B14" i="42" s="1"/>
  <c r="E35" i="18"/>
  <c r="G51" i="19"/>
  <c r="D21"/>
  <c r="G28" i="45"/>
  <c r="G26" i="38658"/>
  <c r="G14"/>
  <c r="E14" i="18"/>
  <c r="C33" i="45"/>
  <c r="G33" i="42" s="1"/>
  <c r="G24" i="45"/>
  <c r="G21"/>
  <c r="G23" i="38658"/>
  <c r="D34" i="19"/>
  <c r="D15"/>
  <c r="E43" i="76"/>
  <c r="D36" i="54"/>
  <c r="E36" i="76"/>
  <c r="G26" i="54"/>
  <c r="G44" i="38667"/>
  <c r="C41" i="45"/>
  <c r="G41" i="42" s="1"/>
  <c r="I41" i="44"/>
  <c r="F41" i="42" s="1"/>
  <c r="E41" i="45"/>
  <c r="H41" i="42" s="1"/>
  <c r="G41" i="44"/>
  <c r="E41" i="42" s="1"/>
  <c r="E41" i="44"/>
  <c r="D41" i="42" s="1"/>
  <c r="C41" i="44"/>
  <c r="C41" i="42" s="1"/>
  <c r="I41" i="43"/>
  <c r="B41" i="42" s="1"/>
  <c r="J13" i="38667"/>
  <c r="D13" i="18"/>
  <c r="G13" i="76"/>
  <c r="F26" i="19"/>
  <c r="G33" i="20"/>
  <c r="J20" i="38655"/>
  <c r="F12" i="19"/>
  <c r="J27" i="38655"/>
  <c r="J21" i="38667"/>
  <c r="D21" i="18"/>
  <c r="G51" i="20"/>
  <c r="D12" i="41"/>
  <c r="C12"/>
  <c r="B26" i="76"/>
  <c r="E26" s="1"/>
  <c r="D26" i="27"/>
  <c r="D26" i="76" s="1"/>
  <c r="J35" i="38667"/>
  <c r="D35" i="18"/>
  <c r="F20" i="19"/>
  <c r="G40"/>
  <c r="D40" i="38655"/>
  <c r="G13" i="19"/>
  <c r="D13" i="38655"/>
  <c r="G38" i="19"/>
  <c r="D38" i="38655"/>
  <c r="E33" i="5"/>
  <c r="D28" i="39"/>
  <c r="H28"/>
  <c r="F28"/>
  <c r="H25"/>
  <c r="D25"/>
  <c r="F25"/>
  <c r="F52" i="38659"/>
  <c r="I52" i="38658"/>
  <c r="F36" i="19"/>
  <c r="E37" i="5"/>
  <c r="K17" i="38667"/>
  <c r="G17" i="18"/>
  <c r="D32" i="39"/>
  <c r="H32"/>
  <c r="F32"/>
  <c r="E38" i="5"/>
  <c r="C25" i="44"/>
  <c r="C25" i="42" s="1"/>
  <c r="E25" i="44"/>
  <c r="D25" i="42" s="1"/>
  <c r="E25" i="45"/>
  <c r="H25" i="42" s="1"/>
  <c r="G25" i="44"/>
  <c r="E25" i="42" s="1"/>
  <c r="I25" i="44"/>
  <c r="F25" i="42" s="1"/>
  <c r="I30" i="19"/>
  <c r="L30" i="38667"/>
  <c r="M30" s="1"/>
  <c r="I30" s="1"/>
  <c r="B50" i="76"/>
  <c r="E50" s="1"/>
  <c r="D50" i="27"/>
  <c r="D50" i="76" s="1"/>
  <c r="D34" i="38656"/>
  <c r="F45" i="19"/>
  <c r="E25" i="5"/>
  <c r="G25" i="18"/>
  <c r="K25" i="38667"/>
  <c r="D36" i="20"/>
  <c r="J35" i="38655"/>
  <c r="D38" i="41"/>
  <c r="C38"/>
  <c r="D42"/>
  <c r="C42"/>
  <c r="H36" i="39"/>
  <c r="D36"/>
  <c r="F36"/>
  <c r="G48" i="26"/>
  <c r="D39" i="39"/>
  <c r="H39"/>
  <c r="F39"/>
  <c r="I43" i="38658"/>
  <c r="F43" i="38659"/>
  <c r="E26" i="5"/>
  <c r="G24" i="19"/>
  <c r="D24" i="38655"/>
  <c r="G16" i="19"/>
  <c r="D16" i="38655"/>
  <c r="K12" i="38667"/>
  <c r="G12" i="18"/>
  <c r="K11" i="38667"/>
  <c r="G11" i="18"/>
  <c r="I34" i="43"/>
  <c r="B34" i="42" s="1"/>
  <c r="E34" i="45"/>
  <c r="H34" i="42" s="1"/>
  <c r="I34" i="44"/>
  <c r="F34" i="42" s="1"/>
  <c r="E34" i="44"/>
  <c r="D34" i="42" s="1"/>
  <c r="C34" i="44"/>
  <c r="C34" i="42" s="1"/>
  <c r="G34" i="44"/>
  <c r="E34" i="42" s="1"/>
  <c r="C34" i="45"/>
  <c r="G34" i="42" s="1"/>
  <c r="G22" i="20"/>
  <c r="H54" i="23"/>
  <c r="J48" i="20"/>
  <c r="C23" i="41"/>
  <c r="D23"/>
  <c r="D27"/>
  <c r="C27"/>
  <c r="D35" i="20"/>
  <c r="F40" i="19"/>
  <c r="D37" i="20"/>
  <c r="F15" i="39"/>
  <c r="D15"/>
  <c r="H15"/>
  <c r="G28" i="20"/>
  <c r="G41"/>
  <c r="J46" i="38655"/>
  <c r="F44" i="39"/>
  <c r="H44"/>
  <c r="D44"/>
  <c r="G38" i="20"/>
  <c r="E23" i="5"/>
  <c r="K32" i="38667"/>
  <c r="G32" i="18"/>
  <c r="D12" i="39"/>
  <c r="F12"/>
  <c r="H12"/>
  <c r="D11" i="20"/>
  <c r="B48"/>
  <c r="G12" i="19"/>
  <c r="D12" i="38655"/>
  <c r="H24" i="39"/>
  <c r="D24"/>
  <c r="F24"/>
  <c r="F39" i="38659"/>
  <c r="I39" i="38658"/>
  <c r="F11" i="19"/>
  <c r="E45" i="5"/>
  <c r="K27" i="38667"/>
  <c r="G27" i="18"/>
  <c r="D18" i="38661"/>
  <c r="I12" i="43"/>
  <c r="B12" i="42" s="1"/>
  <c r="E12" i="45"/>
  <c r="H12" i="42" s="1"/>
  <c r="C12" i="45"/>
  <c r="G12" i="42" s="1"/>
  <c r="C12" i="44"/>
  <c r="C12" i="42" s="1"/>
  <c r="I12" i="44"/>
  <c r="F12" i="42" s="1"/>
  <c r="G12" i="44"/>
  <c r="E12" i="42" s="1"/>
  <c r="E12" i="44"/>
  <c r="D12" i="42" s="1"/>
  <c r="G23" i="76"/>
  <c r="B39"/>
  <c r="E39" s="1"/>
  <c r="D39" i="27"/>
  <c r="D39" i="76" s="1"/>
  <c r="I17" i="45"/>
  <c r="G17" s="1"/>
  <c r="B51" i="76"/>
  <c r="E51" s="1"/>
  <c r="D51" i="27"/>
  <c r="D51" i="76" s="1"/>
  <c r="B22"/>
  <c r="E22" s="1"/>
  <c r="D22" i="27"/>
  <c r="D22" i="76" s="1"/>
  <c r="J17" i="38655"/>
  <c r="J23" i="54"/>
  <c r="G21" i="19"/>
  <c r="D21" i="38655"/>
  <c r="D28" i="20"/>
  <c r="D33" i="54"/>
  <c r="B12" i="76"/>
  <c r="E12" s="1"/>
  <c r="D12" i="27"/>
  <c r="D12" i="76" s="1"/>
  <c r="B28"/>
  <c r="E28" s="1"/>
  <c r="D28" i="27"/>
  <c r="D28" i="76" s="1"/>
  <c r="D46" i="38661"/>
  <c r="G42" i="20"/>
  <c r="D40"/>
  <c r="G12"/>
  <c r="D12" i="38656"/>
  <c r="B48"/>
  <c r="K38" i="38667"/>
  <c r="G38" i="18"/>
  <c r="F37" i="39"/>
  <c r="H37"/>
  <c r="D37"/>
  <c r="F23" i="19"/>
  <c r="D43" i="39"/>
  <c r="H43"/>
  <c r="F43"/>
  <c r="C39" i="44"/>
  <c r="C39" i="42" s="1"/>
  <c r="C39" i="45"/>
  <c r="G39" i="42" s="1"/>
  <c r="I39" i="43"/>
  <c r="B39" i="42" s="1"/>
  <c r="E39" i="44"/>
  <c r="D39" i="42" s="1"/>
  <c r="G39" i="44"/>
  <c r="E39" i="42" s="1"/>
  <c r="E39" i="45"/>
  <c r="H39" i="42" s="1"/>
  <c r="J41" i="38667"/>
  <c r="D41" i="18"/>
  <c r="I43" i="43"/>
  <c r="B43" i="42" s="1"/>
  <c r="E51" i="18"/>
  <c r="E48" i="8"/>
  <c r="B48" i="54"/>
  <c r="G33" i="45"/>
  <c r="E35"/>
  <c r="H35" i="42" s="1"/>
  <c r="D18" i="19"/>
  <c r="G34" i="38658"/>
  <c r="B48" i="27"/>
  <c r="C25" i="45"/>
  <c r="G25" i="42" s="1"/>
  <c r="I21" i="43"/>
  <c r="B21" i="42" s="1"/>
  <c r="G37" i="38658"/>
  <c r="G19"/>
  <c r="G46"/>
  <c r="E13" i="45"/>
  <c r="H13" i="42" s="1"/>
  <c r="G12" i="45"/>
  <c r="I23"/>
  <c r="C14" i="41"/>
  <c r="D14" i="19"/>
  <c r="B48" i="7"/>
  <c r="G28" i="38658"/>
  <c r="E42" i="18"/>
  <c r="G45" i="38658"/>
  <c r="E18" i="18"/>
  <c r="J36" i="42"/>
  <c r="E46" i="18"/>
  <c r="E27" i="76"/>
  <c r="C48" i="5"/>
  <c r="G16" i="8"/>
  <c r="G43" i="54"/>
  <c r="G45" i="38667"/>
  <c r="G18" i="54"/>
  <c r="G30" i="38667"/>
  <c r="E18" i="45"/>
  <c r="H18" i="42" s="1"/>
  <c r="G18" i="44"/>
  <c r="E18" i="42" s="1"/>
  <c r="E18" i="44"/>
  <c r="D18" i="42" s="1"/>
  <c r="C18" i="44"/>
  <c r="C18" i="42" s="1"/>
  <c r="I18" i="43"/>
  <c r="B18" i="42" s="1"/>
  <c r="I18" i="44"/>
  <c r="F18" i="42" s="1"/>
  <c r="I42" i="43"/>
  <c r="B42" i="42" s="1"/>
  <c r="C42" i="44"/>
  <c r="C42" i="42" s="1"/>
  <c r="E42" i="45"/>
  <c r="H42" i="42" s="1"/>
  <c r="C42" i="45"/>
  <c r="G42" i="42" s="1"/>
  <c r="E42" i="44"/>
  <c r="D42" i="42" s="1"/>
  <c r="I42" i="44"/>
  <c r="F42" i="42" s="1"/>
  <c r="D25" i="18"/>
  <c r="J25" i="38667"/>
  <c r="G27" i="20"/>
  <c r="G25"/>
  <c r="D50"/>
  <c r="D17"/>
  <c r="H46" i="39"/>
  <c r="F46"/>
  <c r="D46"/>
  <c r="C26" i="41"/>
  <c r="D26"/>
  <c r="G25" i="19"/>
  <c r="D25" i="38655"/>
  <c r="G26" i="20"/>
  <c r="K34" i="38667"/>
  <c r="G34" i="18"/>
  <c r="J50" i="38655"/>
  <c r="D24" i="38656"/>
  <c r="D45"/>
  <c r="J39" i="38655"/>
  <c r="D23" i="38656"/>
  <c r="D15"/>
  <c r="D46" i="41"/>
  <c r="C46"/>
  <c r="D39" i="38661"/>
  <c r="D40" i="41"/>
  <c r="C40"/>
  <c r="D26" i="18"/>
  <c r="J26" i="38667"/>
  <c r="D22" i="20"/>
  <c r="F23" i="39"/>
  <c r="H23"/>
  <c r="D23"/>
  <c r="E44" i="5"/>
  <c r="F35" i="19"/>
  <c r="G34"/>
  <c r="D34" i="38655"/>
  <c r="G26" i="18"/>
  <c r="K26" i="38667"/>
  <c r="E11" i="5"/>
  <c r="H48" i="18"/>
  <c r="F50" i="19"/>
  <c r="I44" i="38658"/>
  <c r="F44" i="38659"/>
  <c r="D34" i="39"/>
  <c r="H34"/>
  <c r="F34"/>
  <c r="D31" i="38661"/>
  <c r="G50" i="19"/>
  <c r="D50" i="38655"/>
  <c r="F25" i="19"/>
  <c r="D43" i="20"/>
  <c r="I16" i="43"/>
  <c r="B16" i="42" s="1"/>
  <c r="C16" i="44"/>
  <c r="C16" i="42" s="1"/>
  <c r="E16" i="44"/>
  <c r="D16" i="42" s="1"/>
  <c r="C16" i="45"/>
  <c r="G16" i="42" s="1"/>
  <c r="G16" i="44"/>
  <c r="E16" i="42" s="1"/>
  <c r="I16" i="44"/>
  <c r="F16" i="42" s="1"/>
  <c r="E16" i="45"/>
  <c r="H16" i="42" s="1"/>
  <c r="G50" i="20"/>
  <c r="J40" i="38667"/>
  <c r="D40" i="18"/>
  <c r="G21" i="20"/>
  <c r="G33" i="76"/>
  <c r="G44"/>
  <c r="D33" i="38661"/>
  <c r="B19" i="76"/>
  <c r="E19" s="1"/>
  <c r="D19" i="27"/>
  <c r="D19" i="76" s="1"/>
  <c r="C19" i="41"/>
  <c r="D19"/>
  <c r="G24" i="20"/>
  <c r="D21" i="38656"/>
  <c r="B48" i="19"/>
  <c r="J45" i="38655"/>
  <c r="D41" i="41"/>
  <c r="C41"/>
  <c r="B25" i="76"/>
  <c r="E25" s="1"/>
  <c r="D25" i="27"/>
  <c r="D25" i="76" s="1"/>
  <c r="F33" i="19"/>
  <c r="D42" i="39"/>
  <c r="F42"/>
  <c r="H42"/>
  <c r="G32" i="19"/>
  <c r="D32" i="38655"/>
  <c r="D23"/>
  <c r="G23" i="19"/>
  <c r="G41"/>
  <c r="D41" i="38655"/>
  <c r="E36" i="5"/>
  <c r="F20" i="39"/>
  <c r="H20"/>
  <c r="D20"/>
  <c r="F41" i="38659"/>
  <c r="I41" i="38658"/>
  <c r="I22"/>
  <c r="F22" i="38659"/>
  <c r="E39" i="5"/>
  <c r="K15" i="38667"/>
  <c r="G15" i="18"/>
  <c r="F32" i="19"/>
  <c r="E46" i="44"/>
  <c r="D46" i="42" s="1"/>
  <c r="I46" i="43"/>
  <c r="B46" i="42" s="1"/>
  <c r="C46" i="44"/>
  <c r="C46" i="42" s="1"/>
  <c r="I46" i="44"/>
  <c r="F46" i="42" s="1"/>
  <c r="G46" i="44"/>
  <c r="E46" i="42" s="1"/>
  <c r="E46" i="45"/>
  <c r="H46" i="42" s="1"/>
  <c r="C46" i="45"/>
  <c r="G46" i="42" s="1"/>
  <c r="J37" i="38667"/>
  <c r="D37" i="18"/>
  <c r="G35" i="20"/>
  <c r="G46" i="76"/>
  <c r="D14" i="38656"/>
  <c r="J13" i="38655"/>
  <c r="F51" i="19"/>
  <c r="G35"/>
  <c r="D35" i="38655"/>
  <c r="G17" i="19"/>
  <c r="D17" i="38655"/>
  <c r="J46" i="38667"/>
  <c r="D46" i="18"/>
  <c r="D18" i="20"/>
  <c r="B38" i="76"/>
  <c r="E38" s="1"/>
  <c r="D38" i="27"/>
  <c r="D38" i="76" s="1"/>
  <c r="G45" i="20"/>
  <c r="F16" i="19"/>
  <c r="K20" i="38667"/>
  <c r="G20" i="18"/>
  <c r="C50" i="38658"/>
  <c r="G13"/>
  <c r="E32" i="5"/>
  <c r="D44" i="38655"/>
  <c r="G44" i="19"/>
  <c r="G37"/>
  <c r="D37" i="38655"/>
  <c r="I27" i="43"/>
  <c r="B27" i="42" s="1"/>
  <c r="E27" i="45"/>
  <c r="H27" i="42" s="1"/>
  <c r="C27" i="44"/>
  <c r="C27" i="42" s="1"/>
  <c r="E27" i="44"/>
  <c r="D27" i="42" s="1"/>
  <c r="I27" i="44"/>
  <c r="F27" i="42" s="1"/>
  <c r="C27" i="45"/>
  <c r="G27" i="42" s="1"/>
  <c r="G27" i="44"/>
  <c r="E27" i="42" s="1"/>
  <c r="G41" i="76"/>
  <c r="E40" i="44"/>
  <c r="D40" i="42" s="1"/>
  <c r="C40" i="44"/>
  <c r="C40" i="42" s="1"/>
  <c r="C40" i="45"/>
  <c r="G40" i="42" s="1"/>
  <c r="I40" i="44"/>
  <c r="F40" i="42" s="1"/>
  <c r="E40" i="45"/>
  <c r="H40" i="42" s="1"/>
  <c r="G40" i="44"/>
  <c r="E40" i="42" s="1"/>
  <c r="C20" i="41"/>
  <c r="D20"/>
  <c r="E13" i="5"/>
  <c r="D15" i="20"/>
  <c r="D27"/>
  <c r="G19"/>
  <c r="D16"/>
  <c r="G48" i="38656"/>
  <c r="E21" i="5"/>
  <c r="D35" i="39"/>
  <c r="H35"/>
  <c r="F35"/>
  <c r="F35" i="38659"/>
  <c r="I35" i="38658"/>
  <c r="G13" i="20"/>
  <c r="E28" i="5"/>
  <c r="G26" i="19"/>
  <c r="D26" i="38655"/>
  <c r="G18" i="19"/>
  <c r="D18" i="38655"/>
  <c r="E35" i="5"/>
  <c r="E12"/>
  <c r="D16" i="38661"/>
  <c r="G43" i="19"/>
  <c r="D43" i="38655"/>
  <c r="D43" i="41"/>
  <c r="C43"/>
  <c r="E37" i="18"/>
  <c r="E11" i="76"/>
  <c r="C18" i="45"/>
  <c r="G18" i="42" s="1"/>
  <c r="C13" i="45"/>
  <c r="G13" i="42" s="1"/>
  <c r="I25" i="43"/>
  <c r="B25" i="42" s="1"/>
  <c r="D31" i="19"/>
  <c r="I26" i="45"/>
  <c r="G14"/>
  <c r="H48" i="38655"/>
  <c r="G29" i="38658"/>
  <c r="E45" i="18"/>
  <c r="E28"/>
  <c r="G34" i="45"/>
  <c r="H48" i="9"/>
  <c r="G21" i="38658"/>
  <c r="B48" i="8"/>
  <c r="K48" i="3188"/>
  <c r="E48" i="38648"/>
  <c r="F25" i="38659" l="1"/>
  <c r="I27" i="38658"/>
  <c r="J14" i="42"/>
  <c r="I36" i="38658"/>
  <c r="J15" i="42"/>
  <c r="J22"/>
  <c r="F30" i="38659"/>
  <c r="J43" i="42"/>
  <c r="J31"/>
  <c r="J25"/>
  <c r="J21"/>
  <c r="F38" i="38659"/>
  <c r="I20" i="44"/>
  <c r="F20" i="42" s="1"/>
  <c r="C20" i="45"/>
  <c r="G20" i="42" s="1"/>
  <c r="E20" i="44"/>
  <c r="D20" i="42" s="1"/>
  <c r="E20" i="45"/>
  <c r="H20" i="42" s="1"/>
  <c r="G20" i="44"/>
  <c r="E20" i="42" s="1"/>
  <c r="G20" i="45"/>
  <c r="C20" i="44"/>
  <c r="C20" i="42" s="1"/>
  <c r="I38" i="44"/>
  <c r="F38" i="42" s="1"/>
  <c r="C38" i="45"/>
  <c r="G38" i="42" s="1"/>
  <c r="E38" i="45"/>
  <c r="H38" i="42" s="1"/>
  <c r="E38" i="44"/>
  <c r="D38" i="42" s="1"/>
  <c r="C38" i="44"/>
  <c r="C38" i="42" s="1"/>
  <c r="G38" i="45"/>
  <c r="G38" i="44"/>
  <c r="E38" i="42" s="1"/>
  <c r="I38" i="43"/>
  <c r="B38" i="42" s="1"/>
  <c r="J40"/>
  <c r="D48" i="19"/>
  <c r="J52" i="22" s="1"/>
  <c r="D16" i="18"/>
  <c r="G23" i="38667"/>
  <c r="G18"/>
  <c r="G14"/>
  <c r="G15"/>
  <c r="G33"/>
  <c r="G35"/>
  <c r="G37"/>
  <c r="G21" i="76"/>
  <c r="G19" i="38667"/>
  <c r="G24" i="76"/>
  <c r="B32" i="38659"/>
  <c r="E32" s="1"/>
  <c r="E30" i="70"/>
  <c r="D30" i="5"/>
  <c r="G48" i="54"/>
  <c r="G24" i="38667"/>
  <c r="D48" i="8"/>
  <c r="J48" i="38655"/>
  <c r="G11" i="76"/>
  <c r="I43" i="19"/>
  <c r="L43" i="38667"/>
  <c r="M43" s="1"/>
  <c r="L26"/>
  <c r="M26" s="1"/>
  <c r="I26" s="1"/>
  <c r="I26" i="19"/>
  <c r="G38" i="76"/>
  <c r="L17" i="38667"/>
  <c r="I17" i="19"/>
  <c r="H52" i="22"/>
  <c r="I50" i="19"/>
  <c r="G18" i="18"/>
  <c r="K18" i="38667"/>
  <c r="D48" i="7"/>
  <c r="G23" i="44"/>
  <c r="E23" i="42" s="1"/>
  <c r="E23" i="45"/>
  <c r="H23" i="42" s="1"/>
  <c r="C23" i="44"/>
  <c r="C23" i="42" s="1"/>
  <c r="C23" i="45"/>
  <c r="G23" i="42" s="1"/>
  <c r="E23" i="44"/>
  <c r="D23" i="42" s="1"/>
  <c r="I23" i="43"/>
  <c r="B23" i="42" s="1"/>
  <c r="I23" i="44"/>
  <c r="F23" i="42" s="1"/>
  <c r="F46" i="38659"/>
  <c r="I46" i="38658"/>
  <c r="I19"/>
  <c r="F19" i="38659"/>
  <c r="D48" i="27"/>
  <c r="D48" i="76" s="1"/>
  <c r="D48" i="54"/>
  <c r="G28" i="76"/>
  <c r="G51"/>
  <c r="L12" i="38667"/>
  <c r="M12" s="1"/>
  <c r="I12" i="19"/>
  <c r="L24" i="38667"/>
  <c r="I24" i="19"/>
  <c r="G36" i="76"/>
  <c r="I23" i="38658"/>
  <c r="F23" i="38659"/>
  <c r="F14"/>
  <c r="I14" i="38658"/>
  <c r="K35" i="38667"/>
  <c r="G35" i="18"/>
  <c r="F40" i="38659"/>
  <c r="I40" i="38658"/>
  <c r="L31" i="38667"/>
  <c r="M31" s="1"/>
  <c r="I31" i="19"/>
  <c r="L46" i="38667"/>
  <c r="I46" i="19"/>
  <c r="G42" i="76"/>
  <c r="D45" i="18"/>
  <c r="J45" i="38667"/>
  <c r="D48" i="38661"/>
  <c r="G24" i="18"/>
  <c r="K24" i="38667"/>
  <c r="M24" s="1"/>
  <c r="I24" s="1"/>
  <c r="F48" i="38659"/>
  <c r="I48" i="38658"/>
  <c r="I17"/>
  <c r="F17" i="38659"/>
  <c r="J18" i="38667"/>
  <c r="D18" i="18"/>
  <c r="I11" i="19"/>
  <c r="G48"/>
  <c r="L11" i="38667"/>
  <c r="M11" s="1"/>
  <c r="I11" s="1"/>
  <c r="L42"/>
  <c r="I42" i="19"/>
  <c r="J27" i="42"/>
  <c r="E48" i="5"/>
  <c r="J18" i="42"/>
  <c r="J41"/>
  <c r="J50"/>
  <c r="J28"/>
  <c r="M17" i="38667"/>
  <c r="G16"/>
  <c r="G42"/>
  <c r="G34"/>
  <c r="G22"/>
  <c r="J48" i="9"/>
  <c r="F29" i="38659"/>
  <c r="I29" i="38658"/>
  <c r="L37" i="38667"/>
  <c r="I37" i="19"/>
  <c r="L35" i="38667"/>
  <c r="I35" i="19"/>
  <c r="I41"/>
  <c r="L41" i="38667"/>
  <c r="F54" i="22"/>
  <c r="F52"/>
  <c r="L25" i="38667"/>
  <c r="M25" s="1"/>
  <c r="I25" i="19"/>
  <c r="I28" i="38658"/>
  <c r="F28" i="38659"/>
  <c r="G51" i="18"/>
  <c r="D48" i="38656"/>
  <c r="G12" i="76"/>
  <c r="L38" i="38667"/>
  <c r="M38" s="1"/>
  <c r="I38" i="19"/>
  <c r="G26" i="76"/>
  <c r="G43"/>
  <c r="I51" i="19"/>
  <c r="L22" i="38667"/>
  <c r="M22" s="1"/>
  <c r="I22" s="1"/>
  <c r="I22" i="19"/>
  <c r="G34" i="76"/>
  <c r="L33" i="38667"/>
  <c r="M33" s="1"/>
  <c r="I33" s="1"/>
  <c r="I33" i="19"/>
  <c r="D48" i="41"/>
  <c r="C48"/>
  <c r="D48" i="38655"/>
  <c r="L20" i="38667"/>
  <c r="M20" s="1"/>
  <c r="I20" s="1"/>
  <c r="I20" i="19"/>
  <c r="F54" i="23"/>
  <c r="G48" i="20"/>
  <c r="J34" i="42"/>
  <c r="E48" i="18"/>
  <c r="J32" i="42"/>
  <c r="J44"/>
  <c r="J35"/>
  <c r="J48" i="54"/>
  <c r="G46" i="38667"/>
  <c r="G21"/>
  <c r="G45" i="18"/>
  <c r="K45" i="38667"/>
  <c r="I32" i="19"/>
  <c r="L32" i="38667"/>
  <c r="M32" s="1"/>
  <c r="G25" i="76"/>
  <c r="L34" i="38667"/>
  <c r="M34" s="1"/>
  <c r="I34" s="1"/>
  <c r="I34" i="19"/>
  <c r="K46" i="38667"/>
  <c r="G46" i="18"/>
  <c r="K42" i="38667"/>
  <c r="G42" i="18"/>
  <c r="F18" i="19"/>
  <c r="D48" i="20"/>
  <c r="D54" i="23"/>
  <c r="G50" i="76"/>
  <c r="L13" i="38667"/>
  <c r="M13" s="1"/>
  <c r="I13" i="19"/>
  <c r="F34"/>
  <c r="K14" i="38667"/>
  <c r="G14" i="18"/>
  <c r="F26" i="38659"/>
  <c r="I26" i="38658"/>
  <c r="F21" i="19"/>
  <c r="G26" i="38667"/>
  <c r="G31" i="76"/>
  <c r="I33" i="38658"/>
  <c r="F33" i="38659"/>
  <c r="I19" i="19"/>
  <c r="L19" i="38667"/>
  <c r="M19" s="1"/>
  <c r="I19" s="1"/>
  <c r="L28"/>
  <c r="I28" i="19"/>
  <c r="G18" i="76"/>
  <c r="J46" i="42"/>
  <c r="J42"/>
  <c r="J12"/>
  <c r="J45"/>
  <c r="B48" i="18"/>
  <c r="J33" i="42"/>
  <c r="G11" i="38667"/>
  <c r="G20"/>
  <c r="F21" i="38659"/>
  <c r="I21" i="38658"/>
  <c r="K28" i="38667"/>
  <c r="G28" i="18"/>
  <c r="I26" i="43"/>
  <c r="B26" i="42" s="1"/>
  <c r="C26" i="44"/>
  <c r="C26" i="42" s="1"/>
  <c r="C26" i="45"/>
  <c r="G26" i="42" s="1"/>
  <c r="G26" i="44"/>
  <c r="E26" i="42" s="1"/>
  <c r="E26" i="44"/>
  <c r="D26" i="42" s="1"/>
  <c r="I26" i="44"/>
  <c r="F26" i="42" s="1"/>
  <c r="E26" i="45"/>
  <c r="H26" i="42" s="1"/>
  <c r="F31" i="19"/>
  <c r="K37" i="38667"/>
  <c r="G37" i="18"/>
  <c r="L18" i="38667"/>
  <c r="I18" i="19"/>
  <c r="L44" i="38667"/>
  <c r="M44" s="1"/>
  <c r="I44" s="1"/>
  <c r="I44" i="19"/>
  <c r="I13" i="38658"/>
  <c r="F13" i="38659"/>
  <c r="G50" i="38658"/>
  <c r="I50" s="1"/>
  <c r="I23" i="19"/>
  <c r="L23" i="38667"/>
  <c r="M23" s="1"/>
  <c r="I23" s="1"/>
  <c r="G19" i="76"/>
  <c r="G27"/>
  <c r="I45" i="38658"/>
  <c r="F45" i="38659"/>
  <c r="F14" i="19"/>
  <c r="F37" i="38659"/>
  <c r="I37" i="38658"/>
  <c r="I34"/>
  <c r="F34" i="38659"/>
  <c r="G48" i="8"/>
  <c r="I21" i="19"/>
  <c r="L21" i="38667"/>
  <c r="M21" s="1"/>
  <c r="G22" i="76"/>
  <c r="I17" i="44"/>
  <c r="F17" i="42" s="1"/>
  <c r="E17" i="45"/>
  <c r="H17" i="42" s="1"/>
  <c r="C17" i="45"/>
  <c r="G17" i="42" s="1"/>
  <c r="I17" i="43"/>
  <c r="B17" i="42" s="1"/>
  <c r="G17" i="44"/>
  <c r="E17" i="42" s="1"/>
  <c r="E17" i="44"/>
  <c r="D17" i="42" s="1"/>
  <c r="C17" i="44"/>
  <c r="C17" i="42" s="1"/>
  <c r="G39" i="76"/>
  <c r="L16" i="38667"/>
  <c r="M16" s="1"/>
  <c r="I16" s="1"/>
  <c r="I16" i="19"/>
  <c r="L40" i="38667"/>
  <c r="M40" s="1"/>
  <c r="I40" i="19"/>
  <c r="F15"/>
  <c r="L14" i="38667"/>
  <c r="I14" i="19"/>
  <c r="G14" i="76"/>
  <c r="L15" i="38667"/>
  <c r="M15" s="1"/>
  <c r="I15" s="1"/>
  <c r="I15" i="19"/>
  <c r="L36" i="38667"/>
  <c r="M36" s="1"/>
  <c r="I36" s="1"/>
  <c r="I36" i="19"/>
  <c r="L45" i="38667"/>
  <c r="I45" i="19"/>
  <c r="F48" i="39"/>
  <c r="D48"/>
  <c r="H48"/>
  <c r="I24" i="38658"/>
  <c r="F24" i="38659"/>
  <c r="G15" i="76"/>
  <c r="L27" i="38667"/>
  <c r="M27" s="1"/>
  <c r="I27" s="1"/>
  <c r="I27" i="19"/>
  <c r="L39" i="38667"/>
  <c r="M39" s="1"/>
  <c r="I39" i="19"/>
  <c r="F11" i="43"/>
  <c r="B48"/>
  <c r="J16" i="42"/>
  <c r="M41" i="38667"/>
  <c r="J39" i="42"/>
  <c r="G23" i="45"/>
  <c r="G26"/>
  <c r="J24" i="42"/>
  <c r="B48" i="76"/>
  <c r="E48" s="1"/>
  <c r="G39" i="38667"/>
  <c r="J19" i="42"/>
  <c r="J13"/>
  <c r="I40" i="38667" l="1"/>
  <c r="I41"/>
  <c r="M14"/>
  <c r="I14" s="1"/>
  <c r="M42"/>
  <c r="I42" s="1"/>
  <c r="M37"/>
  <c r="I37" s="1"/>
  <c r="I13"/>
  <c r="M46"/>
  <c r="I46" s="1"/>
  <c r="I32"/>
  <c r="J38" i="42"/>
  <c r="J20"/>
  <c r="M28" i="38667"/>
  <c r="I28" s="1"/>
  <c r="I25"/>
  <c r="I39"/>
  <c r="I31"/>
  <c r="M35"/>
  <c r="I35" s="1"/>
  <c r="F48" i="19"/>
  <c r="J17" i="42"/>
  <c r="J54" i="22"/>
  <c r="I12" i="38667"/>
  <c r="I17"/>
  <c r="G48" i="76"/>
  <c r="D11" i="5"/>
  <c r="B13" i="38659"/>
  <c r="E11" i="70"/>
  <c r="B45" i="38659"/>
  <c r="E45" s="1"/>
  <c r="J45" s="1"/>
  <c r="E43" i="70"/>
  <c r="D43" i="5"/>
  <c r="B25" i="38659"/>
  <c r="E25" s="1"/>
  <c r="E23" i="70"/>
  <c r="D23" i="5"/>
  <c r="B34" i="38659"/>
  <c r="E34" s="1"/>
  <c r="J34" s="1"/>
  <c r="E32" i="70"/>
  <c r="D32" i="5"/>
  <c r="G12" i="38667"/>
  <c r="H11" i="43"/>
  <c r="F48"/>
  <c r="F50" i="38659"/>
  <c r="G36" i="38667"/>
  <c r="I48" i="19"/>
  <c r="L48" i="38667"/>
  <c r="B54" i="23"/>
  <c r="G32" i="38667"/>
  <c r="J32" i="38659"/>
  <c r="G32"/>
  <c r="K32" s="1"/>
  <c r="D48" i="38667"/>
  <c r="J23" i="42"/>
  <c r="B18" i="38659"/>
  <c r="E18" s="1"/>
  <c r="E16" i="70"/>
  <c r="D16" i="5"/>
  <c r="G41" i="38667"/>
  <c r="G28"/>
  <c r="G40"/>
  <c r="G48" i="18"/>
  <c r="K48" i="38667"/>
  <c r="D52" i="22"/>
  <c r="G17" i="38667"/>
  <c r="I21"/>
  <c r="J26" i="42"/>
  <c r="I38" i="38667"/>
  <c r="M18"/>
  <c r="I18" s="1"/>
  <c r="I43"/>
  <c r="B48" i="38659"/>
  <c r="E48" s="1"/>
  <c r="J48" s="1"/>
  <c r="E46" i="70"/>
  <c r="D46" i="5"/>
  <c r="B27" i="38659"/>
  <c r="E27" s="1"/>
  <c r="E25" i="70"/>
  <c r="D25" i="5"/>
  <c r="B37" i="38659"/>
  <c r="E37" s="1"/>
  <c r="J37" s="1"/>
  <c r="E35" i="70"/>
  <c r="D35" i="5"/>
  <c r="G43" i="38667"/>
  <c r="D48" i="18"/>
  <c r="B52" i="22"/>
  <c r="J48" i="38667"/>
  <c r="B54" i="22"/>
  <c r="G13" i="38667"/>
  <c r="G31"/>
  <c r="C30" i="34"/>
  <c r="F30" i="5"/>
  <c r="C30" i="38"/>
  <c r="E30"/>
  <c r="G30"/>
  <c r="I30" i="20"/>
  <c r="C30" i="7"/>
  <c r="E30" i="37"/>
  <c r="E30" i="82"/>
  <c r="I30" i="25"/>
  <c r="C30" i="36"/>
  <c r="E30"/>
  <c r="E30" i="34"/>
  <c r="I30" i="26"/>
  <c r="C30" i="35"/>
  <c r="G30" i="25"/>
  <c r="I30" i="54"/>
  <c r="C30" i="8"/>
  <c r="F30" i="10"/>
  <c r="E30" i="25"/>
  <c r="E30" i="11"/>
  <c r="I30" i="38655"/>
  <c r="C30" i="11"/>
  <c r="G30" i="34"/>
  <c r="C30" i="25"/>
  <c r="C30" i="38661"/>
  <c r="H30" i="11"/>
  <c r="F30" i="54"/>
  <c r="C30" i="9"/>
  <c r="F30" i="26"/>
  <c r="F30" i="38655"/>
  <c r="G30" i="36"/>
  <c r="I30" i="10"/>
  <c r="C30" i="82"/>
  <c r="C30" i="38656"/>
  <c r="E30" i="35"/>
  <c r="C30" i="54"/>
  <c r="C30" i="10"/>
  <c r="C30" i="26"/>
  <c r="C30" i="37"/>
  <c r="F30" i="38656"/>
  <c r="F30" i="8"/>
  <c r="C30" i="27"/>
  <c r="C30" i="76" s="1"/>
  <c r="C30" i="19"/>
  <c r="I30" i="9"/>
  <c r="C30" i="18"/>
  <c r="E30" i="19"/>
  <c r="F30" i="20"/>
  <c r="F30" i="18"/>
  <c r="I30"/>
  <c r="C30" i="38655"/>
  <c r="F30" i="9"/>
  <c r="C30" i="20"/>
  <c r="H30" i="19"/>
  <c r="F30" i="76"/>
  <c r="M45" i="38667"/>
  <c r="I45" s="1"/>
  <c r="G38"/>
  <c r="B52" i="38659"/>
  <c r="E52" s="1"/>
  <c r="D50" i="5"/>
  <c r="E50" i="70"/>
  <c r="G25" i="38667"/>
  <c r="B48" i="48"/>
  <c r="G45" i="38659" l="1"/>
  <c r="K45" s="1"/>
  <c r="G34"/>
  <c r="K34" s="1"/>
  <c r="M48" i="38667"/>
  <c r="G48" i="38659"/>
  <c r="K48" s="1"/>
  <c r="B40"/>
  <c r="E40" s="1"/>
  <c r="E38" i="70"/>
  <c r="D38" i="5"/>
  <c r="J52" i="38659"/>
  <c r="G52"/>
  <c r="K52" s="1"/>
  <c r="D30" i="6"/>
  <c r="E30" s="1"/>
  <c r="C30" i="38648" s="1"/>
  <c r="E30" i="38667"/>
  <c r="B30" i="38659"/>
  <c r="E30" s="1"/>
  <c r="E28" i="70"/>
  <c r="D28" i="5"/>
  <c r="E14" i="70"/>
  <c r="D14" i="5"/>
  <c r="F25"/>
  <c r="C25" i="38"/>
  <c r="E25"/>
  <c r="G25"/>
  <c r="C25" i="38656"/>
  <c r="I25" i="20"/>
  <c r="E25" i="82"/>
  <c r="C25" i="8"/>
  <c r="E25" i="36"/>
  <c r="G25"/>
  <c r="G25" i="25"/>
  <c r="E25" i="37"/>
  <c r="I25" i="38655"/>
  <c r="I25" i="18"/>
  <c r="F25" i="8"/>
  <c r="C25" i="35"/>
  <c r="E25" i="11"/>
  <c r="C25" i="37"/>
  <c r="I25" i="25"/>
  <c r="F25" i="26"/>
  <c r="F25" i="10"/>
  <c r="E25" i="34"/>
  <c r="C25" i="36"/>
  <c r="C25" i="9"/>
  <c r="H25" i="11"/>
  <c r="F25" i="38655"/>
  <c r="F25" i="9"/>
  <c r="C25" i="25"/>
  <c r="C25" i="54"/>
  <c r="C25" i="7"/>
  <c r="I25" i="54"/>
  <c r="I25" i="26"/>
  <c r="C25" i="34"/>
  <c r="F25" i="38656"/>
  <c r="E25" i="25"/>
  <c r="C25" i="10"/>
  <c r="E25" i="35"/>
  <c r="F25" i="54"/>
  <c r="G25" i="34"/>
  <c r="C25" i="38661"/>
  <c r="I25" i="9"/>
  <c r="C25" i="11"/>
  <c r="I25" i="10"/>
  <c r="C25" i="26"/>
  <c r="C25" i="82"/>
  <c r="C25" i="20"/>
  <c r="F25" i="18"/>
  <c r="E25" i="19"/>
  <c r="C25" i="27"/>
  <c r="C25" i="76" s="1"/>
  <c r="C25" i="19"/>
  <c r="F25" i="20"/>
  <c r="C25" i="18"/>
  <c r="C25" i="38655"/>
  <c r="H25" i="19"/>
  <c r="F25" i="76"/>
  <c r="B21" i="38659"/>
  <c r="E21" s="1"/>
  <c r="E19" i="70"/>
  <c r="D19" i="5"/>
  <c r="E18" i="70"/>
  <c r="D18" i="5"/>
  <c r="B23" i="38659"/>
  <c r="E23" s="1"/>
  <c r="E21" i="70"/>
  <c r="D21" i="5"/>
  <c r="J18" i="38659"/>
  <c r="G18"/>
  <c r="K18" s="1"/>
  <c r="I32" i="38655"/>
  <c r="F32" i="5"/>
  <c r="E32" i="38"/>
  <c r="C32"/>
  <c r="G32"/>
  <c r="I32" i="20"/>
  <c r="F32" i="26"/>
  <c r="E32" i="36"/>
  <c r="F32" i="10"/>
  <c r="E32" i="11"/>
  <c r="E32" i="35"/>
  <c r="I32" i="25"/>
  <c r="C32" i="38656"/>
  <c r="I32" i="10"/>
  <c r="C32" i="54"/>
  <c r="C32" i="37"/>
  <c r="F32" i="8"/>
  <c r="F32" i="54"/>
  <c r="E32" i="25"/>
  <c r="C32" i="11"/>
  <c r="I32" i="9"/>
  <c r="F32" i="38656"/>
  <c r="F32" i="9"/>
  <c r="E32" i="34"/>
  <c r="G32" i="36"/>
  <c r="C32" i="7"/>
  <c r="C32" i="35"/>
  <c r="C32" i="8"/>
  <c r="C32" i="34"/>
  <c r="G32" i="25"/>
  <c r="C32" i="9"/>
  <c r="C32" i="38661"/>
  <c r="C32" i="82"/>
  <c r="F32" i="38655"/>
  <c r="C32" i="36"/>
  <c r="I32" i="54"/>
  <c r="E32" i="37"/>
  <c r="C32" i="27"/>
  <c r="C32" i="76" s="1"/>
  <c r="C32" i="20"/>
  <c r="H32" i="11"/>
  <c r="E32" i="82"/>
  <c r="C32" i="10"/>
  <c r="C32" i="25"/>
  <c r="C32" i="26"/>
  <c r="I32"/>
  <c r="G32" i="34"/>
  <c r="F32" i="20"/>
  <c r="F32" i="76"/>
  <c r="C32" i="19"/>
  <c r="I32" i="18"/>
  <c r="C32"/>
  <c r="F32"/>
  <c r="C32" i="38655"/>
  <c r="E32" i="19"/>
  <c r="H32"/>
  <c r="I43" i="26"/>
  <c r="E43" i="38"/>
  <c r="G43"/>
  <c r="C43"/>
  <c r="C43" i="27"/>
  <c r="C43" i="76" s="1"/>
  <c r="E43" i="37"/>
  <c r="F43" i="38656"/>
  <c r="I43" i="9"/>
  <c r="C43" i="34"/>
  <c r="C43" i="54"/>
  <c r="C43" i="38661"/>
  <c r="C43" i="37"/>
  <c r="F43" i="8"/>
  <c r="F43" i="10"/>
  <c r="E43" i="11"/>
  <c r="C43" i="7"/>
  <c r="G43" i="34"/>
  <c r="C43" i="36"/>
  <c r="C43" i="25"/>
  <c r="E43" i="82"/>
  <c r="C43" i="8"/>
  <c r="E43" i="25"/>
  <c r="E43" i="34"/>
  <c r="F43" i="38655"/>
  <c r="I43" i="10"/>
  <c r="I43" i="25"/>
  <c r="C43" i="10"/>
  <c r="C43" i="35"/>
  <c r="G43" i="25"/>
  <c r="C43" i="38656"/>
  <c r="H43" i="11"/>
  <c r="C43" i="26"/>
  <c r="E43" i="36"/>
  <c r="F43" i="9"/>
  <c r="C43" i="11"/>
  <c r="I43" i="20"/>
  <c r="C43" i="82"/>
  <c r="C43" i="9"/>
  <c r="F43" i="26"/>
  <c r="E43" i="35"/>
  <c r="G43" i="36"/>
  <c r="C43" i="18"/>
  <c r="E43" i="19"/>
  <c r="F43" i="18"/>
  <c r="C43" i="19"/>
  <c r="I43" i="54"/>
  <c r="I43" i="18"/>
  <c r="C43" i="20"/>
  <c r="C43" i="38655"/>
  <c r="I43"/>
  <c r="F43" i="20"/>
  <c r="F43" i="54"/>
  <c r="H43" i="19"/>
  <c r="F43" i="76"/>
  <c r="F43" i="5"/>
  <c r="E13" i="38659"/>
  <c r="I48" i="38667"/>
  <c r="G37" i="38659"/>
  <c r="K37" s="1"/>
  <c r="F50" i="5"/>
  <c r="D50" i="6" s="1"/>
  <c r="E50" s="1"/>
  <c r="C50" i="38648" s="1"/>
  <c r="E50" i="38"/>
  <c r="G50"/>
  <c r="E50" i="37"/>
  <c r="C50" i="38661"/>
  <c r="C50" i="38"/>
  <c r="C50" i="38656"/>
  <c r="I50" i="10"/>
  <c r="C50" i="35"/>
  <c r="H50" i="11"/>
  <c r="F50" i="8"/>
  <c r="F50" i="26"/>
  <c r="I50" i="25"/>
  <c r="C50" i="19"/>
  <c r="C50" i="34"/>
  <c r="I50" i="26"/>
  <c r="E50" i="11"/>
  <c r="C50" i="82"/>
  <c r="G50" i="34"/>
  <c r="C50" i="9"/>
  <c r="C50" i="10"/>
  <c r="C50" i="54"/>
  <c r="I50"/>
  <c r="I50" i="20"/>
  <c r="F50" i="9"/>
  <c r="C50" i="7"/>
  <c r="E50" i="34"/>
  <c r="C50" i="37"/>
  <c r="E50" i="36"/>
  <c r="F50" i="38655"/>
  <c r="C50" i="8"/>
  <c r="F50" i="54"/>
  <c r="I50" i="9"/>
  <c r="E50" i="25"/>
  <c r="C50" i="11"/>
  <c r="E50" i="82"/>
  <c r="C50" i="25"/>
  <c r="C50" i="26"/>
  <c r="F50" i="10"/>
  <c r="F50" i="38656"/>
  <c r="C50" i="36"/>
  <c r="G50"/>
  <c r="G50" i="25"/>
  <c r="E50" i="35"/>
  <c r="I50" i="18"/>
  <c r="C50"/>
  <c r="F50" i="20"/>
  <c r="F50" i="18"/>
  <c r="C50" i="38655"/>
  <c r="I50"/>
  <c r="C50" i="27"/>
  <c r="C50" i="76" s="1"/>
  <c r="C50" i="20"/>
  <c r="E50" i="19"/>
  <c r="H50"/>
  <c r="F50" i="76"/>
  <c r="B15" i="38659"/>
  <c r="E15" s="1"/>
  <c r="E13" i="70"/>
  <c r="D13" i="5"/>
  <c r="B47" i="38659"/>
  <c r="E47" s="1"/>
  <c r="E45" i="70"/>
  <c r="D45" i="5"/>
  <c r="B46" i="38659"/>
  <c r="E46" s="1"/>
  <c r="E44" i="70"/>
  <c r="D44" i="5"/>
  <c r="B35" i="38659"/>
  <c r="E35" s="1"/>
  <c r="E33" i="70"/>
  <c r="D33" i="5"/>
  <c r="B33" i="38659"/>
  <c r="E33" s="1"/>
  <c r="E31" i="70"/>
  <c r="D31" i="5"/>
  <c r="B14" i="38659"/>
  <c r="E14" s="1"/>
  <c r="E12" i="70"/>
  <c r="D12" i="5"/>
  <c r="J25" i="38659"/>
  <c r="G25"/>
  <c r="K25" s="1"/>
  <c r="B44"/>
  <c r="E44" s="1"/>
  <c r="E42" i="70"/>
  <c r="D42" i="5"/>
  <c r="F35" i="76"/>
  <c r="G35" i="38"/>
  <c r="E35"/>
  <c r="H35" i="11"/>
  <c r="C35" i="38"/>
  <c r="E35" i="36"/>
  <c r="C35" i="35"/>
  <c r="E35" i="37"/>
  <c r="I35" i="26"/>
  <c r="G35" i="34"/>
  <c r="C35" i="38656"/>
  <c r="I35" i="25"/>
  <c r="E35"/>
  <c r="C35" i="11"/>
  <c r="E35" i="35"/>
  <c r="C35" i="37"/>
  <c r="C35" i="9"/>
  <c r="C35" i="8"/>
  <c r="F35" i="54"/>
  <c r="C35" i="10"/>
  <c r="I35" i="20"/>
  <c r="E35" i="11"/>
  <c r="C35" i="25"/>
  <c r="F35" i="8"/>
  <c r="F35" i="26"/>
  <c r="C35" i="82"/>
  <c r="F35" i="38655"/>
  <c r="C35" i="34"/>
  <c r="C35" i="26"/>
  <c r="I35" i="10"/>
  <c r="C35" i="54"/>
  <c r="F35" i="9"/>
  <c r="I35"/>
  <c r="E35" i="82"/>
  <c r="E35" i="34"/>
  <c r="F35" i="10"/>
  <c r="C35" i="7"/>
  <c r="G35" i="25"/>
  <c r="I35" i="54"/>
  <c r="C35" i="36"/>
  <c r="G35"/>
  <c r="F35" i="38656"/>
  <c r="I35" i="18"/>
  <c r="C35" i="38661"/>
  <c r="C35" i="38655"/>
  <c r="C35" i="27"/>
  <c r="C35" i="76" s="1"/>
  <c r="C35" i="20"/>
  <c r="E35" i="19"/>
  <c r="C35"/>
  <c r="C35" i="18"/>
  <c r="I35" i="38655"/>
  <c r="F35" i="20"/>
  <c r="H35" i="19"/>
  <c r="F35" i="18"/>
  <c r="F35" i="5"/>
  <c r="C46" i="38"/>
  <c r="G46"/>
  <c r="E46"/>
  <c r="I46" i="10"/>
  <c r="G46" i="25"/>
  <c r="C46" i="37"/>
  <c r="I46" i="54"/>
  <c r="C46" i="35"/>
  <c r="E46"/>
  <c r="I46" i="20"/>
  <c r="C46" i="10"/>
  <c r="G46" i="36"/>
  <c r="C46" i="20"/>
  <c r="I46" i="26"/>
  <c r="F46" i="38655"/>
  <c r="C46" i="38656"/>
  <c r="C46" i="82"/>
  <c r="C46" i="34"/>
  <c r="I46" i="9"/>
  <c r="F46" i="26"/>
  <c r="F46" i="9"/>
  <c r="E46" i="82"/>
  <c r="C46" i="9"/>
  <c r="C46" i="8"/>
  <c r="C46" i="27"/>
  <c r="C46" i="76" s="1"/>
  <c r="C46" i="25"/>
  <c r="F46" i="8"/>
  <c r="E46" i="25"/>
  <c r="C46" i="11"/>
  <c r="C46" i="54"/>
  <c r="F46" i="38656"/>
  <c r="F46" i="54"/>
  <c r="C46" i="7"/>
  <c r="I46" i="25"/>
  <c r="E46" i="11"/>
  <c r="E46" i="37"/>
  <c r="F46" i="10"/>
  <c r="C46" i="26"/>
  <c r="C46" i="36"/>
  <c r="H46" i="11"/>
  <c r="E46" i="36"/>
  <c r="E46" i="34"/>
  <c r="G46"/>
  <c r="F46" i="20"/>
  <c r="C46" i="38661"/>
  <c r="C46" i="18"/>
  <c r="I46" i="38655"/>
  <c r="C46" i="19"/>
  <c r="E46"/>
  <c r="C46" i="38655"/>
  <c r="I46" i="18"/>
  <c r="F46" i="76"/>
  <c r="F46" i="18"/>
  <c r="F46" i="5"/>
  <c r="H46" i="19"/>
  <c r="B26" i="38659"/>
  <c r="E26" s="1"/>
  <c r="E24" i="70"/>
  <c r="D24" i="5"/>
  <c r="E51" i="70"/>
  <c r="D51" i="5"/>
  <c r="B39" i="38659"/>
  <c r="E39" s="1"/>
  <c r="E37" i="70"/>
  <c r="D37" i="5"/>
  <c r="B22" i="38659"/>
  <c r="E22" s="1"/>
  <c r="E20" i="70"/>
  <c r="D20" i="5"/>
  <c r="J27" i="38659"/>
  <c r="G27"/>
  <c r="K27" s="1"/>
  <c r="B28"/>
  <c r="E28" s="1"/>
  <c r="E26" i="70"/>
  <c r="D26" i="5"/>
  <c r="B43" i="38659"/>
  <c r="E43" s="1"/>
  <c r="E41" i="70"/>
  <c r="D41" i="5"/>
  <c r="B24" i="38659"/>
  <c r="E24" s="1"/>
  <c r="E22" i="70"/>
  <c r="D22" i="5"/>
  <c r="C16" i="38"/>
  <c r="G16"/>
  <c r="E16"/>
  <c r="E16" i="36"/>
  <c r="C16" i="54"/>
  <c r="C16" i="35"/>
  <c r="C16" i="37"/>
  <c r="G16" i="34"/>
  <c r="I16" i="25"/>
  <c r="I16" i="20"/>
  <c r="E16" i="25"/>
  <c r="C16" i="10"/>
  <c r="F16" i="26"/>
  <c r="G16" i="36"/>
  <c r="C16" i="27"/>
  <c r="C16" i="76" s="1"/>
  <c r="F16" i="38656"/>
  <c r="I16" i="26"/>
  <c r="F16" i="38655"/>
  <c r="C16" i="34"/>
  <c r="I16" i="9"/>
  <c r="C16" i="19"/>
  <c r="E16" i="34"/>
  <c r="C16" i="11"/>
  <c r="C16" i="82"/>
  <c r="I16" i="10"/>
  <c r="E16" i="82"/>
  <c r="I16" i="54"/>
  <c r="C16" i="8"/>
  <c r="F16" i="10"/>
  <c r="F16" i="54"/>
  <c r="E16" i="37"/>
  <c r="E16" i="11"/>
  <c r="E16" i="35"/>
  <c r="I16" i="38655"/>
  <c r="C16" i="9"/>
  <c r="C16" i="36"/>
  <c r="C16" i="26"/>
  <c r="H16" i="11"/>
  <c r="G16" i="25"/>
  <c r="F16" i="9"/>
  <c r="C16" i="25"/>
  <c r="C16" i="18"/>
  <c r="F16" i="76"/>
  <c r="F16" i="20"/>
  <c r="C16" i="38656"/>
  <c r="F16" i="8"/>
  <c r="C16" i="38661"/>
  <c r="F16" i="18"/>
  <c r="C16" i="7"/>
  <c r="E16" i="19"/>
  <c r="C16" i="20"/>
  <c r="I16" i="18"/>
  <c r="C16" i="38655"/>
  <c r="H16" i="19"/>
  <c r="F16" i="5"/>
  <c r="F11"/>
  <c r="G11" i="38"/>
  <c r="C11"/>
  <c r="E11"/>
  <c r="I11" i="20"/>
  <c r="C11" i="38656"/>
  <c r="E11" i="37"/>
  <c r="E11" i="11"/>
  <c r="C11" i="7"/>
  <c r="C11" i="26"/>
  <c r="E11" i="35"/>
  <c r="C11" i="34"/>
  <c r="C11" i="10"/>
  <c r="F11" i="9"/>
  <c r="F11" i="26"/>
  <c r="I11" i="10"/>
  <c r="F11" i="38655"/>
  <c r="F11" i="8"/>
  <c r="G11" i="34"/>
  <c r="C11" i="38661"/>
  <c r="E11" i="36"/>
  <c r="G11"/>
  <c r="I11" i="26"/>
  <c r="F11" i="10"/>
  <c r="E11" i="34"/>
  <c r="H11" i="11"/>
  <c r="C11" i="37"/>
  <c r="C11" i="25"/>
  <c r="C11" i="8"/>
  <c r="C11" i="9"/>
  <c r="G11" i="25"/>
  <c r="C11" i="36"/>
  <c r="C11" i="27"/>
  <c r="C11" i="76" s="1"/>
  <c r="F11" i="54"/>
  <c r="E11" i="25"/>
  <c r="F11" i="38656"/>
  <c r="I11" i="9"/>
  <c r="I11" i="38655"/>
  <c r="C11" i="82"/>
  <c r="C11" i="35"/>
  <c r="I11" i="25"/>
  <c r="C11" i="11"/>
  <c r="E11" i="82"/>
  <c r="C11" i="54"/>
  <c r="C11" i="20"/>
  <c r="F11"/>
  <c r="C11" i="38655"/>
  <c r="E11" i="19"/>
  <c r="I11" i="18"/>
  <c r="C11" i="19"/>
  <c r="C11" i="18"/>
  <c r="I11" i="54"/>
  <c r="F11" i="18"/>
  <c r="F11" i="76"/>
  <c r="H11" i="19"/>
  <c r="B29" i="38659"/>
  <c r="E29" s="1"/>
  <c r="D27" i="5"/>
  <c r="E27" i="70"/>
  <c r="B36" i="38659"/>
  <c r="E36" s="1"/>
  <c r="D34" i="5"/>
  <c r="E34" i="70"/>
  <c r="G48" i="38667"/>
  <c r="I11" i="45"/>
  <c r="H48" i="43"/>
  <c r="B17" i="38659"/>
  <c r="E17" s="1"/>
  <c r="E15" i="70"/>
  <c r="D15" i="5"/>
  <c r="B38" i="38659"/>
  <c r="E38" s="1"/>
  <c r="E36" i="70"/>
  <c r="D36" i="5"/>
  <c r="B19" i="38659"/>
  <c r="E19" s="1"/>
  <c r="E17" i="70"/>
  <c r="D17" i="5"/>
  <c r="B41" i="38659"/>
  <c r="E41" s="1"/>
  <c r="E39" i="70"/>
  <c r="D39" i="5"/>
  <c r="F23" i="54"/>
  <c r="C23" i="38"/>
  <c r="G23"/>
  <c r="E23"/>
  <c r="G23" i="25"/>
  <c r="I23" i="20"/>
  <c r="F23" i="10"/>
  <c r="C23" i="26"/>
  <c r="H23" i="11"/>
  <c r="C23" i="27"/>
  <c r="C23" i="76" s="1"/>
  <c r="I23" i="9"/>
  <c r="C23"/>
  <c r="I23" i="25"/>
  <c r="E23" i="36"/>
  <c r="C23"/>
  <c r="F23" i="9"/>
  <c r="C23" i="10"/>
  <c r="C23" i="35"/>
  <c r="C23" i="34"/>
  <c r="F23" i="38655"/>
  <c r="E23" i="35"/>
  <c r="C23" i="7"/>
  <c r="C23" i="37"/>
  <c r="C23" i="8"/>
  <c r="C23" i="54"/>
  <c r="I23" i="26"/>
  <c r="E23" i="37"/>
  <c r="F23" i="26"/>
  <c r="C23" i="38661"/>
  <c r="I23" i="10"/>
  <c r="C23" i="11"/>
  <c r="E23" i="82"/>
  <c r="G23" i="36"/>
  <c r="C23" i="25"/>
  <c r="E23" i="11"/>
  <c r="F23" i="8"/>
  <c r="E23" i="25"/>
  <c r="C23" i="82"/>
  <c r="E23" i="34"/>
  <c r="F23" i="38656"/>
  <c r="I23" i="38655"/>
  <c r="G23" i="34"/>
  <c r="F23" i="20"/>
  <c r="C23" i="18"/>
  <c r="C23" i="20"/>
  <c r="I23" i="18"/>
  <c r="F23" i="76"/>
  <c r="I23" i="54"/>
  <c r="C23" i="19"/>
  <c r="C23" i="38655"/>
  <c r="F23" i="18"/>
  <c r="E23" i="19"/>
  <c r="C23" i="38656"/>
  <c r="F23" i="5"/>
  <c r="H23" i="19"/>
  <c r="B42" i="38659"/>
  <c r="E42" s="1"/>
  <c r="E40" i="70"/>
  <c r="D40" i="5"/>
  <c r="D29"/>
  <c r="B31" i="38659"/>
  <c r="E31" s="1"/>
  <c r="E29" i="70"/>
  <c r="B48" i="5"/>
  <c r="D23" i="6" l="1"/>
  <c r="E23" s="1"/>
  <c r="C23" i="38648" s="1"/>
  <c r="E23" i="38667"/>
  <c r="G17" i="38"/>
  <c r="C17"/>
  <c r="E17"/>
  <c r="E17" i="36"/>
  <c r="G17" i="25"/>
  <c r="C17" i="38656"/>
  <c r="C17" i="27"/>
  <c r="C17" i="76" s="1"/>
  <c r="G17" i="36"/>
  <c r="C17" i="37"/>
  <c r="I17" i="20"/>
  <c r="C17" i="82"/>
  <c r="F17" i="38655"/>
  <c r="F17" i="10"/>
  <c r="C17" i="34"/>
  <c r="F17" i="9"/>
  <c r="C17" i="35"/>
  <c r="C17" i="10"/>
  <c r="I17" i="54"/>
  <c r="F17" i="38656"/>
  <c r="E17" i="25"/>
  <c r="I17" i="10"/>
  <c r="F17" i="54"/>
  <c r="C17" i="25"/>
  <c r="C17" i="9"/>
  <c r="H17" i="11"/>
  <c r="I17" i="26"/>
  <c r="C17" i="54"/>
  <c r="E17" i="37"/>
  <c r="F17" i="8"/>
  <c r="E17" i="82"/>
  <c r="I17" i="25"/>
  <c r="C17" i="26"/>
  <c r="F17"/>
  <c r="E17" i="34"/>
  <c r="C17" i="8"/>
  <c r="E17" i="11"/>
  <c r="C17" i="7"/>
  <c r="G17" i="34"/>
  <c r="C17" i="36"/>
  <c r="E17" i="35"/>
  <c r="C17" i="11"/>
  <c r="C17" i="18"/>
  <c r="C17" i="19"/>
  <c r="F17" i="18"/>
  <c r="E17" i="19"/>
  <c r="F17" i="76"/>
  <c r="I17" i="38655"/>
  <c r="I17" i="9"/>
  <c r="C17" i="20"/>
  <c r="C17" i="38655"/>
  <c r="C17" i="38661"/>
  <c r="I17" i="18"/>
  <c r="F17" i="20"/>
  <c r="H17" i="19"/>
  <c r="F17" i="5"/>
  <c r="J17" i="38659"/>
  <c r="G17"/>
  <c r="K17" s="1"/>
  <c r="J36"/>
  <c r="G36"/>
  <c r="K36" s="1"/>
  <c r="F22" i="5"/>
  <c r="G22" i="38"/>
  <c r="C22"/>
  <c r="E22"/>
  <c r="C22" i="54"/>
  <c r="I22" i="20"/>
  <c r="C22" i="10"/>
  <c r="F22" i="26"/>
  <c r="E22" i="37"/>
  <c r="C22" i="38661"/>
  <c r="E22" i="36"/>
  <c r="I22" i="10"/>
  <c r="C22" i="26"/>
  <c r="I22" i="54"/>
  <c r="I22" i="26"/>
  <c r="I22" i="25"/>
  <c r="F22" i="54"/>
  <c r="F22" i="38655"/>
  <c r="C22" i="34"/>
  <c r="G22" i="36"/>
  <c r="C22" i="11"/>
  <c r="C22" i="35"/>
  <c r="E22" i="82"/>
  <c r="F22" i="8"/>
  <c r="E22" i="11"/>
  <c r="F22" i="10"/>
  <c r="C22" i="25"/>
  <c r="C22" i="7"/>
  <c r="F22" i="9"/>
  <c r="C22"/>
  <c r="G22" i="25"/>
  <c r="E22" i="34"/>
  <c r="C22" i="38656"/>
  <c r="E22" i="25"/>
  <c r="C22" i="36"/>
  <c r="C22" i="8"/>
  <c r="H22" i="11"/>
  <c r="G22" i="34"/>
  <c r="F22" i="38656"/>
  <c r="I22" i="9"/>
  <c r="C22" i="37"/>
  <c r="C22" i="82"/>
  <c r="E22" i="35"/>
  <c r="C22" i="18"/>
  <c r="I22"/>
  <c r="E22" i="19"/>
  <c r="C22"/>
  <c r="F22" i="18"/>
  <c r="C22" i="20"/>
  <c r="I22" i="38655"/>
  <c r="C22"/>
  <c r="F22" i="20"/>
  <c r="C22" i="27"/>
  <c r="C22" i="76" s="1"/>
  <c r="F22"/>
  <c r="H22" i="19"/>
  <c r="J28" i="38659"/>
  <c r="G28"/>
  <c r="K28" s="1"/>
  <c r="J39"/>
  <c r="G39"/>
  <c r="K39" s="1"/>
  <c r="G42" i="38"/>
  <c r="C42"/>
  <c r="E42"/>
  <c r="E42" i="35"/>
  <c r="F42" i="54"/>
  <c r="I42" i="25"/>
  <c r="H42" i="11"/>
  <c r="I42" i="20"/>
  <c r="C42" i="35"/>
  <c r="G42" i="34"/>
  <c r="C42" i="10"/>
  <c r="C42" i="8"/>
  <c r="I42" i="54"/>
  <c r="C42"/>
  <c r="I42" i="9"/>
  <c r="C42" i="11"/>
  <c r="I42" i="26"/>
  <c r="C42" i="7"/>
  <c r="C42" i="36"/>
  <c r="G42"/>
  <c r="E42"/>
  <c r="I42" i="10"/>
  <c r="F42" i="26"/>
  <c r="C42" i="38656"/>
  <c r="F42" i="10"/>
  <c r="F42" i="38655"/>
  <c r="C42" i="25"/>
  <c r="G42"/>
  <c r="C42" i="26"/>
  <c r="F42" i="9"/>
  <c r="C42" i="20"/>
  <c r="C42" i="34"/>
  <c r="E42" i="37"/>
  <c r="E42" i="11"/>
  <c r="E42" i="82"/>
  <c r="F42" i="8"/>
  <c r="F42" i="38656"/>
  <c r="C42" i="9"/>
  <c r="C42" i="37"/>
  <c r="E42" i="34"/>
  <c r="E42" i="25"/>
  <c r="C42" i="82"/>
  <c r="C42" i="18"/>
  <c r="C42" i="27"/>
  <c r="C42" i="76" s="1"/>
  <c r="I42" i="18"/>
  <c r="C42" i="38661"/>
  <c r="E42" i="19"/>
  <c r="C42" i="38655"/>
  <c r="I42"/>
  <c r="C42" i="19"/>
  <c r="F42" i="20"/>
  <c r="F42" i="76"/>
  <c r="F42" i="5"/>
  <c r="F42" i="18"/>
  <c r="H42" i="19"/>
  <c r="E31" i="38"/>
  <c r="G31"/>
  <c r="C31"/>
  <c r="G31" i="25"/>
  <c r="E31" i="37"/>
  <c r="I31" i="20"/>
  <c r="H31" i="11"/>
  <c r="E31" i="36"/>
  <c r="G31" i="34"/>
  <c r="F31" i="38656"/>
  <c r="I31" i="10"/>
  <c r="C31" i="54"/>
  <c r="F31" i="38655"/>
  <c r="C31" i="8"/>
  <c r="C31" i="11"/>
  <c r="C31" i="34"/>
  <c r="E31"/>
  <c r="G31" i="36"/>
  <c r="F31" i="26"/>
  <c r="C31" i="38656"/>
  <c r="C31" i="10"/>
  <c r="F31" i="8"/>
  <c r="C31" i="9"/>
  <c r="E31" i="35"/>
  <c r="F31" i="20"/>
  <c r="C31" i="25"/>
  <c r="C31" i="35"/>
  <c r="F31" i="10"/>
  <c r="E31" i="11"/>
  <c r="F31" i="9"/>
  <c r="E31" i="82"/>
  <c r="C31" i="36"/>
  <c r="C31" i="82"/>
  <c r="C31" i="37"/>
  <c r="I31" i="9"/>
  <c r="I31" i="26"/>
  <c r="I31" i="25"/>
  <c r="C31" i="7"/>
  <c r="F31" i="54"/>
  <c r="I31"/>
  <c r="C31" i="26"/>
  <c r="E31" i="25"/>
  <c r="I31" i="18"/>
  <c r="I31" i="38655"/>
  <c r="C31" i="38661"/>
  <c r="C31" i="19"/>
  <c r="C31" i="20"/>
  <c r="C31" i="18"/>
  <c r="C31" i="38655"/>
  <c r="F31" i="18"/>
  <c r="C31" i="27"/>
  <c r="C31" i="76" s="1"/>
  <c r="H31" i="19"/>
  <c r="E31"/>
  <c r="F31" i="5"/>
  <c r="F31" i="76"/>
  <c r="J46" i="38659"/>
  <c r="G46"/>
  <c r="K46" s="1"/>
  <c r="F13" i="5"/>
  <c r="E13" i="38"/>
  <c r="G13"/>
  <c r="C13"/>
  <c r="I13" i="20"/>
  <c r="C13" i="38656"/>
  <c r="C13" i="8"/>
  <c r="C13" i="27"/>
  <c r="C13" i="76" s="1"/>
  <c r="F13" i="54"/>
  <c r="C13" i="34"/>
  <c r="C13" i="37"/>
  <c r="F13" i="9"/>
  <c r="E13" i="11"/>
  <c r="I13" i="9"/>
  <c r="F13" i="26"/>
  <c r="C13" i="54"/>
  <c r="E13" i="25"/>
  <c r="G13"/>
  <c r="E13" i="36"/>
  <c r="C13" i="11"/>
  <c r="H13"/>
  <c r="C13" i="9"/>
  <c r="C13" i="10"/>
  <c r="C13" i="36"/>
  <c r="I13" i="54"/>
  <c r="C13" i="7"/>
  <c r="C13" i="26"/>
  <c r="G13" i="34"/>
  <c r="I13" i="10"/>
  <c r="G13" i="36"/>
  <c r="E13" i="34"/>
  <c r="E13" i="35"/>
  <c r="F13" i="38656"/>
  <c r="F13" i="8"/>
  <c r="E13" i="37"/>
  <c r="E13" i="82"/>
  <c r="C13"/>
  <c r="I13" i="26"/>
  <c r="C13" i="35"/>
  <c r="C13" i="25"/>
  <c r="F13" i="10"/>
  <c r="F13" i="38655"/>
  <c r="I13" i="25"/>
  <c r="C13" i="20"/>
  <c r="E13" i="19"/>
  <c r="C13" i="18"/>
  <c r="C13" i="38655"/>
  <c r="F13" i="18"/>
  <c r="C13" i="19"/>
  <c r="C13" i="38661"/>
  <c r="I13" i="38655"/>
  <c r="I13" i="18"/>
  <c r="F13" i="76"/>
  <c r="F13" i="20"/>
  <c r="H13" i="19"/>
  <c r="J23" i="38659"/>
  <c r="G23"/>
  <c r="K23" s="1"/>
  <c r="D25" i="6"/>
  <c r="E25" s="1"/>
  <c r="C25" i="38648" s="1"/>
  <c r="E25" i="38667"/>
  <c r="J40" i="38659"/>
  <c r="G40"/>
  <c r="K40" s="1"/>
  <c r="D48" i="5"/>
  <c r="B50" i="38659"/>
  <c r="E48" i="70"/>
  <c r="E36" i="38"/>
  <c r="C36"/>
  <c r="G36"/>
  <c r="G36" i="34"/>
  <c r="E36" i="36"/>
  <c r="I36" i="20"/>
  <c r="I36" i="10"/>
  <c r="F36"/>
  <c r="I36" i="38655"/>
  <c r="H36" i="11"/>
  <c r="E36"/>
  <c r="C36" i="38661"/>
  <c r="C36" i="37"/>
  <c r="F36" i="26"/>
  <c r="C36" i="9"/>
  <c r="E36" i="37"/>
  <c r="F36" i="9"/>
  <c r="C36" i="36"/>
  <c r="C36" i="82"/>
  <c r="C36" i="34"/>
  <c r="E36"/>
  <c r="F36" i="54"/>
  <c r="G36" i="36"/>
  <c r="I36" i="54"/>
  <c r="I36" i="26"/>
  <c r="C36" i="8"/>
  <c r="F36" i="38655"/>
  <c r="C36" i="7"/>
  <c r="E36" i="25"/>
  <c r="F36" i="8"/>
  <c r="E36" i="82"/>
  <c r="C36" i="25"/>
  <c r="C36" i="10"/>
  <c r="F36" i="38656"/>
  <c r="C36" i="27"/>
  <c r="C36" i="76" s="1"/>
  <c r="E36" i="35"/>
  <c r="I36" i="25"/>
  <c r="C36" i="11"/>
  <c r="C36" i="35"/>
  <c r="I36" i="9"/>
  <c r="C36" i="26"/>
  <c r="G36" i="25"/>
  <c r="C36" i="38656"/>
  <c r="E36" i="19"/>
  <c r="I36" i="18"/>
  <c r="F36" i="20"/>
  <c r="C36" i="18"/>
  <c r="C36" i="20"/>
  <c r="F36" i="18"/>
  <c r="C36" i="19"/>
  <c r="C36" i="54"/>
  <c r="C36" i="38655"/>
  <c r="F36" i="5"/>
  <c r="H36" i="19"/>
  <c r="F36" i="76"/>
  <c r="J29" i="38659"/>
  <c r="G29"/>
  <c r="K29" s="1"/>
  <c r="C41" i="38661"/>
  <c r="C41" i="38"/>
  <c r="G41"/>
  <c r="E41"/>
  <c r="F41" i="26"/>
  <c r="E41" i="25"/>
  <c r="I41" i="20"/>
  <c r="H41" i="11"/>
  <c r="F41" i="10"/>
  <c r="C41" i="11"/>
  <c r="G41" i="34"/>
  <c r="E41" i="37"/>
  <c r="G41" i="36"/>
  <c r="I41" i="25"/>
  <c r="E41" i="82"/>
  <c r="C41" i="26"/>
  <c r="E41" i="11"/>
  <c r="C41" i="36"/>
  <c r="F41" i="8"/>
  <c r="C41" i="37"/>
  <c r="I41" i="10"/>
  <c r="C41"/>
  <c r="C41" i="9"/>
  <c r="F41" i="38655"/>
  <c r="C41" i="82"/>
  <c r="C41" i="8"/>
  <c r="I41" i="26"/>
  <c r="F41" i="54"/>
  <c r="C41" i="7"/>
  <c r="C41" i="34"/>
  <c r="I41" i="9"/>
  <c r="E41" i="34"/>
  <c r="I41" i="54"/>
  <c r="C41" i="35"/>
  <c r="G41" i="25"/>
  <c r="F41" i="9"/>
  <c r="E41" i="35"/>
  <c r="C41" i="27"/>
  <c r="C41" i="76" s="1"/>
  <c r="F41" i="38656"/>
  <c r="E41" i="36"/>
  <c r="C41" i="54"/>
  <c r="C41" i="25"/>
  <c r="C41" i="38656"/>
  <c r="E41" i="19"/>
  <c r="F41" i="76"/>
  <c r="F41" i="18"/>
  <c r="C41" i="20"/>
  <c r="I41" i="18"/>
  <c r="C41"/>
  <c r="I41" i="38655"/>
  <c r="F41" i="20"/>
  <c r="C41" i="19"/>
  <c r="C41" i="38655"/>
  <c r="F41" i="5"/>
  <c r="H41" i="19"/>
  <c r="J14" i="38659"/>
  <c r="G14"/>
  <c r="K14" s="1"/>
  <c r="C33" i="38"/>
  <c r="G33"/>
  <c r="E33"/>
  <c r="G33" i="34"/>
  <c r="G33" i="36"/>
  <c r="C33" i="37"/>
  <c r="F33" i="10"/>
  <c r="E33" i="36"/>
  <c r="I33" i="20"/>
  <c r="I33" i="54"/>
  <c r="C33" i="7"/>
  <c r="C33" i="9"/>
  <c r="E33" i="11"/>
  <c r="I33" i="10"/>
  <c r="E33" i="82"/>
  <c r="E33" i="37"/>
  <c r="F33" i="54"/>
  <c r="F33" i="38655"/>
  <c r="C33" i="82"/>
  <c r="C33" i="34"/>
  <c r="E33"/>
  <c r="I33" i="38655"/>
  <c r="E33" i="35"/>
  <c r="C33"/>
  <c r="C33" i="11"/>
  <c r="F33" i="9"/>
  <c r="C33" i="36"/>
  <c r="F33" i="38656"/>
  <c r="H33" i="11"/>
  <c r="G33" i="25"/>
  <c r="C33" i="8"/>
  <c r="I33" i="25"/>
  <c r="C33"/>
  <c r="C33" i="10"/>
  <c r="E33" i="25"/>
  <c r="I33" i="26"/>
  <c r="F33"/>
  <c r="C33"/>
  <c r="F33" i="8"/>
  <c r="C33" i="27"/>
  <c r="C33" i="76" s="1"/>
  <c r="I33" i="9"/>
  <c r="C33" i="38656"/>
  <c r="C33" i="18"/>
  <c r="C33" i="54"/>
  <c r="C33" i="38655"/>
  <c r="C33" i="19"/>
  <c r="F33" i="18"/>
  <c r="F33" i="76"/>
  <c r="C33" i="38661"/>
  <c r="E33" i="19"/>
  <c r="C33" i="20"/>
  <c r="F33"/>
  <c r="I33" i="18"/>
  <c r="F33" i="5"/>
  <c r="H33" i="19"/>
  <c r="J47" i="38659"/>
  <c r="G47"/>
  <c r="K47" s="1"/>
  <c r="C19" i="35"/>
  <c r="C19" i="38"/>
  <c r="G19"/>
  <c r="E19"/>
  <c r="C19" i="8"/>
  <c r="H19" i="11"/>
  <c r="C19" i="38656"/>
  <c r="G19" i="34"/>
  <c r="I19" i="20"/>
  <c r="I19" i="54"/>
  <c r="C19"/>
  <c r="C19" i="37"/>
  <c r="C19" i="10"/>
  <c r="E19" i="25"/>
  <c r="G19"/>
  <c r="I19" i="10"/>
  <c r="C19" i="25"/>
  <c r="C19" i="36"/>
  <c r="C19" i="38661"/>
  <c r="C19" i="82"/>
  <c r="F19" i="8"/>
  <c r="F19" i="26"/>
  <c r="C19" i="11"/>
  <c r="E19" i="34"/>
  <c r="C19" i="26"/>
  <c r="E19" i="11"/>
  <c r="E19" i="82"/>
  <c r="I19" i="26"/>
  <c r="F19" i="38656"/>
  <c r="E19" i="35"/>
  <c r="F19" i="10"/>
  <c r="F19" i="54"/>
  <c r="C19" i="9"/>
  <c r="I19"/>
  <c r="C19" i="34"/>
  <c r="C19" i="18"/>
  <c r="F19" i="38655"/>
  <c r="E19" i="37"/>
  <c r="F19" i="9"/>
  <c r="G19" i="36"/>
  <c r="E19"/>
  <c r="I19" i="25"/>
  <c r="C19" i="7"/>
  <c r="E19" i="19"/>
  <c r="C19" i="20"/>
  <c r="C19" i="19"/>
  <c r="C19" i="38655"/>
  <c r="F19" i="18"/>
  <c r="I19"/>
  <c r="I19" i="38655"/>
  <c r="C19" i="27"/>
  <c r="C19" i="76" s="1"/>
  <c r="F19" i="20"/>
  <c r="F19" i="76"/>
  <c r="H19" i="19"/>
  <c r="F19" i="5"/>
  <c r="E28" i="38"/>
  <c r="C28"/>
  <c r="G28"/>
  <c r="C28" i="8"/>
  <c r="E28" i="36"/>
  <c r="I28" i="20"/>
  <c r="C28" i="34"/>
  <c r="C28" i="36"/>
  <c r="E28" i="11"/>
  <c r="I28" i="54"/>
  <c r="E28" i="37"/>
  <c r="I28" i="9"/>
  <c r="G28" i="36"/>
  <c r="E28" i="34"/>
  <c r="E28" i="82"/>
  <c r="C28" i="9"/>
  <c r="C28" i="37"/>
  <c r="G28" i="34"/>
  <c r="H28" i="11"/>
  <c r="C28" i="35"/>
  <c r="F28" i="54"/>
  <c r="F28" i="10"/>
  <c r="E28" i="35"/>
  <c r="C28" i="26"/>
  <c r="I28" i="25"/>
  <c r="C28" i="82"/>
  <c r="C28" i="11"/>
  <c r="F28" i="38656"/>
  <c r="F28" i="26"/>
  <c r="C28" i="25"/>
  <c r="F28" i="9"/>
  <c r="C28" i="54"/>
  <c r="C28" i="7"/>
  <c r="F28" i="38655"/>
  <c r="C28" i="10"/>
  <c r="F28" i="8"/>
  <c r="G28" i="25"/>
  <c r="I28" i="26"/>
  <c r="I28" i="10"/>
  <c r="E28" i="25"/>
  <c r="C28" i="38655"/>
  <c r="C28" i="18"/>
  <c r="I28"/>
  <c r="I28" i="38655"/>
  <c r="E28" i="19"/>
  <c r="C28"/>
  <c r="F28" i="20"/>
  <c r="C28" i="38661"/>
  <c r="C28" i="20"/>
  <c r="C28" i="27"/>
  <c r="C28" i="76" s="1"/>
  <c r="C28" i="38656"/>
  <c r="F28" i="76"/>
  <c r="F28" i="18"/>
  <c r="F28" i="5"/>
  <c r="H28" i="19"/>
  <c r="G40" i="38"/>
  <c r="E40"/>
  <c r="C40"/>
  <c r="C40" i="7"/>
  <c r="F40" i="10"/>
  <c r="F40" i="54"/>
  <c r="H40" i="11"/>
  <c r="C40" i="8"/>
  <c r="I40" i="20"/>
  <c r="F40" i="9"/>
  <c r="E40" i="35"/>
  <c r="C40"/>
  <c r="C40" i="10"/>
  <c r="C40" i="27"/>
  <c r="C40" i="76" s="1"/>
  <c r="C40" i="82"/>
  <c r="C40" i="11"/>
  <c r="I40" i="9"/>
  <c r="C40" i="25"/>
  <c r="C40" i="9"/>
  <c r="F40" i="38656"/>
  <c r="C40" i="37"/>
  <c r="C40" i="34"/>
  <c r="G40" i="36"/>
  <c r="C40"/>
  <c r="E40" i="82"/>
  <c r="E40" i="34"/>
  <c r="F40" i="26"/>
  <c r="C40" i="54"/>
  <c r="I40" i="25"/>
  <c r="F40" i="8"/>
  <c r="G40" i="34"/>
  <c r="E40" i="37"/>
  <c r="E40" i="25"/>
  <c r="E40" i="11"/>
  <c r="F40" i="38655"/>
  <c r="I40" i="26"/>
  <c r="I40" i="54"/>
  <c r="C40" i="26"/>
  <c r="I40" i="10"/>
  <c r="C40" i="38661"/>
  <c r="E40" i="36"/>
  <c r="G40" i="25"/>
  <c r="I40" i="18"/>
  <c r="F40" i="20"/>
  <c r="F40" i="76"/>
  <c r="I40" i="38655"/>
  <c r="C40" i="19"/>
  <c r="C40" i="38656"/>
  <c r="F40" i="18"/>
  <c r="C40" i="38655"/>
  <c r="E40" i="19"/>
  <c r="C40" i="20"/>
  <c r="C40" i="18"/>
  <c r="F40" i="5"/>
  <c r="H40" i="19"/>
  <c r="J41" i="38659"/>
  <c r="G41"/>
  <c r="K41" s="1"/>
  <c r="G11" i="45"/>
  <c r="I48"/>
  <c r="I48" i="43" s="1"/>
  <c r="B48" i="42" s="1"/>
  <c r="G11" i="44"/>
  <c r="E11" i="42" s="1"/>
  <c r="C11" i="45"/>
  <c r="G11" i="42" s="1"/>
  <c r="I11" i="44"/>
  <c r="F11" i="42" s="1"/>
  <c r="C11" i="44"/>
  <c r="C11" i="42" s="1"/>
  <c r="E11" i="44"/>
  <c r="D11" i="42" s="1"/>
  <c r="E11" i="45"/>
  <c r="H11" i="42" s="1"/>
  <c r="C34" i="19"/>
  <c r="E34" i="38"/>
  <c r="C34"/>
  <c r="G34"/>
  <c r="E34" i="37"/>
  <c r="C34"/>
  <c r="C34" i="35"/>
  <c r="G34" i="25"/>
  <c r="E34" i="11"/>
  <c r="I34" i="20"/>
  <c r="C34" i="8"/>
  <c r="E34" i="36"/>
  <c r="I34" i="25"/>
  <c r="I34" i="9"/>
  <c r="F34" i="8"/>
  <c r="F34" i="38655"/>
  <c r="C34" i="38661"/>
  <c r="C34" i="36"/>
  <c r="F34" i="26"/>
  <c r="C34"/>
  <c r="C34" i="11"/>
  <c r="I34" i="54"/>
  <c r="C34" i="7"/>
  <c r="C34" i="82"/>
  <c r="I34" i="10"/>
  <c r="F34" i="9"/>
  <c r="C34"/>
  <c r="E34" i="35"/>
  <c r="I34" i="38655"/>
  <c r="C34" i="34"/>
  <c r="E34" i="82"/>
  <c r="C34" i="54"/>
  <c r="F34" i="38656"/>
  <c r="C34" i="25"/>
  <c r="G34" i="34"/>
  <c r="F34" i="54"/>
  <c r="I34" i="26"/>
  <c r="F34" i="10"/>
  <c r="G34" i="36"/>
  <c r="E34" i="25"/>
  <c r="H34" i="11"/>
  <c r="E34" i="34"/>
  <c r="C34" i="10"/>
  <c r="C34" i="18"/>
  <c r="C34" i="38655"/>
  <c r="I34" i="18"/>
  <c r="C34" i="27"/>
  <c r="C34" i="76" s="1"/>
  <c r="F34" i="18"/>
  <c r="C34" i="38656"/>
  <c r="F34" i="20"/>
  <c r="C34"/>
  <c r="F34" i="5"/>
  <c r="H34" i="19"/>
  <c r="F34" i="76"/>
  <c r="E34" i="19"/>
  <c r="D11" i="6"/>
  <c r="E11" i="38667"/>
  <c r="E20" i="38"/>
  <c r="C20"/>
  <c r="G20"/>
  <c r="F20" i="54"/>
  <c r="C20" i="8"/>
  <c r="C20" i="37"/>
  <c r="I20" i="20"/>
  <c r="I20" i="54"/>
  <c r="I20" i="26"/>
  <c r="C20" i="9"/>
  <c r="C20" i="54"/>
  <c r="G20" i="25"/>
  <c r="E20" i="82"/>
  <c r="C20" i="11"/>
  <c r="C20" i="25"/>
  <c r="I20" i="9"/>
  <c r="I20" i="10"/>
  <c r="C20" i="36"/>
  <c r="E20" i="35"/>
  <c r="E20" i="37"/>
  <c r="C20" i="82"/>
  <c r="F20" i="9"/>
  <c r="H20" i="11"/>
  <c r="C20" i="34"/>
  <c r="F20" i="38655"/>
  <c r="C20" i="10"/>
  <c r="F20"/>
  <c r="G20" i="34"/>
  <c r="C20" i="7"/>
  <c r="E20" i="11"/>
  <c r="C20" i="27"/>
  <c r="C20" i="76" s="1"/>
  <c r="C20" i="35"/>
  <c r="F20" i="26"/>
  <c r="F20" i="38656"/>
  <c r="G20" i="36"/>
  <c r="I20" i="25"/>
  <c r="E20" i="36"/>
  <c r="F20" i="8"/>
  <c r="E20" i="34"/>
  <c r="E20" i="25"/>
  <c r="C20" i="26"/>
  <c r="C20" i="38661"/>
  <c r="C20" i="38656"/>
  <c r="I20" i="18"/>
  <c r="C20" i="38655"/>
  <c r="C20" i="19"/>
  <c r="F20" i="76"/>
  <c r="C20" i="20"/>
  <c r="C20" i="18"/>
  <c r="F20" i="20"/>
  <c r="I20" i="38655"/>
  <c r="E20" i="19"/>
  <c r="F20" i="18"/>
  <c r="F20" i="5"/>
  <c r="H20" i="19"/>
  <c r="F24" i="5"/>
  <c r="E24" i="38"/>
  <c r="C24"/>
  <c r="G24"/>
  <c r="C24" i="82"/>
  <c r="F24" i="26"/>
  <c r="I24" i="20"/>
  <c r="C24" i="37"/>
  <c r="C24" i="54"/>
  <c r="F24"/>
  <c r="G24" i="36"/>
  <c r="C24" i="26"/>
  <c r="F24" i="8"/>
  <c r="I24" i="9"/>
  <c r="C24" i="7"/>
  <c r="E24" i="34"/>
  <c r="I24" i="26"/>
  <c r="C24" i="9"/>
  <c r="C24" i="35"/>
  <c r="I24" i="25"/>
  <c r="C24"/>
  <c r="C24" i="8"/>
  <c r="F24" i="10"/>
  <c r="F24" i="38655"/>
  <c r="F24" i="38656"/>
  <c r="C24" i="36"/>
  <c r="E24"/>
  <c r="F24" i="9"/>
  <c r="E24" i="37"/>
  <c r="E24" i="25"/>
  <c r="E24" i="82"/>
  <c r="C24" i="10"/>
  <c r="G24" i="25"/>
  <c r="H24" i="11"/>
  <c r="C24"/>
  <c r="C24" i="34"/>
  <c r="E24" i="11"/>
  <c r="G24" i="34"/>
  <c r="I24" i="10"/>
  <c r="E24" i="35"/>
  <c r="E24" i="19"/>
  <c r="I24" i="54"/>
  <c r="C24" i="18"/>
  <c r="C24" i="19"/>
  <c r="C24" i="38656"/>
  <c r="C24" i="38661"/>
  <c r="C24" i="20"/>
  <c r="C24" i="38655"/>
  <c r="C24" i="27"/>
  <c r="C24" i="76" s="1"/>
  <c r="I24" i="18"/>
  <c r="I24" i="38655"/>
  <c r="F24" i="20"/>
  <c r="H24" i="19"/>
  <c r="F24" i="76"/>
  <c r="F24" i="18"/>
  <c r="D46" i="6"/>
  <c r="E46" s="1"/>
  <c r="C46" i="38648" s="1"/>
  <c r="E46" i="38667"/>
  <c r="F29" i="5"/>
  <c r="G29" i="38"/>
  <c r="E29"/>
  <c r="G29" i="25"/>
  <c r="F29" i="38656"/>
  <c r="C29" i="27"/>
  <c r="C29" i="76" s="1"/>
  <c r="I29" i="26"/>
  <c r="E29" i="82"/>
  <c r="C29" i="38"/>
  <c r="E29" i="35"/>
  <c r="I29" i="25"/>
  <c r="G29" i="34"/>
  <c r="H29" i="11"/>
  <c r="E29" i="37"/>
  <c r="I29" i="10"/>
  <c r="C29" i="9"/>
  <c r="C29" i="25"/>
  <c r="E29" i="36"/>
  <c r="F29" i="9"/>
  <c r="C29" i="82"/>
  <c r="C29" i="10"/>
  <c r="C29" i="36"/>
  <c r="E29" i="34"/>
  <c r="C29" i="7"/>
  <c r="G29" i="36"/>
  <c r="C29" i="35"/>
  <c r="C29" i="26"/>
  <c r="C29" i="8"/>
  <c r="F29" i="10"/>
  <c r="C29" i="11"/>
  <c r="I29" i="20"/>
  <c r="C29" i="37"/>
  <c r="E29" i="11"/>
  <c r="F29" i="8"/>
  <c r="F29" i="26"/>
  <c r="I29" i="18"/>
  <c r="I29" i="9"/>
  <c r="C29" i="38655"/>
  <c r="C29" i="38656"/>
  <c r="E29" i="25"/>
  <c r="C29" i="34"/>
  <c r="F29" i="38655"/>
  <c r="E29" i="19"/>
  <c r="F29" i="18"/>
  <c r="C29" i="38661"/>
  <c r="F29" i="20"/>
  <c r="C29"/>
  <c r="C29" i="18"/>
  <c r="C29" i="19"/>
  <c r="I29" i="38655"/>
  <c r="H29" i="19"/>
  <c r="I29" i="54"/>
  <c r="C29"/>
  <c r="F29"/>
  <c r="F29" i="76"/>
  <c r="J19" i="38659"/>
  <c r="G19"/>
  <c r="K19" s="1"/>
  <c r="F15" i="5"/>
  <c r="C15" i="38"/>
  <c r="G15"/>
  <c r="E15"/>
  <c r="E15" i="36"/>
  <c r="C15" i="37"/>
  <c r="C15" i="8"/>
  <c r="I15" i="20"/>
  <c r="C15" i="54"/>
  <c r="G15" i="25"/>
  <c r="C15" i="26"/>
  <c r="I15" i="25"/>
  <c r="C15" i="11"/>
  <c r="E15" i="34"/>
  <c r="F15" i="10"/>
  <c r="I15" i="26"/>
  <c r="C15" i="34"/>
  <c r="F15" i="8"/>
  <c r="E15" i="82"/>
  <c r="E15" i="37"/>
  <c r="G15" i="36"/>
  <c r="C15" i="10"/>
  <c r="F15" i="38656"/>
  <c r="F15" i="9"/>
  <c r="F15" i="54"/>
  <c r="I15" i="9"/>
  <c r="I15" i="10"/>
  <c r="F15" i="38655"/>
  <c r="F15" i="26"/>
  <c r="I15" i="38655"/>
  <c r="C15" i="25"/>
  <c r="H15" i="11"/>
  <c r="C15" i="36"/>
  <c r="C15" i="82"/>
  <c r="C15" i="9"/>
  <c r="I15" i="54"/>
  <c r="E15" i="35"/>
  <c r="E15" i="25"/>
  <c r="G15" i="34"/>
  <c r="C15" i="38661"/>
  <c r="E15" i="11"/>
  <c r="C15" i="35"/>
  <c r="C15" i="7"/>
  <c r="I15" i="18"/>
  <c r="C15" i="38656"/>
  <c r="C15" i="20"/>
  <c r="C15" i="38655"/>
  <c r="C15" i="19"/>
  <c r="C15" i="27"/>
  <c r="C15" i="76" s="1"/>
  <c r="C15" i="18"/>
  <c r="F15" i="20"/>
  <c r="F15" i="18"/>
  <c r="H15" i="19"/>
  <c r="E15"/>
  <c r="F15" i="76"/>
  <c r="F27" i="5"/>
  <c r="G27" i="38"/>
  <c r="E27"/>
  <c r="C27"/>
  <c r="F27" i="38656"/>
  <c r="H27" i="11"/>
  <c r="C27" i="54"/>
  <c r="C27" i="9"/>
  <c r="I27" i="20"/>
  <c r="E27" i="37"/>
  <c r="I27" i="10"/>
  <c r="C27" i="27"/>
  <c r="C27" i="76" s="1"/>
  <c r="E27" i="11"/>
  <c r="E27" i="36"/>
  <c r="C27" i="25"/>
  <c r="C27" i="37"/>
  <c r="E27" i="34"/>
  <c r="C27" i="8"/>
  <c r="C27" i="38661"/>
  <c r="F27" i="9"/>
  <c r="F27" i="8"/>
  <c r="F27" i="38655"/>
  <c r="E27" i="25"/>
  <c r="G27" i="34"/>
  <c r="E27" i="82"/>
  <c r="C27" i="26"/>
  <c r="C27" i="34"/>
  <c r="C27" i="7"/>
  <c r="F27" i="54"/>
  <c r="G27" i="36"/>
  <c r="F27" i="26"/>
  <c r="I27" i="9"/>
  <c r="C27" i="35"/>
  <c r="G27" i="25"/>
  <c r="I27" i="26"/>
  <c r="E27" i="35"/>
  <c r="C27" i="11"/>
  <c r="C27" i="82"/>
  <c r="C27" i="10"/>
  <c r="C27" i="38656"/>
  <c r="C27" i="36"/>
  <c r="F27" i="10"/>
  <c r="I27" i="25"/>
  <c r="I27" i="54"/>
  <c r="F27" i="18"/>
  <c r="F27" i="20"/>
  <c r="C27"/>
  <c r="E27" i="19"/>
  <c r="C27" i="38655"/>
  <c r="I27"/>
  <c r="C27" i="19"/>
  <c r="C27" i="18"/>
  <c r="I27"/>
  <c r="F27" i="76"/>
  <c r="H27" i="19"/>
  <c r="J24" i="38659"/>
  <c r="G24"/>
  <c r="K24" s="1"/>
  <c r="E26" i="35"/>
  <c r="E26" i="38"/>
  <c r="G26"/>
  <c r="H26" i="11"/>
  <c r="C26" i="38"/>
  <c r="C26" i="38656"/>
  <c r="C26" i="35"/>
  <c r="F26" i="8"/>
  <c r="C26" i="37"/>
  <c r="G26" i="36"/>
  <c r="F26" i="10"/>
  <c r="C26" i="11"/>
  <c r="E26" i="82"/>
  <c r="E26" i="25"/>
  <c r="C26" i="7"/>
  <c r="C26" i="82"/>
  <c r="I26" i="20"/>
  <c r="G26" i="25"/>
  <c r="C26" i="9"/>
  <c r="I26" i="25"/>
  <c r="C26" i="34"/>
  <c r="I26" i="38655"/>
  <c r="C26" i="54"/>
  <c r="F26" i="38656"/>
  <c r="I26" i="10"/>
  <c r="F26" i="38655"/>
  <c r="E26" i="34"/>
  <c r="C26" i="10"/>
  <c r="I26" i="26"/>
  <c r="F26" i="9"/>
  <c r="G26" i="34"/>
  <c r="E26" i="11"/>
  <c r="C26" i="36"/>
  <c r="I26" i="9"/>
  <c r="I26" i="54"/>
  <c r="F26" i="26"/>
  <c r="C26" i="38661"/>
  <c r="C26" i="8"/>
  <c r="E26" i="37"/>
  <c r="C26" i="26"/>
  <c r="E26" i="36"/>
  <c r="C26" i="25"/>
  <c r="C26" i="20"/>
  <c r="C26" i="19"/>
  <c r="C26" i="27"/>
  <c r="C26" i="76" s="1"/>
  <c r="I26" i="18"/>
  <c r="F26" i="54"/>
  <c r="E26" i="19"/>
  <c r="F26" i="18"/>
  <c r="C26" i="38655"/>
  <c r="F26" i="20"/>
  <c r="C26" i="18"/>
  <c r="H26" i="19"/>
  <c r="F26" i="5"/>
  <c r="F26" i="76"/>
  <c r="F37" i="5"/>
  <c r="C37" i="38"/>
  <c r="G37"/>
  <c r="E37"/>
  <c r="I37" i="38655"/>
  <c r="G37" i="36"/>
  <c r="H37" i="11"/>
  <c r="C37" i="8"/>
  <c r="I37" i="25"/>
  <c r="I37" i="20"/>
  <c r="E37" i="25"/>
  <c r="G37" i="34"/>
  <c r="E37" i="36"/>
  <c r="F37" i="10"/>
  <c r="I37" i="9"/>
  <c r="E37" i="34"/>
  <c r="C37" i="36"/>
  <c r="I37" i="54"/>
  <c r="E37" i="35"/>
  <c r="F37" i="8"/>
  <c r="C37" i="11"/>
  <c r="C37" i="34"/>
  <c r="E37" i="82"/>
  <c r="C37" i="26"/>
  <c r="F37" i="38656"/>
  <c r="C37" i="27"/>
  <c r="C37" i="76" s="1"/>
  <c r="F37" i="9"/>
  <c r="C37" i="82"/>
  <c r="E37" i="37"/>
  <c r="C37" i="7"/>
  <c r="C37" i="38656"/>
  <c r="C37" i="25"/>
  <c r="F37" i="38655"/>
  <c r="C37" i="54"/>
  <c r="C37" i="37"/>
  <c r="F37" i="26"/>
  <c r="C37" i="10"/>
  <c r="C37" i="35"/>
  <c r="E37" i="11"/>
  <c r="G37" i="25"/>
  <c r="I37" i="10"/>
  <c r="I37" i="26"/>
  <c r="C37" i="9"/>
  <c r="F37" i="54"/>
  <c r="C37" i="38661"/>
  <c r="C37" i="38655"/>
  <c r="F37" i="76"/>
  <c r="C37" i="20"/>
  <c r="F37"/>
  <c r="I37" i="18"/>
  <c r="E37" i="19"/>
  <c r="C37"/>
  <c r="C37" i="18"/>
  <c r="H37" i="19"/>
  <c r="F37" i="18"/>
  <c r="J44" i="38659"/>
  <c r="G44"/>
  <c r="K44" s="1"/>
  <c r="J33"/>
  <c r="G33"/>
  <c r="K33" s="1"/>
  <c r="E44" i="19"/>
  <c r="F44" i="5"/>
  <c r="C44" i="38"/>
  <c r="G44"/>
  <c r="E44"/>
  <c r="H44" i="11"/>
  <c r="G44" i="34"/>
  <c r="E44" i="25"/>
  <c r="F44" i="10"/>
  <c r="E44" i="36"/>
  <c r="I44" i="20"/>
  <c r="C44" i="35"/>
  <c r="G44" i="25"/>
  <c r="I44" i="26"/>
  <c r="C44" i="9"/>
  <c r="I44"/>
  <c r="E44" i="34"/>
  <c r="C44" i="38656"/>
  <c r="C44" i="54"/>
  <c r="G44" i="36"/>
  <c r="C44" i="37"/>
  <c r="I44" i="54"/>
  <c r="F44" i="38656"/>
  <c r="I44" i="25"/>
  <c r="C44"/>
  <c r="C44" i="11"/>
  <c r="C44" i="8"/>
  <c r="C44" i="36"/>
  <c r="C44" i="26"/>
  <c r="C44" i="10"/>
  <c r="C44" i="82"/>
  <c r="E44" i="37"/>
  <c r="E44" i="11"/>
  <c r="F44" i="54"/>
  <c r="F44" i="9"/>
  <c r="C44" i="27"/>
  <c r="C44" i="76" s="1"/>
  <c r="C44" i="7"/>
  <c r="C44" i="34"/>
  <c r="E44" i="35"/>
  <c r="F44" i="38655"/>
  <c r="F44" i="8"/>
  <c r="I44" i="10"/>
  <c r="F44" i="26"/>
  <c r="E44" i="82"/>
  <c r="F44" i="18"/>
  <c r="C44" i="38661"/>
  <c r="I44" i="18"/>
  <c r="C44" i="20"/>
  <c r="C44" i="18"/>
  <c r="I44" i="38655"/>
  <c r="F44" i="20"/>
  <c r="C44" i="19"/>
  <c r="F44" i="76"/>
  <c r="C44" i="38655"/>
  <c r="H44" i="19"/>
  <c r="J15" i="38659"/>
  <c r="G15"/>
  <c r="K15" s="1"/>
  <c r="D43" i="6"/>
  <c r="E43" s="1"/>
  <c r="C43" i="38648" s="1"/>
  <c r="E43" i="38667"/>
  <c r="D32" i="6"/>
  <c r="E32" s="1"/>
  <c r="C32" i="38648" s="1"/>
  <c r="E32" i="38667"/>
  <c r="C21" i="38"/>
  <c r="E21"/>
  <c r="G21"/>
  <c r="E21" i="36"/>
  <c r="F21" i="26"/>
  <c r="G21" i="36"/>
  <c r="H21" i="11"/>
  <c r="I21" i="20"/>
  <c r="I21" i="38655"/>
  <c r="F21"/>
  <c r="E21" i="35"/>
  <c r="E21" i="25"/>
  <c r="C21" i="38661"/>
  <c r="C21" i="11"/>
  <c r="C21" i="82"/>
  <c r="C21" i="35"/>
  <c r="F21" i="10"/>
  <c r="C21" i="26"/>
  <c r="F21" i="38656"/>
  <c r="C21" i="8"/>
  <c r="C21" i="10"/>
  <c r="I21" i="26"/>
  <c r="C21" i="34"/>
  <c r="C21" i="36"/>
  <c r="F21" i="54"/>
  <c r="E21" i="11"/>
  <c r="E21" i="37"/>
  <c r="F21" i="8"/>
  <c r="C21" i="9"/>
  <c r="I21" i="25"/>
  <c r="I21" i="9"/>
  <c r="G21" i="34"/>
  <c r="C21" i="54"/>
  <c r="C21" i="7"/>
  <c r="C21" i="37"/>
  <c r="I21" i="10"/>
  <c r="G21" i="25"/>
  <c r="E21" i="82"/>
  <c r="F21" i="9"/>
  <c r="E21" i="34"/>
  <c r="C21" i="25"/>
  <c r="F21" i="20"/>
  <c r="I21" i="54"/>
  <c r="C21" i="19"/>
  <c r="C21" i="38655"/>
  <c r="C21" i="38656"/>
  <c r="C21" i="20"/>
  <c r="F21" i="18"/>
  <c r="C21" i="27"/>
  <c r="C21" i="76" s="1"/>
  <c r="I21" i="18"/>
  <c r="C21"/>
  <c r="F21" i="5"/>
  <c r="H21" i="19"/>
  <c r="F21" i="76"/>
  <c r="E21" i="19"/>
  <c r="I38" i="20"/>
  <c r="F38" i="5"/>
  <c r="C38" i="38"/>
  <c r="E38"/>
  <c r="G38"/>
  <c r="E38" i="82"/>
  <c r="C38" i="35"/>
  <c r="G38" i="34"/>
  <c r="F38" i="26"/>
  <c r="I38" i="25"/>
  <c r="I38" i="10"/>
  <c r="E38" i="35"/>
  <c r="C38" i="9"/>
  <c r="C38" i="38661"/>
  <c r="C38" i="26"/>
  <c r="E38" i="37"/>
  <c r="I38" i="54"/>
  <c r="C38" i="7"/>
  <c r="F38" i="10"/>
  <c r="E38" i="36"/>
  <c r="C38" i="54"/>
  <c r="E38" i="25"/>
  <c r="C38" i="34"/>
  <c r="I38" i="26"/>
  <c r="F38" i="8"/>
  <c r="C38" i="11"/>
  <c r="C38" i="82"/>
  <c r="I38" i="9"/>
  <c r="E38" i="11"/>
  <c r="E38" i="34"/>
  <c r="F38" i="38656"/>
  <c r="F38" i="54"/>
  <c r="G38" i="25"/>
  <c r="C38" i="8"/>
  <c r="F38" i="38655"/>
  <c r="C38" i="37"/>
  <c r="F38" i="9"/>
  <c r="G38" i="36"/>
  <c r="C38" i="38656"/>
  <c r="C38" i="36"/>
  <c r="C38" i="10"/>
  <c r="H38" i="11"/>
  <c r="C38" i="25"/>
  <c r="I38" i="38655"/>
  <c r="C38"/>
  <c r="C38" i="27"/>
  <c r="C38" i="76" s="1"/>
  <c r="C38" i="19"/>
  <c r="I38" i="18"/>
  <c r="E38" i="19"/>
  <c r="C38" i="18"/>
  <c r="C38" i="20"/>
  <c r="F38"/>
  <c r="F38" i="18"/>
  <c r="H38" i="19"/>
  <c r="F38" i="76"/>
  <c r="I11" i="43"/>
  <c r="B11" i="42" s="1"/>
  <c r="J31" i="38659"/>
  <c r="G31"/>
  <c r="K31" s="1"/>
  <c r="J42"/>
  <c r="G42"/>
  <c r="K42" s="1"/>
  <c r="C39" i="82"/>
  <c r="F39" i="5"/>
  <c r="E39" i="38"/>
  <c r="G39"/>
  <c r="G39" i="34"/>
  <c r="F39" i="26"/>
  <c r="E39" i="35"/>
  <c r="C39" i="38656"/>
  <c r="F39" i="9"/>
  <c r="C39" i="38"/>
  <c r="I39" i="54"/>
  <c r="G39" i="36"/>
  <c r="C39" i="54"/>
  <c r="C39" i="10"/>
  <c r="C39" i="26"/>
  <c r="F39" i="38656"/>
  <c r="C39" i="25"/>
  <c r="E39" i="34"/>
  <c r="H39" i="11"/>
  <c r="I39" i="26"/>
  <c r="C39" i="11"/>
  <c r="E39" i="37"/>
  <c r="E39" i="25"/>
  <c r="C39" i="36"/>
  <c r="C39" i="34"/>
  <c r="I39" i="10"/>
  <c r="F39"/>
  <c r="I39" i="20"/>
  <c r="F39" i="54"/>
  <c r="E39" i="36"/>
  <c r="C39" i="35"/>
  <c r="E39" i="11"/>
  <c r="C39" i="7"/>
  <c r="C39" i="8"/>
  <c r="F39" i="38655"/>
  <c r="I39" i="25"/>
  <c r="C39" i="9"/>
  <c r="E39" i="82"/>
  <c r="F39" i="8"/>
  <c r="C39" i="37"/>
  <c r="G39" i="25"/>
  <c r="I39" i="9"/>
  <c r="F39" i="18"/>
  <c r="C39" i="20"/>
  <c r="I39" i="38655"/>
  <c r="C39" i="38661"/>
  <c r="I39" i="18"/>
  <c r="C39"/>
  <c r="F39" i="20"/>
  <c r="C39" i="38655"/>
  <c r="C39" i="19"/>
  <c r="E39"/>
  <c r="C39" i="27"/>
  <c r="C39" i="76" s="1"/>
  <c r="H39" i="19"/>
  <c r="F39" i="76"/>
  <c r="J38" i="38659"/>
  <c r="G38"/>
  <c r="K38" s="1"/>
  <c r="D16" i="6"/>
  <c r="E16" s="1"/>
  <c r="C16" i="38648" s="1"/>
  <c r="E16" i="38667"/>
  <c r="J43" i="38659"/>
  <c r="G43"/>
  <c r="K43" s="1"/>
  <c r="J22"/>
  <c r="G22"/>
  <c r="K22" s="1"/>
  <c r="C51" i="20"/>
  <c r="F51" i="5"/>
  <c r="D51" i="6" s="1"/>
  <c r="E51" s="1"/>
  <c r="C51" i="38648" s="1"/>
  <c r="C51" i="38"/>
  <c r="G51"/>
  <c r="E51"/>
  <c r="I51" i="20"/>
  <c r="I51" i="54"/>
  <c r="E51" i="34"/>
  <c r="I51" i="38655"/>
  <c r="I51" i="25"/>
  <c r="F51" i="26"/>
  <c r="E51" i="35"/>
  <c r="G51" i="34"/>
  <c r="C51" i="37"/>
  <c r="F51" i="8"/>
  <c r="C51" i="54"/>
  <c r="G51" i="25"/>
  <c r="C51" i="38655"/>
  <c r="E51" i="37"/>
  <c r="C51" i="10"/>
  <c r="C51" i="9"/>
  <c r="C51" i="7"/>
  <c r="E51" i="82"/>
  <c r="C51" i="8"/>
  <c r="E51" i="11"/>
  <c r="G51" i="36"/>
  <c r="E51"/>
  <c r="C51" i="26"/>
  <c r="F51" i="54"/>
  <c r="C51" i="82"/>
  <c r="F51" i="38656"/>
  <c r="F51" i="38655"/>
  <c r="I51" i="10"/>
  <c r="I51" i="26"/>
  <c r="F51" i="9"/>
  <c r="C51" i="34"/>
  <c r="C51" i="36"/>
  <c r="E51" i="25"/>
  <c r="C51"/>
  <c r="F51" i="10"/>
  <c r="H51" i="11"/>
  <c r="I51" i="9"/>
  <c r="C51" i="35"/>
  <c r="C51" i="11"/>
  <c r="C51" i="38656"/>
  <c r="C51" i="18"/>
  <c r="F51" i="20"/>
  <c r="C51" i="27"/>
  <c r="C51" i="76" s="1"/>
  <c r="C51" i="38661"/>
  <c r="C51" i="19"/>
  <c r="I51" i="18"/>
  <c r="E51" i="19"/>
  <c r="F51" i="76"/>
  <c r="H51" i="19"/>
  <c r="F51" i="18"/>
  <c r="J26" i="38659"/>
  <c r="G26"/>
  <c r="K26" s="1"/>
  <c r="D35" i="6"/>
  <c r="E35" s="1"/>
  <c r="C35" i="38648" s="1"/>
  <c r="E35" i="38667"/>
  <c r="E12" i="38"/>
  <c r="C12"/>
  <c r="G12"/>
  <c r="G12" i="36"/>
  <c r="I12" i="20"/>
  <c r="C12" i="37"/>
  <c r="C12" i="8"/>
  <c r="E12" i="37"/>
  <c r="F12" i="38656"/>
  <c r="E12" i="34"/>
  <c r="E12" i="25"/>
  <c r="C12" i="10"/>
  <c r="C12" i="25"/>
  <c r="F12" i="10"/>
  <c r="E12" i="36"/>
  <c r="C12" i="26"/>
  <c r="C12" i="7"/>
  <c r="C12" i="38661"/>
  <c r="I12" i="25"/>
  <c r="F12" i="8"/>
  <c r="G12" i="34"/>
  <c r="H12" i="11"/>
  <c r="C12" i="36"/>
  <c r="C12" i="9"/>
  <c r="C12" i="35"/>
  <c r="C12" i="34"/>
  <c r="I12" i="26"/>
  <c r="F12"/>
  <c r="G12" i="25"/>
  <c r="E12" i="11"/>
  <c r="E12" i="35"/>
  <c r="C12" i="11"/>
  <c r="I12" i="10"/>
  <c r="E12" i="82"/>
  <c r="F12" i="9"/>
  <c r="I12"/>
  <c r="F12" i="54"/>
  <c r="C12"/>
  <c r="F12" i="38655"/>
  <c r="C12" i="82"/>
  <c r="I12" i="54"/>
  <c r="I12" i="38655"/>
  <c r="F12" i="18"/>
  <c r="C12" i="38656"/>
  <c r="E12" i="19"/>
  <c r="C12" i="27"/>
  <c r="C12" i="76" s="1"/>
  <c r="C12" i="20"/>
  <c r="C12" i="38655"/>
  <c r="F12" i="20"/>
  <c r="C12" i="18"/>
  <c r="C12" i="19"/>
  <c r="I12" i="18"/>
  <c r="F12" i="76"/>
  <c r="H12" i="19"/>
  <c r="F12" i="5"/>
  <c r="J35" i="38659"/>
  <c r="G35"/>
  <c r="K35" s="1"/>
  <c r="F45" i="9"/>
  <c r="G45" i="38"/>
  <c r="E45"/>
  <c r="C45"/>
  <c r="I45" i="20"/>
  <c r="E45" i="11"/>
  <c r="C45" i="54"/>
  <c r="G45" i="36"/>
  <c r="G45" i="34"/>
  <c r="I45" i="25"/>
  <c r="E45" i="35"/>
  <c r="C45" i="36"/>
  <c r="E45" i="82"/>
  <c r="F45" i="38655"/>
  <c r="I45" i="10"/>
  <c r="F45" i="38656"/>
  <c r="C45" i="25"/>
  <c r="C45" i="11"/>
  <c r="C45" i="27"/>
  <c r="C45" i="76" s="1"/>
  <c r="C45" i="10"/>
  <c r="E45" i="37"/>
  <c r="G45" i="25"/>
  <c r="F45" i="26"/>
  <c r="C45" i="9"/>
  <c r="I45" i="26"/>
  <c r="C45" i="7"/>
  <c r="F45" i="54"/>
  <c r="C45" i="34"/>
  <c r="C45" i="37"/>
  <c r="E45" i="34"/>
  <c r="E45" i="36"/>
  <c r="I45" i="9"/>
  <c r="C45" i="19"/>
  <c r="E45" i="25"/>
  <c r="F45" i="8"/>
  <c r="C45" i="35"/>
  <c r="F45" i="10"/>
  <c r="H45" i="11"/>
  <c r="C45" i="26"/>
  <c r="C45" i="82"/>
  <c r="F45" i="76"/>
  <c r="C45" i="8"/>
  <c r="I45" i="18"/>
  <c r="F45" i="20"/>
  <c r="I45" i="54"/>
  <c r="I45" i="38655"/>
  <c r="C45" i="38661"/>
  <c r="C45" i="38655"/>
  <c r="C45" i="20"/>
  <c r="E45" i="19"/>
  <c r="C45" i="38656"/>
  <c r="F45" i="18"/>
  <c r="C45"/>
  <c r="F45" i="5"/>
  <c r="H45" i="19"/>
  <c r="J13" i="38659"/>
  <c r="E50"/>
  <c r="G13"/>
  <c r="K13" s="1"/>
  <c r="E18" i="38"/>
  <c r="G18"/>
  <c r="E18" i="36"/>
  <c r="C18" i="38656"/>
  <c r="C18" i="38"/>
  <c r="C18" i="8"/>
  <c r="C18" i="34"/>
  <c r="G18"/>
  <c r="C18" i="7"/>
  <c r="H18" i="11"/>
  <c r="I18" i="38655"/>
  <c r="F18" i="26"/>
  <c r="F18" i="38656"/>
  <c r="C18" i="26"/>
  <c r="C18" i="82"/>
  <c r="C18" i="35"/>
  <c r="I18" i="26"/>
  <c r="E18" i="11"/>
  <c r="E18" i="37"/>
  <c r="I18" i="10"/>
  <c r="E18" i="35"/>
  <c r="I18" i="20"/>
  <c r="C18" i="37"/>
  <c r="C18" i="9"/>
  <c r="I18" i="54"/>
  <c r="I18" i="9"/>
  <c r="C18" i="10"/>
  <c r="C18" i="25"/>
  <c r="C18" i="54"/>
  <c r="F18" i="8"/>
  <c r="G18" i="25"/>
  <c r="F18" i="10"/>
  <c r="E18" i="82"/>
  <c r="E18" i="34"/>
  <c r="F18" i="38655"/>
  <c r="E18" i="25"/>
  <c r="I18"/>
  <c r="C18" i="11"/>
  <c r="G18" i="36"/>
  <c r="C18"/>
  <c r="F18" i="20"/>
  <c r="C18"/>
  <c r="I18" i="18"/>
  <c r="C18" i="19"/>
  <c r="F18" i="54"/>
  <c r="C18" i="38655"/>
  <c r="F18" i="9"/>
  <c r="C18" i="27"/>
  <c r="C18" i="76" s="1"/>
  <c r="C18" i="38661"/>
  <c r="F18" i="18"/>
  <c r="F18" i="76"/>
  <c r="H18" i="19"/>
  <c r="F18" i="5"/>
  <c r="C18" i="18"/>
  <c r="E18" i="19"/>
  <c r="J21" i="38659"/>
  <c r="G21"/>
  <c r="K21" s="1"/>
  <c r="F14" i="5"/>
  <c r="E14" i="38"/>
  <c r="G14"/>
  <c r="C14" i="54"/>
  <c r="E14" i="37"/>
  <c r="C14" i="38"/>
  <c r="C14" i="26"/>
  <c r="F14" i="54"/>
  <c r="I14" i="20"/>
  <c r="F14" i="38656"/>
  <c r="G14" i="34"/>
  <c r="F14" i="26"/>
  <c r="E14" i="35"/>
  <c r="C14" i="11"/>
  <c r="F14" i="10"/>
  <c r="I14"/>
  <c r="C14" i="9"/>
  <c r="G14" i="36"/>
  <c r="G14" i="25"/>
  <c r="E14" i="11"/>
  <c r="F14" i="38655"/>
  <c r="I14" i="26"/>
  <c r="C14" i="82"/>
  <c r="I14" i="9"/>
  <c r="C14" i="37"/>
  <c r="F14" i="9"/>
  <c r="E14" i="36"/>
  <c r="I14" i="25"/>
  <c r="I14" i="54"/>
  <c r="E14" i="25"/>
  <c r="H14" i="11"/>
  <c r="C14" i="36"/>
  <c r="C14" i="25"/>
  <c r="C14" i="8"/>
  <c r="C14" i="10"/>
  <c r="E14" i="34"/>
  <c r="C14" i="7"/>
  <c r="F14" i="8"/>
  <c r="C14" i="35"/>
  <c r="E14" i="82"/>
  <c r="C14" i="34"/>
  <c r="I14" i="38655"/>
  <c r="C14" i="38656"/>
  <c r="C14" i="19"/>
  <c r="C14" i="18"/>
  <c r="C14" i="38655"/>
  <c r="F14" i="20"/>
  <c r="C14"/>
  <c r="C14" i="38661"/>
  <c r="I14" i="18"/>
  <c r="C14" i="27"/>
  <c r="C14" i="76" s="1"/>
  <c r="F14" i="18"/>
  <c r="E14" i="19"/>
  <c r="H14"/>
  <c r="F14" i="76"/>
  <c r="J30" i="38659"/>
  <c r="G30"/>
  <c r="K30" s="1"/>
  <c r="J11" i="42" l="1"/>
  <c r="D26" i="6"/>
  <c r="E26" s="1"/>
  <c r="C26" i="38648" s="1"/>
  <c r="E26" i="38667"/>
  <c r="E11" i="6"/>
  <c r="C11" i="38648" s="1"/>
  <c r="D40" i="6"/>
  <c r="E40" s="1"/>
  <c r="C40" i="38648" s="1"/>
  <c r="E40" i="38667"/>
  <c r="D41" i="6"/>
  <c r="E41" s="1"/>
  <c r="C41" i="38648" s="1"/>
  <c r="E41" i="38667"/>
  <c r="D13" i="6"/>
  <c r="E13" s="1"/>
  <c r="C13" i="38648" s="1"/>
  <c r="E13" i="38667"/>
  <c r="D31" i="6"/>
  <c r="E31" s="1"/>
  <c r="C31" i="38648" s="1"/>
  <c r="E31" i="38667"/>
  <c r="D42" i="6"/>
  <c r="E42" s="1"/>
  <c r="C42" i="38648" s="1"/>
  <c r="E42" i="38667"/>
  <c r="D17" i="6"/>
  <c r="E17" s="1"/>
  <c r="C17" i="38648" s="1"/>
  <c r="E17" i="38667"/>
  <c r="E21"/>
  <c r="D21" i="6"/>
  <c r="E21" s="1"/>
  <c r="C21" i="38648" s="1"/>
  <c r="D24" i="6"/>
  <c r="E24" s="1"/>
  <c r="C24" i="38648" s="1"/>
  <c r="E24" i="38667"/>
  <c r="E48" i="44"/>
  <c r="D48" i="42" s="1"/>
  <c r="L13" s="1"/>
  <c r="C48" i="44"/>
  <c r="C48" i="42" s="1"/>
  <c r="L12" s="1"/>
  <c r="I48" i="44"/>
  <c r="F48" i="42" s="1"/>
  <c r="L15" s="1"/>
  <c r="G48" i="45"/>
  <c r="G48" i="44"/>
  <c r="E48" i="42" s="1"/>
  <c r="L14" s="1"/>
  <c r="E48" i="45"/>
  <c r="H48" i="42" s="1"/>
  <c r="L17" s="1"/>
  <c r="C48" i="45"/>
  <c r="G48" i="42" s="1"/>
  <c r="L16" s="1"/>
  <c r="D28" i="6"/>
  <c r="E28" s="1"/>
  <c r="C28" i="38648" s="1"/>
  <c r="E28" i="38667"/>
  <c r="D33" i="6"/>
  <c r="E33" s="1"/>
  <c r="C33" i="38648" s="1"/>
  <c r="E33" i="38667"/>
  <c r="J54" i="23"/>
  <c r="M25" i="21"/>
  <c r="C48" i="38"/>
  <c r="G48"/>
  <c r="E48" i="25"/>
  <c r="G48"/>
  <c r="G48" i="36"/>
  <c r="F48" i="38655"/>
  <c r="I48" i="26"/>
  <c r="C48" i="37"/>
  <c r="E48" i="35"/>
  <c r="C48" i="34"/>
  <c r="C48" i="9"/>
  <c r="C48" i="26"/>
  <c r="E48" i="34"/>
  <c r="I48" i="10"/>
  <c r="C48"/>
  <c r="G48" i="34"/>
  <c r="F48" i="26"/>
  <c r="C48" i="82"/>
  <c r="F48" i="9"/>
  <c r="E48" i="37"/>
  <c r="C48" i="25"/>
  <c r="E48" i="11"/>
  <c r="E48" i="36"/>
  <c r="E48" i="82"/>
  <c r="I48" i="25"/>
  <c r="C48" i="11"/>
  <c r="C48" i="35"/>
  <c r="H48" i="11"/>
  <c r="F48" i="10"/>
  <c r="I48" i="20"/>
  <c r="F48" i="38656"/>
  <c r="C48" i="36"/>
  <c r="C48" i="19"/>
  <c r="C48" i="27"/>
  <c r="C48" i="76" s="1"/>
  <c r="I48" i="9"/>
  <c r="F48" i="20"/>
  <c r="I48" i="54"/>
  <c r="C48" i="20"/>
  <c r="C48" i="8"/>
  <c r="C48" i="7"/>
  <c r="C48" i="54"/>
  <c r="C48" i="38656"/>
  <c r="F48" i="8"/>
  <c r="E48" i="19"/>
  <c r="I48" i="18"/>
  <c r="C48" i="38655"/>
  <c r="F48" i="54"/>
  <c r="I48" i="38655"/>
  <c r="C48" i="38661"/>
  <c r="C48" i="18"/>
  <c r="F48" i="76"/>
  <c r="H48" i="19"/>
  <c r="F48" i="18"/>
  <c r="D22" i="6"/>
  <c r="E22" s="1"/>
  <c r="C22" i="38648" s="1"/>
  <c r="E22" i="38667"/>
  <c r="D18" i="6"/>
  <c r="E18" s="1"/>
  <c r="C18" i="38648" s="1"/>
  <c r="E18" i="38667"/>
  <c r="D14" i="6"/>
  <c r="E14" s="1"/>
  <c r="C14" i="38648" s="1"/>
  <c r="E14" i="38667"/>
  <c r="J50" i="38659"/>
  <c r="G50"/>
  <c r="E39" i="38667"/>
  <c r="D39" i="6"/>
  <c r="E39" s="1"/>
  <c r="C39" i="38648" s="1"/>
  <c r="D38" i="6"/>
  <c r="E38" s="1"/>
  <c r="C38" i="38648" s="1"/>
  <c r="E38" i="38667"/>
  <c r="D44" i="6"/>
  <c r="E44" s="1"/>
  <c r="C44" i="38648" s="1"/>
  <c r="E44" i="38667"/>
  <c r="D37" i="6"/>
  <c r="E37" s="1"/>
  <c r="C37" i="38648" s="1"/>
  <c r="E37" i="38667"/>
  <c r="D27" i="6"/>
  <c r="E27" s="1"/>
  <c r="C27" i="38648" s="1"/>
  <c r="E27" i="38667"/>
  <c r="D29" i="6"/>
  <c r="E29" s="1"/>
  <c r="C29" i="38648" s="1"/>
  <c r="E29" i="38667"/>
  <c r="D36" i="6"/>
  <c r="E36" s="1"/>
  <c r="C36" i="38648" s="1"/>
  <c r="E36" i="38667"/>
  <c r="D45" i="6"/>
  <c r="E45" s="1"/>
  <c r="C45" i="38648" s="1"/>
  <c r="E45" i="38667"/>
  <c r="D12" i="6"/>
  <c r="E12" s="1"/>
  <c r="C12" i="38648" s="1"/>
  <c r="E12" i="38667"/>
  <c r="L11" i="42"/>
  <c r="D15" i="6"/>
  <c r="E15" s="1"/>
  <c r="C15" i="38648" s="1"/>
  <c r="E15" i="38667"/>
  <c r="D20" i="6"/>
  <c r="E20" s="1"/>
  <c r="C20" i="38648" s="1"/>
  <c r="E20" i="38667"/>
  <c r="D34" i="6"/>
  <c r="E34" s="1"/>
  <c r="C34" i="38648" s="1"/>
  <c r="E34" i="38667"/>
  <c r="D19" i="6"/>
  <c r="E19" s="1"/>
  <c r="C19" i="38648" s="1"/>
  <c r="E19" i="38667"/>
  <c r="F48" i="5"/>
  <c r="J48" i="42" l="1"/>
  <c r="E48" i="38"/>
  <c r="E48" i="38667"/>
  <c r="A62" i="43"/>
  <c r="A54" i="42"/>
  <c r="L19"/>
  <c r="D48" i="6"/>
  <c r="E48" s="1"/>
  <c r="C48" i="38648" s="1"/>
</calcChain>
</file>

<file path=xl/comments1.xml><?xml version="1.0" encoding="utf-8"?>
<comments xmlns="http://schemas.openxmlformats.org/spreadsheetml/2006/main">
  <authors>
    <author>GPizzaro</author>
  </authors>
  <commentList>
    <comment ref="J8" authorId="0">
      <text>
        <r>
          <rPr>
            <sz val="8"/>
            <color indexed="81"/>
            <rFont val="Tahoma"/>
            <family val="2"/>
          </rPr>
          <t>Portioned assessment come from W:\Edusfb\Total School Assessment\YYYY F assessment.</t>
        </r>
      </text>
    </comment>
    <comment ref="H16" authorId="0">
      <text>
        <r>
          <rPr>
            <sz val="8"/>
            <color indexed="81"/>
            <rFont val="Tahoma"/>
            <family val="2"/>
          </rPr>
          <t xml:space="preserve">
Take it from the folder</t>
        </r>
      </text>
    </comment>
  </commentList>
</comments>
</file>

<file path=xl/sharedStrings.xml><?xml version="1.0" encoding="utf-8"?>
<sst xmlns="http://schemas.openxmlformats.org/spreadsheetml/2006/main" count="3558" uniqueCount="764">
  <si>
    <t>REVENUE AND TRANSFERS</t>
  </si>
  <si>
    <t xml:space="preserve"> EXPENSE BY CATEGORY</t>
  </si>
  <si>
    <t xml:space="preserve">  REVENUE BY CATEGORY</t>
  </si>
  <si>
    <t>TANGIBLE CAPITAL ASSETS</t>
  </si>
  <si>
    <r>
      <t xml:space="preserve">INFORMATION SERVICES </t>
    </r>
    <r>
      <rPr>
        <b/>
        <vertAlign val="superscript"/>
        <sz val="10"/>
        <rFont val="Arial"/>
        <family val="2"/>
      </rPr>
      <t>(2)</t>
    </r>
  </si>
  <si>
    <r>
      <t xml:space="preserve">RESIDENT PUPIL </t>
    </r>
    <r>
      <rPr>
        <b/>
        <vertAlign val="superscript"/>
        <sz val="10"/>
        <rFont val="Arial"/>
        <family val="2"/>
      </rPr>
      <t>(1)</t>
    </r>
  </si>
  <si>
    <r>
      <t xml:space="preserve">SUPPORT </t>
    </r>
    <r>
      <rPr>
        <b/>
        <vertAlign val="superscript"/>
        <sz val="10"/>
        <rFont val="Arial"/>
        <family val="2"/>
      </rPr>
      <t>(1)</t>
    </r>
  </si>
  <si>
    <r>
      <t xml:space="preserve">NEEDS </t>
    </r>
    <r>
      <rPr>
        <b/>
        <vertAlign val="superscript"/>
        <sz val="10"/>
        <rFont val="Arial"/>
        <family val="2"/>
      </rPr>
      <t>(2)</t>
    </r>
  </si>
  <si>
    <r>
      <t xml:space="preserve">CATEGORICAL </t>
    </r>
    <r>
      <rPr>
        <b/>
        <vertAlign val="superscript"/>
        <sz val="10"/>
        <rFont val="Arial"/>
        <family val="2"/>
      </rPr>
      <t>(1)</t>
    </r>
  </si>
  <si>
    <t>(5)</t>
  </si>
  <si>
    <r>
      <t xml:space="preserve">FUNCTION 300 </t>
    </r>
    <r>
      <rPr>
        <b/>
        <vertAlign val="superscript"/>
        <sz val="10"/>
        <rFont val="Arial"/>
        <family val="2"/>
      </rPr>
      <t>(1)</t>
    </r>
  </si>
  <si>
    <t>PUPIL / EDUCATOR</t>
  </si>
  <si>
    <t>RATIO</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</si>
  <si>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</si>
  <si>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</si>
  <si>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</si>
  <si>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</si>
  <si>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</si>
  <si>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</si>
  <si>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</si>
  <si>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</si>
  <si>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</si>
  <si>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</si>
  <si>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ADMINISTRATION /</t>
  </si>
  <si>
    <t>CLINICAL AND</t>
  </si>
  <si>
    <t>BUSINESS AND</t>
  </si>
  <si>
    <t xml:space="preserve"> FUNCTION 400: COMMUNITY EDUCATION AND SERVICES</t>
  </si>
  <si>
    <t>INSTRUCTIONAL MGMT.</t>
  </si>
  <si>
    <t>MANAGEMENT</t>
  </si>
  <si>
    <t>PROFESSIONAL AND</t>
  </si>
  <si>
    <t>CURRICULUM CONSULTING</t>
  </si>
  <si>
    <t>COUNSELLING AND</t>
  </si>
  <si>
    <t xml:space="preserve"> FUNCTION 700: TRANSPORTATION OF PUPILS</t>
  </si>
  <si>
    <t xml:space="preserve"> FUNCTION 800: OPERATIONS AND MAINTENANCE</t>
  </si>
  <si>
    <t xml:space="preserve"> FUNCTION 900: FISCAL</t>
  </si>
  <si>
    <t>TECHNOLOGY</t>
  </si>
  <si>
    <t>TRANSPORTATION</t>
  </si>
  <si>
    <t>OPERATIONS AND</t>
  </si>
  <si>
    <t>REGULAR TRANSPORTATION</t>
  </si>
  <si>
    <t>ADMINISTRATION, REGULAR AND OTHER</t>
  </si>
  <si>
    <t>REPAIRS AND</t>
  </si>
  <si>
    <t>LESS</t>
  </si>
  <si>
    <t xml:space="preserve">TOTAL </t>
  </si>
  <si>
    <t>ADMINISTRATION</t>
  </si>
  <si>
    <t>ENGLISH LANGUAGE</t>
  </si>
  <si>
    <t>FRANÇAIS</t>
  </si>
  <si>
    <t>FRENCH IMMERSION</t>
  </si>
  <si>
    <t>COORDINATION</t>
  </si>
  <si>
    <t>RELATED SERVICES</t>
  </si>
  <si>
    <t>SUPPORT SERVICES</t>
  </si>
  <si>
    <t>COMMUNITY SERVICES</t>
  </si>
  <si>
    <t>BOARD OF TRUSTEES</t>
  </si>
  <si>
    <t>AND ADMINISTRATION</t>
  </si>
  <si>
    <t>ADMIN. SERVICES</t>
  </si>
  <si>
    <t>INFORMATION SERVICES</t>
  </si>
  <si>
    <t>STAFF DEVELOPMENT</t>
  </si>
  <si>
    <t>AND DEVELOPMENT</t>
  </si>
  <si>
    <t>OTHER</t>
  </si>
  <si>
    <t>ALLOWANCES IN LIEU</t>
  </si>
  <si>
    <t>BOARDING OF</t>
  </si>
  <si>
    <t>SCHOOL BUILDINGS</t>
  </si>
  <si>
    <t>REGULAR INSTRUCTION</t>
  </si>
  <si>
    <t>EXCEPTIONAL</t>
  </si>
  <si>
    <t>COMMUNITY EDUCATION</t>
  </si>
  <si>
    <t>OF PUPILS</t>
  </si>
  <si>
    <t>MAINTENANCE</t>
  </si>
  <si>
    <t>FISCAL</t>
  </si>
  <si>
    <t>TOTAL</t>
  </si>
  <si>
    <t>(PROGRAM 720)</t>
  </si>
  <si>
    <t>(PROGRAMS 710, 720 AND 790)</t>
  </si>
  <si>
    <t>REPLACEMENTS</t>
  </si>
  <si>
    <t>COMMUNITY</t>
  </si>
  <si>
    <t>EXPENDITURES</t>
  </si>
  <si>
    <t>PER</t>
  </si>
  <si>
    <t>&amp; RECREATION</t>
  </si>
  <si>
    <t>REGULAR</t>
  </si>
  <si>
    <t>OF TRANSPORTATION</t>
  </si>
  <si>
    <t>STUDENTS</t>
  </si>
  <si>
    <t>OTHER BUILDINGS</t>
  </si>
  <si>
    <t>GROUNDS</t>
  </si>
  <si>
    <t>DEBT SERVICES</t>
  </si>
  <si>
    <t>ENGLISH</t>
  </si>
  <si>
    <t>FRENCH</t>
  </si>
  <si>
    <t>NURSERY</t>
  </si>
  <si>
    <t xml:space="preserve">REGULAR </t>
  </si>
  <si>
    <t>TOTAL KM.</t>
  </si>
  <si>
    <t>COST</t>
  </si>
  <si>
    <t>LOADED</t>
  </si>
  <si>
    <t>COST PER</t>
  </si>
  <si>
    <t>EDUCATION</t>
  </si>
  <si>
    <t>FOR PER PUPIL</t>
  </si>
  <si>
    <t xml:space="preserve">    TRANSFERS BY FUNCTION</t>
  </si>
  <si>
    <t>AREA</t>
  </si>
  <si>
    <t xml:space="preserve"> DIVISION / DISTRICT</t>
  </si>
  <si>
    <t>AMOUNT</t>
  </si>
  <si>
    <t>%</t>
  </si>
  <si>
    <t>PUPIL</t>
  </si>
  <si>
    <t>LANGUAGE</t>
  </si>
  <si>
    <t>IMMERSION</t>
  </si>
  <si>
    <t>BILINGUAL</t>
  </si>
  <si>
    <t>PUPILS</t>
  </si>
  <si>
    <t>(ROUTES)</t>
  </si>
  <si>
    <t>PER KM.</t>
  </si>
  <si>
    <t>KM.</t>
  </si>
  <si>
    <t>(LOG BOOK)</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</si>
  <si>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</si>
  <si>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</si>
  <si>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</si>
  <si>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</si>
  <si>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</si>
  <si>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</si>
  <si>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</si>
  <si>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</si>
  <si>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</si>
  <si>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</si>
  <si>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</si>
  <si>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</si>
  <si>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</si>
  <si>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OTHER SCHOOL</t>
  </si>
  <si>
    <t>ORGANIZATIONS</t>
  </si>
  <si>
    <t>NON-PROVINCIAL</t>
  </si>
  <si>
    <t>OPERATING</t>
  </si>
  <si>
    <t>GOVERNMENTS</t>
  </si>
  <si>
    <t>URBAN</t>
  </si>
  <si>
    <t>FARM</t>
  </si>
  <si>
    <t>SPECIAL</t>
  </si>
  <si>
    <t>ASSESSMENT</t>
  </si>
  <si>
    <t>COUNSELLING</t>
  </si>
  <si>
    <t>LIBRARY</t>
  </si>
  <si>
    <t>PROFESSIONAL</t>
  </si>
  <si>
    <t>BASE</t>
  </si>
  <si>
    <t>CATEGORICAL</t>
  </si>
  <si>
    <t>PROGRAM</t>
  </si>
  <si>
    <t>PROVINCIAL</t>
  </si>
  <si>
    <t>FUND</t>
  </si>
  <si>
    <t>GOVERNMENT</t>
  </si>
  <si>
    <t>DIVISIONS</t>
  </si>
  <si>
    <t>FIRST NATIONS</t>
  </si>
  <si>
    <t>&amp; INDIVIDUALS</t>
  </si>
  <si>
    <t>REVENUE</t>
  </si>
  <si>
    <t>SCHOOL</t>
  </si>
  <si>
    <t>FIRST</t>
  </si>
  <si>
    <t>ORG.'S &amp;</t>
  </si>
  <si>
    <t>DEBT</t>
  </si>
  <si>
    <t>CAPITAL</t>
  </si>
  <si>
    <t>AND FARM</t>
  </si>
  <si>
    <t>LAND AND</t>
  </si>
  <si>
    <t>LEVY</t>
  </si>
  <si>
    <t>MINING</t>
  </si>
  <si>
    <t>SUPPORT</t>
  </si>
  <si>
    <t>OCCUPANCY</t>
  </si>
  <si>
    <t>AND GUIDANCE</t>
  </si>
  <si>
    <t>SERVICES</t>
  </si>
  <si>
    <t>DEVELOPMENT</t>
  </si>
  <si>
    <t>NATIONS</t>
  </si>
  <si>
    <t>INDIVIDUALS</t>
  </si>
  <si>
    <t>BUILDINGS</t>
  </si>
  <si>
    <t>EQUIPMENT</t>
  </si>
  <si>
    <t>RESIDENTIAL</t>
  </si>
  <si>
    <t xml:space="preserve">OTHER  </t>
  </si>
  <si>
    <t>SPECIAL LEVY</t>
  </si>
  <si>
    <t>OTHER DIVISIONS</t>
  </si>
  <si>
    <t>OBJECT</t>
  </si>
  <si>
    <t>EMPLOYEE</t>
  </si>
  <si>
    <t>SUPPLIES AND</t>
  </si>
  <si>
    <t>SALARIES</t>
  </si>
  <si>
    <t>BENEFITS</t>
  </si>
  <si>
    <t>MATERIALS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</si>
  <si>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</si>
  <si>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</si>
  <si>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</si>
  <si>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</si>
  <si>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</si>
  <si>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</si>
  <si>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</si>
  <si>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</si>
  <si>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</si>
  <si>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</si>
  <si>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NO. OF</t>
  </si>
  <si>
    <t>%  IN DUAL TRACK SCHOOLS</t>
  </si>
  <si>
    <t>F.T.E.</t>
  </si>
  <si>
    <t>SUPPLEMENTARY DATA FOR FRAME REPORT</t>
  </si>
  <si>
    <t>CHECK</t>
  </si>
  <si>
    <t>ENROLMENTS - HEADCOUNT, FRAME AND ELIGIBLE</t>
  </si>
  <si>
    <t>ENROLMENT</t>
  </si>
  <si>
    <t>PUPIL / TEACHER RATIOS</t>
  </si>
  <si>
    <t>INSURANCE</t>
  </si>
  <si>
    <t>EMPLOYEE BENEFITS</t>
  </si>
  <si>
    <t>SUPPLIES &amp; MATERIALS</t>
  </si>
  <si>
    <t>OPERATIONS &amp; MAINTENANCE</t>
  </si>
  <si>
    <t>INSTRUCTIONAL &amp; PUPIL SUPPORT SERVICES</t>
  </si>
  <si>
    <t>DIVISIONAL</t>
  </si>
  <si>
    <t>DIVISIONAL ADMINISTRATION</t>
  </si>
  <si>
    <t xml:space="preserve"> FUNCTION 500: DIVISIONAL ADMINISTRATION</t>
  </si>
  <si>
    <t>PRE-KINDERGARTEN</t>
  </si>
  <si>
    <t xml:space="preserve">N/A </t>
  </si>
  <si>
    <t>SENIOR YEARS</t>
  </si>
  <si>
    <t>EXPENDITURE</t>
  </si>
  <si>
    <t>(1)</t>
  </si>
  <si>
    <t>- 10 -</t>
  </si>
  <si>
    <t>TRANSPORTED</t>
  </si>
  <si>
    <t>CURRICULAR</t>
  </si>
  <si>
    <t>INFORMATION</t>
  </si>
  <si>
    <t>EARLY</t>
  </si>
  <si>
    <t>INTERVENTION</t>
  </si>
  <si>
    <t>PAGE 1 OF 5</t>
  </si>
  <si>
    <t>PAGE 2 OF 5</t>
  </si>
  <si>
    <t>PAGE 3 OF 5</t>
  </si>
  <si>
    <t>PAGE 4 OF 5</t>
  </si>
  <si>
    <t>PAGE 5 OF 5</t>
  </si>
  <si>
    <t>ABORIGINAL</t>
  </si>
  <si>
    <t>ACADEMIC</t>
  </si>
  <si>
    <t>PROGRAMS</t>
  </si>
  <si>
    <t>LITERACY</t>
  </si>
  <si>
    <t>(Grants-</t>
  </si>
  <si>
    <t>in-Lieu)</t>
  </si>
  <si>
    <t>AND SERVICES</t>
  </si>
  <si>
    <t>ADULT LEARNING</t>
  </si>
  <si>
    <t>ADULT LEARNING CENTRES</t>
  </si>
  <si>
    <t>ACHIEVEMENT</t>
  </si>
  <si>
    <t>AND OTHER</t>
  </si>
  <si>
    <t>- 13 -</t>
  </si>
  <si>
    <t>- 12 -</t>
  </si>
  <si>
    <t>SQ. FT. PER</t>
  </si>
  <si>
    <t>INSTRUCTIONAL</t>
  </si>
  <si>
    <t>SCHOOLS</t>
  </si>
  <si>
    <t>FUNDING OF</t>
  </si>
  <si>
    <t>FUNDING OF SCHOOLS PROGRAM (CONT'D)</t>
  </si>
  <si>
    <t>FUNDING OF SCHOOLS PROGRAM</t>
  </si>
  <si>
    <t>TOTAL FUNDING</t>
  </si>
  <si>
    <t>OF SCHOOLS</t>
  </si>
  <si>
    <t>TECHNOLOGY EDUCATION</t>
  </si>
  <si>
    <t>CONTINUING</t>
  </si>
  <si>
    <t>REPAIRS</t>
  </si>
  <si>
    <t>EQUALIZATION</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</si>
  <si>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</si>
  <si>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</si>
  <si>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</si>
  <si>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</si>
  <si>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</si>
  <si>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</si>
  <si>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</si>
  <si>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</si>
  <si>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</si>
  <si>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</si>
  <si>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</si>
  <si>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</si>
  <si>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</si>
  <si>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</si>
  <si>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</si>
  <si>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</si>
  <si>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</si>
  <si>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</si>
  <si>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</si>
  <si>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</si>
  <si>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</si>
  <si>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</si>
  <si>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</si>
  <si>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</si>
  <si>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</si>
  <si>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</si>
  <si>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</si>
  <si>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</si>
  <si>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</si>
  <si>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</si>
  <si>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</si>
  <si>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</si>
  <si>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</si>
  <si>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</si>
  <si>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</si>
  <si>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</si>
  <si>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</si>
  <si>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WPG. TECHNICAL COLLEGE</t>
  </si>
  <si>
    <t xml:space="preserve"> D.S.F.M.</t>
  </si>
  <si>
    <t>MEDIA CENTRE</t>
  </si>
  <si>
    <t>FIELD TRIPS</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</si>
  <si>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</si>
  <si>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</si>
  <si>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</si>
  <si>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</si>
  <si>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</si>
  <si>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</si>
  <si>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</si>
  <si>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</si>
  <si>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</si>
  <si>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</si>
  <si>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</si>
  <si>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</si>
  <si>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</si>
  <si>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</si>
  <si>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</si>
  <si>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</si>
  <si>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</si>
  <si>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</si>
  <si>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</si>
  <si>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</si>
  <si>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</si>
  <si>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</si>
  <si>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</si>
  <si>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</si>
  <si>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</si>
  <si>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</si>
  <si>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</si>
  <si>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</si>
  <si>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</si>
  <si>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</si>
  <si>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</si>
  <si>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</si>
  <si>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</si>
  <si>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</si>
  <si>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</si>
  <si>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</si>
  <si>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</si>
  <si>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</si>
  <si>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</si>
  <si>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</si>
  <si>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</si>
  <si>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CENTRES</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</si>
  <si>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</si>
  <si>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</si>
  <si>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</si>
  <si>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</si>
  <si>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</si>
  <si>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</si>
  <si>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</si>
  <si>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</si>
  <si>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</si>
  <si>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</si>
  <si>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</si>
  <si>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</si>
  <si>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</si>
  <si>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</si>
  <si>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</si>
  <si>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</si>
  <si>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</si>
  <si>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</si>
  <si>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</si>
  <si>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</si>
  <si>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</si>
  <si>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</si>
  <si>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</si>
  <si>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</si>
  <si>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</si>
  <si>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</si>
  <si>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</si>
  <si>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</si>
  <si>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</si>
  <si>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</si>
  <si>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</si>
  <si>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</si>
  <si>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</si>
  <si>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LIBRARY /</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</si>
  <si>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</si>
  <si>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</si>
  <si>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</si>
  <si>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</si>
  <si>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</si>
  <si>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</si>
  <si>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</si>
  <si>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</si>
  <si>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</si>
  <si>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MILL RATE</t>
  </si>
  <si>
    <t>PER RESIDENT</t>
  </si>
  <si>
    <t>STATISTICAL SUMMARY</t>
  </si>
  <si>
    <t>AND DEVELOPMENT ADMIN.</t>
  </si>
  <si>
    <t>LESS:</t>
  </si>
  <si>
    <t>LIABILITY</t>
  </si>
  <si>
    <t>CURRICULUM</t>
  </si>
  <si>
    <t>CONSULTING /</t>
  </si>
  <si>
    <t>OPERATIONS &amp;</t>
  </si>
  <si>
    <t xml:space="preserve"> &amp; ADMIN.</t>
  </si>
  <si>
    <t>PORTION OF</t>
  </si>
  <si>
    <t>FUNCTION 500</t>
  </si>
  <si>
    <t>PROGRAM 605</t>
  </si>
  <si>
    <t>PROGRAM 710</t>
  </si>
  <si>
    <t>PROGRAM 810</t>
  </si>
  <si>
    <t>SELF-FUNDED</t>
  </si>
  <si>
    <t>ADMIN.</t>
  </si>
  <si>
    <t>(3)</t>
  </si>
  <si>
    <t>(4)</t>
  </si>
  <si>
    <t>CALCULATION OF EXPENDITURE BASE AND ADMINISTRATION PERCENTAGE</t>
  </si>
  <si>
    <t>PLUS</t>
  </si>
  <si>
    <t>LESS ADULT</t>
  </si>
  <si>
    <t>TO</t>
  </si>
  <si>
    <t>LEARNING</t>
  </si>
  <si>
    <t>ADJUSTED</t>
  </si>
  <si>
    <t>AS % OF</t>
  </si>
  <si>
    <t>(from page 3)</t>
  </si>
  <si>
    <t>ADMIN. COSTS</t>
  </si>
  <si>
    <r>
      <t xml:space="preserve">EXPENSES </t>
    </r>
    <r>
      <rPr>
        <b/>
        <vertAlign val="superscript"/>
        <sz val="10"/>
        <rFont val="Arial"/>
        <family val="2"/>
      </rPr>
      <t>(1)</t>
    </r>
  </si>
  <si>
    <r>
      <t xml:space="preserve">TRANSFERS </t>
    </r>
    <r>
      <rPr>
        <b/>
        <vertAlign val="superscript"/>
        <sz val="10"/>
        <rFont val="Arial"/>
        <family val="2"/>
      </rPr>
      <t>(2)</t>
    </r>
  </si>
  <si>
    <r>
      <t xml:space="preserve">&amp; SERVICES </t>
    </r>
    <r>
      <rPr>
        <b/>
        <vertAlign val="superscript"/>
        <sz val="10"/>
        <rFont val="Arial"/>
        <family val="2"/>
      </rPr>
      <t>(4)</t>
    </r>
  </si>
  <si>
    <r>
      <t xml:space="preserve">COSTS </t>
    </r>
    <r>
      <rPr>
        <b/>
        <vertAlign val="superscript"/>
        <sz val="10"/>
        <rFont val="Arial"/>
        <family val="2"/>
      </rPr>
      <t>(5)</t>
    </r>
  </si>
  <si>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</si>
  <si>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</si>
  <si>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</si>
  <si>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</si>
  <si>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</si>
  <si>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</si>
  <si>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INSTRUCTION </t>
    </r>
    <r>
      <rPr>
        <b/>
        <vertAlign val="superscript"/>
        <sz val="10"/>
        <rFont val="Arial"/>
        <family val="2"/>
      </rPr>
      <t>(1)</t>
    </r>
  </si>
  <si>
    <r>
      <t xml:space="preserve">EDUCATOR </t>
    </r>
    <r>
      <rPr>
        <b/>
        <vertAlign val="superscript"/>
        <sz val="10"/>
        <rFont val="Arial"/>
        <family val="2"/>
      </rPr>
      <t>(2)</t>
    </r>
  </si>
  <si>
    <r>
      <t>(2)</t>
    </r>
    <r>
      <rPr>
        <sz val="9"/>
        <rFont val="Arial"/>
        <family val="2"/>
      </rPr>
      <t xml:space="preserve">  The total number of pupils enrolled in schools adjusted for full time equivalence (F.T.E.).  Full time equivalent means pupils are counted on the</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</si>
  <si>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</si>
  <si>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</si>
  <si>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</si>
  <si>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GIFTED EDUCATION </t>
    </r>
    <r>
      <rPr>
        <b/>
        <vertAlign val="superscript"/>
        <sz val="10"/>
        <rFont val="Arial"/>
        <family val="2"/>
      </rPr>
      <t>(1)</t>
    </r>
  </si>
  <si>
    <r>
      <t xml:space="preserve">SQ. FT. </t>
    </r>
    <r>
      <rPr>
        <b/>
        <vertAlign val="superscript"/>
        <sz val="10"/>
        <rFont val="Arial"/>
        <family val="2"/>
      </rPr>
      <t>(1)</t>
    </r>
  </si>
  <si>
    <r>
      <t xml:space="preserve">PUPIL </t>
    </r>
    <r>
      <rPr>
        <b/>
        <vertAlign val="superscript"/>
        <sz val="10"/>
        <rFont val="Arial"/>
        <family val="2"/>
      </rPr>
      <t>(2)</t>
    </r>
  </si>
  <si>
    <t xml:space="preserve">      400 (Community Education and Services).</t>
  </si>
  <si>
    <r>
      <t xml:space="preserve">PROVINCIAL </t>
    </r>
    <r>
      <rPr>
        <b/>
        <vertAlign val="superscript"/>
        <sz val="10"/>
        <rFont val="Arial"/>
        <family val="2"/>
      </rPr>
      <t>(1)</t>
    </r>
  </si>
  <si>
    <t>FOR ADULTS</t>
  </si>
  <si>
    <r>
      <t xml:space="preserve">PER PUPIL </t>
    </r>
    <r>
      <rPr>
        <b/>
        <vertAlign val="superscript"/>
        <sz val="10"/>
        <rFont val="Arial"/>
        <family val="2"/>
      </rPr>
      <t>(1)</t>
    </r>
  </si>
  <si>
    <t>PROPERTY</t>
  </si>
  <si>
    <r>
      <t xml:space="preserve">PROGRAM </t>
    </r>
    <r>
      <rPr>
        <b/>
        <vertAlign val="superscript"/>
        <sz val="9"/>
        <rFont val="Arial"/>
        <family val="2"/>
      </rPr>
      <t>(1)</t>
    </r>
  </si>
  <si>
    <r>
      <t xml:space="preserve">TAX CREDIT </t>
    </r>
    <r>
      <rPr>
        <b/>
        <vertAlign val="superscript"/>
        <sz val="9"/>
        <rFont val="Arial"/>
        <family val="2"/>
      </rPr>
      <t>(2)</t>
    </r>
  </si>
  <si>
    <r>
      <t xml:space="preserve">REVENUE </t>
    </r>
    <r>
      <rPr>
        <b/>
        <vertAlign val="superscript"/>
        <sz val="9"/>
        <rFont val="Arial"/>
        <family val="2"/>
      </rPr>
      <t>(4)</t>
    </r>
  </si>
  <si>
    <r>
      <t xml:space="preserve">REVENUE </t>
    </r>
    <r>
      <rPr>
        <b/>
        <vertAlign val="superscript"/>
        <sz val="9"/>
        <rFont val="Arial"/>
        <family val="2"/>
      </rPr>
      <t>(5)</t>
    </r>
  </si>
  <si>
    <t xml:space="preserve"> WPG. TECH. COLLEGE</t>
  </si>
  <si>
    <t xml:space="preserve">      International Baccalaureate and Advanced Placement classes.</t>
  </si>
  <si>
    <t>K-12</t>
  </si>
  <si>
    <t>K-12  F.T.E.</t>
  </si>
  <si>
    <t>NON K-12</t>
  </si>
  <si>
    <r>
      <t xml:space="preserve">LEVY </t>
    </r>
    <r>
      <rPr>
        <b/>
        <vertAlign val="superscript"/>
        <sz val="10"/>
        <rFont val="Arial"/>
        <family val="2"/>
      </rPr>
      <t>(1)</t>
    </r>
  </si>
  <si>
    <r>
      <t xml:space="preserve">MILL RATE </t>
    </r>
    <r>
      <rPr>
        <b/>
        <vertAlign val="superscript"/>
        <sz val="10"/>
        <rFont val="Arial"/>
        <family val="2"/>
      </rPr>
      <t>(2)</t>
    </r>
  </si>
  <si>
    <t>ADDITIONAL</t>
  </si>
  <si>
    <r>
      <t xml:space="preserve">SUPPORT </t>
    </r>
    <r>
      <rPr>
        <b/>
        <vertAlign val="superscript"/>
        <sz val="9"/>
        <rFont val="Arial"/>
        <family val="2"/>
      </rPr>
      <t>(1)</t>
    </r>
  </si>
  <si>
    <r>
      <t xml:space="preserve">SUPPORT </t>
    </r>
    <r>
      <rPr>
        <b/>
        <vertAlign val="superscript"/>
        <sz val="9"/>
        <rFont val="Arial"/>
        <family val="2"/>
      </rPr>
      <t>(2)</t>
    </r>
  </si>
  <si>
    <t xml:space="preserve">  PROPERTY TAXES</t>
  </si>
  <si>
    <t xml:space="preserve"> FUNCTION 200: STUDENT SUPPORT SERVICES</t>
  </si>
  <si>
    <t>STUDENT SUPPORT</t>
  </si>
  <si>
    <t>INSTRUCTIONAL &amp; OTHER</t>
  </si>
  <si>
    <t xml:space="preserve"> FUNCTION 600: INSTRUCTIONAL &amp; OTHER SUPPORT SERVICES</t>
  </si>
  <si>
    <t>N-12</t>
  </si>
  <si>
    <t>STUDENT</t>
  </si>
  <si>
    <t>CHILDHOOD</t>
  </si>
  <si>
    <t>ENGLISH AS AN</t>
  </si>
  <si>
    <t>PLACEMENT</t>
  </si>
  <si>
    <t>PAGE 6 OF 17</t>
  </si>
  <si>
    <t>PAGE 1 OF 17</t>
  </si>
  <si>
    <t>PAGE 16 OF 17</t>
  </si>
  <si>
    <t>PAGE 15 OF 17</t>
  </si>
  <si>
    <t>PAGE 14 OF 17</t>
  </si>
  <si>
    <t>PAGE 13 OF 17</t>
  </si>
  <si>
    <t>PAGE 12 OF 17</t>
  </si>
  <si>
    <t>PAGE 11 OF 17</t>
  </si>
  <si>
    <t>PAGE 10 OF 17</t>
  </si>
  <si>
    <t>PAGE 9 OF 17</t>
  </si>
  <si>
    <t>PAGE 8 OF 17</t>
  </si>
  <si>
    <t>PAGE 7 OF 17</t>
  </si>
  <si>
    <t>PAGE 5 OF 17</t>
  </si>
  <si>
    <t>PAGE 4 OF 17</t>
  </si>
  <si>
    <t>PAGE 3 OF 17</t>
  </si>
  <si>
    <t>PAGE 2 OF 17</t>
  </si>
  <si>
    <t>PAGE 17 OF 17</t>
  </si>
  <si>
    <t>INTEREST AND</t>
  </si>
  <si>
    <t>BANK CHARGES</t>
  </si>
  <si>
    <t>BAD</t>
  </si>
  <si>
    <t>PORTIONED</t>
  </si>
  <si>
    <t xml:space="preserve"> SUPPORT LEVY</t>
  </si>
  <si>
    <t>TOTAL DEFINED ADMINISTRATION EXPENSES</t>
  </si>
  <si>
    <t>RECONCILIATION  OF  EXPENSES</t>
  </si>
  <si>
    <r>
      <t xml:space="preserve">EXPENSES </t>
    </r>
    <r>
      <rPr>
        <b/>
        <vertAlign val="superscript"/>
        <sz val="10"/>
        <rFont val="Arial"/>
        <family val="2"/>
      </rPr>
      <t>(1)</t>
    </r>
    <r>
      <rPr>
        <sz val="9"/>
        <color indexed="9"/>
        <rFont val="Arial"/>
        <family val="2"/>
      </rPr>
      <t>X</t>
    </r>
  </si>
  <si>
    <t>ACCUMULATED</t>
  </si>
  <si>
    <t>CLOSING</t>
  </si>
  <si>
    <t>SURPLUS /</t>
  </si>
  <si>
    <t>EQUITY</t>
  </si>
  <si>
    <t>PAGE 1 OF 4</t>
  </si>
  <si>
    <t>PAGE 3 OF 4</t>
  </si>
  <si>
    <t>PAGE 2 OF 4</t>
  </si>
  <si>
    <t>PAGE 4 OF 4</t>
  </si>
  <si>
    <t>EXPENSE BY FUNCTION AND OBJECT</t>
  </si>
  <si>
    <t>EXPENSE BY 2ND LEVEL OBJECT</t>
  </si>
  <si>
    <t>AS A PERCENTAGE OF TOTAL OPERATING FUND EXPENSES</t>
  </si>
  <si>
    <t>STUDENT SUPPORT SERVICES</t>
  </si>
  <si>
    <r>
      <t xml:space="preserve">OF TRANFERS </t>
    </r>
    <r>
      <rPr>
        <b/>
        <vertAlign val="superscript"/>
        <sz val="10"/>
        <rFont val="Arial"/>
        <family val="2"/>
      </rPr>
      <t>(3)</t>
    </r>
  </si>
  <si>
    <t>EXPENSES NET</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</si>
  <si>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</si>
  <si>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</si>
  <si>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</si>
  <si>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</si>
  <si>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</si>
  <si>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</si>
  <si>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</si>
  <si>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RESERVE</t>
  </si>
  <si>
    <t>COMPRISED OF:</t>
  </si>
  <si>
    <t>EQUITY IN</t>
  </si>
  <si>
    <t>TANGIBLE</t>
  </si>
  <si>
    <t>GENERATED</t>
  </si>
  <si>
    <t>FUNDS</t>
  </si>
  <si>
    <t>BAD DEBT</t>
  </si>
  <si>
    <t>EXPENSE</t>
  </si>
  <si>
    <r>
      <t xml:space="preserve">  RECHARGE </t>
    </r>
    <r>
      <rPr>
        <vertAlign val="superscript"/>
        <sz val="9"/>
        <rFont val="Arial"/>
        <family val="2"/>
      </rPr>
      <t>(1)</t>
    </r>
  </si>
  <si>
    <t xml:space="preserve">  BAD DEBT EXPENSE</t>
  </si>
  <si>
    <r>
      <t xml:space="preserve">GOVERNMENT </t>
    </r>
    <r>
      <rPr>
        <b/>
        <vertAlign val="superscript"/>
        <sz val="10"/>
        <rFont val="Arial"/>
        <family val="2"/>
      </rPr>
      <t>(1)</t>
    </r>
  </si>
  <si>
    <r>
      <t xml:space="preserve">SOURCES </t>
    </r>
    <r>
      <rPr>
        <b/>
        <vertAlign val="superscript"/>
        <sz val="10"/>
        <rFont val="Arial"/>
        <family val="2"/>
      </rPr>
      <t>(2)</t>
    </r>
  </si>
  <si>
    <r>
      <t xml:space="preserve">LAND </t>
    </r>
    <r>
      <rPr>
        <b/>
        <vertAlign val="superscript"/>
        <sz val="10"/>
        <rFont val="Arial"/>
        <family val="2"/>
      </rPr>
      <t>(1)</t>
    </r>
  </si>
  <si>
    <r>
      <t xml:space="preserve">ASSETS </t>
    </r>
    <r>
      <rPr>
        <b/>
        <vertAlign val="superscript"/>
        <sz val="10"/>
        <rFont val="Arial"/>
        <family val="2"/>
      </rPr>
      <t>(1)</t>
    </r>
  </si>
  <si>
    <r>
      <t xml:space="preserve">ACCOUNTS </t>
    </r>
    <r>
      <rPr>
        <b/>
        <vertAlign val="superscript"/>
        <sz val="10"/>
        <rFont val="Arial"/>
        <family val="2"/>
      </rPr>
      <t>(2)</t>
    </r>
  </si>
  <si>
    <t xml:space="preserve">  ACCUMULATED SURPLUS / EQUITY</t>
  </si>
  <si>
    <r>
      <t xml:space="preserve">AMORTIZATION </t>
    </r>
    <r>
      <rPr>
        <b/>
        <vertAlign val="superscript"/>
        <sz val="9"/>
        <rFont val="Arial"/>
        <family val="2"/>
      </rPr>
      <t>(1)</t>
    </r>
  </si>
  <si>
    <r>
      <t xml:space="preserve">INTEREST </t>
    </r>
    <r>
      <rPr>
        <b/>
        <vertAlign val="superscript"/>
        <sz val="9"/>
        <rFont val="Arial"/>
        <family val="2"/>
      </rPr>
      <t>(2)</t>
    </r>
  </si>
  <si>
    <r>
      <t>GOVERNMENT</t>
    </r>
    <r>
      <rPr>
        <b/>
        <vertAlign val="superscript"/>
        <sz val="9"/>
        <rFont val="Arial"/>
        <family val="2"/>
      </rPr>
      <t xml:space="preserve"> (1)</t>
    </r>
  </si>
  <si>
    <t xml:space="preserve">      and liabilities.</t>
  </si>
  <si>
    <t>HEALTH AND</t>
  </si>
  <si>
    <t>EDUCATION LEVY</t>
  </si>
  <si>
    <r>
      <t>EQUIPMENT</t>
    </r>
    <r>
      <rPr>
        <b/>
        <vertAlign val="superscript"/>
        <sz val="10"/>
        <rFont val="Arial"/>
        <family val="2"/>
      </rPr>
      <t xml:space="preserve"> (2)</t>
    </r>
  </si>
  <si>
    <t>NET TRANSFERS</t>
  </si>
  <si>
    <t>FURNITURE /</t>
  </si>
  <si>
    <t>COMPUTER</t>
  </si>
  <si>
    <t>FIXTURES &amp;</t>
  </si>
  <si>
    <t>HARDWARE &amp;</t>
  </si>
  <si>
    <t>TO / (FROM)</t>
  </si>
  <si>
    <t xml:space="preserve">  FISCAL YEAR ADDITIONS TO TANGIBLE CAPITAL ASSETS</t>
  </si>
  <si>
    <t xml:space="preserve">TAX  </t>
  </si>
  <si>
    <t>INCENTIVE</t>
  </si>
  <si>
    <r>
      <t xml:space="preserve">REVENUE </t>
    </r>
    <r>
      <rPr>
        <b/>
        <vertAlign val="superscript"/>
        <sz val="9"/>
        <rFont val="Arial"/>
        <family val="2"/>
      </rPr>
      <t>(6)</t>
    </r>
  </si>
  <si>
    <t>UNDESIGNATED</t>
  </si>
  <si>
    <t>Health and Education Levy</t>
  </si>
  <si>
    <t>GUIDANCE</t>
  </si>
  <si>
    <t>Dates</t>
  </si>
  <si>
    <t>September 30,</t>
  </si>
  <si>
    <r>
      <t xml:space="preserve">ADMINISTRATION EXPENSES </t>
    </r>
    <r>
      <rPr>
        <b/>
        <vertAlign val="superscript"/>
        <sz val="10"/>
        <rFont val="Arial"/>
        <family val="2"/>
      </rPr>
      <t>(1)</t>
    </r>
    <r>
      <rPr>
        <b/>
        <sz val="9"/>
        <rFont val="Arial"/>
        <family val="2"/>
      </rPr>
      <t xml:space="preserve"> </t>
    </r>
  </si>
  <si>
    <t>ADDITIONAL LANGUAGE</t>
  </si>
  <si>
    <r>
      <t xml:space="preserve">OTHER  </t>
    </r>
    <r>
      <rPr>
        <b/>
        <vertAlign val="superscript"/>
        <sz val="9"/>
        <rFont val="Arial"/>
        <family val="2"/>
      </rPr>
      <t>(1)</t>
    </r>
  </si>
  <si>
    <t xml:space="preserve">       leasehold improvements and assets under construction.</t>
  </si>
  <si>
    <r>
      <t>SERVICES</t>
    </r>
    <r>
      <rPr>
        <b/>
        <vertAlign val="superscript"/>
        <sz val="9"/>
        <rFont val="Arial"/>
        <family val="2"/>
      </rPr>
      <t xml:space="preserve"> (1)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</si>
  <si>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</si>
  <si>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</si>
  <si>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</si>
  <si>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ITEMS</t>
  </si>
  <si>
    <t>(1)  Support for Function 200 Student Support Services expenses less Counselling and Guidance and Categorical support for Special Needs.</t>
  </si>
  <si>
    <t>FORMULA</t>
  </si>
  <si>
    <t xml:space="preserve"> RESOURCE</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</si>
  <si>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</si>
  <si>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</si>
  <si>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</si>
  <si>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</si>
  <si>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</si>
  <si>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</si>
  <si>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</si>
  <si>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</si>
  <si>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</si>
  <si>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</si>
  <si>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</si>
  <si>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</si>
  <si>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</si>
  <si>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</si>
  <si>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</si>
  <si>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</si>
  <si>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</si>
  <si>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</si>
  <si>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</si>
  <si>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</si>
  <si>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</si>
  <si>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</si>
  <si>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</si>
  <si>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</si>
  <si>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</si>
  <si>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</si>
  <si>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</si>
  <si>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</si>
  <si>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</si>
  <si>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</si>
  <si>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</si>
  <si>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</si>
  <si>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</si>
  <si>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</si>
  <si>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</si>
  <si>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</si>
  <si>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</si>
  <si>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</si>
  <si>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</si>
  <si>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</si>
  <si>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</si>
  <si>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W.T.C.</t>
  </si>
  <si>
    <t>DIRECT SUPPORT TO PUPILS</t>
  </si>
  <si>
    <t>DIRECT SUPPORT</t>
  </si>
  <si>
    <t>TO PUPILS</t>
  </si>
  <si>
    <t>PER PUPIL</t>
  </si>
  <si>
    <t>(1) Total of Regular Instruction, Student Support Services and Instructional and Other Support Services. See pages 15 and 16</t>
  </si>
  <si>
    <r>
      <t xml:space="preserve"> </t>
    </r>
    <r>
      <rPr>
        <sz val="9"/>
        <rFont val="Arial"/>
        <family val="2"/>
      </rPr>
      <t xml:space="preserve">      for details.</t>
    </r>
  </si>
  <si>
    <t xml:space="preserve">      to the school divisions' financial statements.</t>
  </si>
  <si>
    <t xml:space="preserve">      page 3 for Total Expenses.</t>
  </si>
  <si>
    <t>NET SPECIAL LEVY</t>
  </si>
  <si>
    <t>GROSS SPECIAL</t>
  </si>
  <si>
    <t>TAX INCENTIVE</t>
  </si>
  <si>
    <t>NET SPECIAL</t>
  </si>
  <si>
    <r>
      <t>GRANT</t>
    </r>
    <r>
      <rPr>
        <b/>
        <vertAlign val="superscript"/>
        <sz val="9"/>
        <rFont val="Arial"/>
        <family val="2"/>
      </rPr>
      <t xml:space="preserve"> (1)</t>
    </r>
  </si>
  <si>
    <t xml:space="preserve">      </t>
  </si>
  <si>
    <t>CurrY</t>
  </si>
  <si>
    <t>PrevY</t>
  </si>
  <si>
    <r>
      <t xml:space="preserve">REGULAR INSTRUCTION </t>
    </r>
    <r>
      <rPr>
        <b/>
        <vertAlign val="superscript"/>
        <sz val="9"/>
        <rFont val="Arial"/>
        <family val="2"/>
      </rPr>
      <t>(1)</t>
    </r>
  </si>
  <si>
    <t xml:space="preserve">       information.</t>
  </si>
  <si>
    <t xml:space="preserve">       Learning Centres on page 15 owing to the inclusion of operating transfers for the purpose of calculating administration costs.</t>
  </si>
  <si>
    <t xml:space="preserve">       per pupil costs.</t>
  </si>
  <si>
    <t xml:space="preserve">       page 42 for EPTC revenue.</t>
  </si>
  <si>
    <t xml:space="preserve">      division for more information. Does not include costs related to generalized enrichment activities undertaken by school divisions, or</t>
  </si>
  <si>
    <t>(1)  For a definition of Adult Learning Centres, see expense definitions, page iii.  Expenses shown here may differ from those shown for Adult</t>
  </si>
  <si>
    <t>(1)  From page 4 (for more information, see page 4).</t>
  </si>
  <si>
    <t>(2)  From page 9 (for more information, see page 9).</t>
  </si>
  <si>
    <t>(1)  School divisions are required to limit the proportion of the budget spent on administration expenditures in defined categories to 4% (urban school</t>
  </si>
  <si>
    <t>(3)  Administration, supervision and coordination of Curriculum Consulting and Development (Function 600, Program 605).</t>
  </si>
  <si>
    <t>(1)  90% or more of Regular Instruction enrolment is in one language program.</t>
  </si>
  <si>
    <t>(2)  No one language program comprises 90% or more of Regular Instruction enrolment.</t>
  </si>
  <si>
    <t>(1)  Operating fund transfers (i.e. payments to other school divisions, organizations and individuals) are excluded to provide more accurate per pupil</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</si>
  <si>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</si>
  <si>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</si>
  <si>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</si>
  <si>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</si>
  <si>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(2)  Based on total instructional-teaching (excluding Community Education and Adult Learning Centres) as well as school-based administrative</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</si>
  <si>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</si>
  <si>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</si>
  <si>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</si>
  <si>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</si>
  <si>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</si>
  <si>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Function 400 (Community Education and Services)</t>
  </si>
  <si>
    <t>(2)  Capitalized Information Technology equipment is reported on page 49.</t>
  </si>
  <si>
    <t>(1)  Excludes information technology expenses in Function 300 (Adult Learning Centres) and Function 400 (Community Education and Services).</t>
  </si>
  <si>
    <t>(2)  Total Management Information Services expenses in Function 500 (from page 27).</t>
  </si>
  <si>
    <t>(1)  The portion shown here is comprised of operating support only. The total provincial contribution to K-12 public school education, which also</t>
  </si>
  <si>
    <t>(1)  See appendix for more detail.</t>
  </si>
  <si>
    <t>(5)  Includes revenue from other provincial government departments.</t>
  </si>
  <si>
    <t>(1)  Includes amortization of capital assets over their useful lives as defined in section 8 of the FRAME Manual - available on the Internet at:</t>
  </si>
  <si>
    <t>(1)  Comprised of principal and interest payments for debentures issued to finance asset additions.</t>
  </si>
  <si>
    <t>(2)  Includes other governments, investment income, donations and gain/(loss) on disposal of capital assets. .</t>
  </si>
  <si>
    <t>(1)  Residual interest (accounting value) in all tangible capital assets (i.e. land, buildings, vehicles and equipment) net of accumulated amortization</t>
  </si>
  <si>
    <t>(2)  Internally restricted and held for future capital expense purposes.</t>
  </si>
  <si>
    <t>(1)  Land and improvements.</t>
  </si>
  <si>
    <t>(3)  For information technology equipment purchased in Operating Fund, see page 38.</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</si>
  <si>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</si>
  <si>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</si>
  <si>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</si>
  <si>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</si>
  <si>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transfers for the purpose of calculating administration costs.</t>
  </si>
  <si>
    <t xml:space="preserve">       are exempt from these limits and are not reflected in the above totals. The defined administration categories exclude administration at the school</t>
  </si>
  <si>
    <t xml:space="preserve">(2)  Comprised of school and other building new construction and betterments financed primarily through debenture debt. Includes </t>
  </si>
  <si>
    <t xml:space="preserve"> DSFM</t>
  </si>
  <si>
    <t>(1)  Assessment per resident pupil is based on total portioned assessment adjusted for allocations to the DSFM and corresponds to data provided</t>
  </si>
  <si>
    <t xml:space="preserve">      mining properties. DSFM assessment per resident pupil is derived on a pro rata basis according to enrolment within DSFM boundaries.</t>
  </si>
  <si>
    <t xml:space="preserve">       divisions), 4.5% (rural school divisions) and 5.0% (northern school divisions).  Frontier School Division, DSFM and the Winnipeg Technical College</t>
  </si>
  <si>
    <t>DSFM</t>
  </si>
  <si>
    <t xml:space="preserve">       basis of time attending school - eg. Kindergarten as 1/2.  This total is the same as reported on page 7.</t>
  </si>
  <si>
    <t xml:space="preserve">       Revenue District includes out-of-district pupils.</t>
  </si>
  <si>
    <t xml:space="preserve">       and form part of Total Information Technology Expenses.</t>
  </si>
  <si>
    <t>(2)  Effective with the 2005 tax year, the Resident Homeowner Advance portion of the Manitoba Education Property Tax Credit (EPTC) is provided directly to</t>
  </si>
  <si>
    <t xml:space="preserve">       school divisions as revenue from the Province of Manitoba to more accurately reflect the amount of provincial funding provided in support of education. </t>
  </si>
  <si>
    <t>PHYSICAL</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</si>
  <si>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</si>
  <si>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</si>
  <si>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t>(4)  Administration of Pupil Transportation.  For a definition of Transportation of Pupils, see expense definitions, page iii.</t>
  </si>
  <si>
    <t>(5)  Administration of Operations and Maintenance.  For a definition of Operations and Maintenance, see expense definitions, page iii.</t>
  </si>
  <si>
    <t xml:space="preserve">       provides an analysis of the defined administration expenditures as a percentage of the adjusted operating expenditure base.  Expenditures shown</t>
  </si>
  <si>
    <r>
      <t xml:space="preserve">PLACEMENT </t>
    </r>
    <r>
      <rPr>
        <b/>
        <vertAlign val="superscript"/>
        <sz val="9"/>
        <rFont val="Arial"/>
        <family val="2"/>
      </rPr>
      <t>(1)</t>
    </r>
  </si>
  <si>
    <r>
      <t xml:space="preserve">GRANT </t>
    </r>
    <r>
      <rPr>
        <b/>
        <vertAlign val="superscript"/>
        <sz val="9"/>
        <rFont val="Arial"/>
        <family val="2"/>
      </rPr>
      <t>(3)</t>
    </r>
  </si>
  <si>
    <r>
      <t>SOFTWARE</t>
    </r>
    <r>
      <rPr>
        <b/>
        <vertAlign val="superscript"/>
        <sz val="10"/>
        <rFont val="Arial"/>
        <family val="2"/>
      </rPr>
      <t xml:space="preserve"> (3)</t>
    </r>
  </si>
  <si>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</si>
  <si>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</si>
  <si>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</si>
  <si>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</si>
  <si>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</si>
  <si>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</si>
  <si>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FUNCTIONS 100 + 200 + 600</t>
    </r>
    <r>
      <rPr>
        <b/>
        <vertAlign val="superscript"/>
        <sz val="9"/>
        <rFont val="Arial"/>
        <family val="2"/>
      </rPr>
      <t xml:space="preserve"> (1)</t>
    </r>
  </si>
  <si>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</si>
  <si>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</si>
  <si>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</si>
  <si>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</si>
  <si>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</si>
  <si>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</si>
  <si>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 xml:space="preserve">      the school has authority to make decisions as to when, how, and on what the funds are to be spent (e.g. Parent council and student</t>
  </si>
  <si>
    <t>(1) The Special Purpose Fund reports school generated funds and controlled charitable foundations. School generated funds are those funds which</t>
  </si>
  <si>
    <t xml:space="preserve">      council funds are not included).  </t>
  </si>
  <si>
    <t>SCHOOL GENERATED FUNDS</t>
  </si>
  <si>
    <t>TOTAL SCHOOL</t>
  </si>
  <si>
    <r>
      <t xml:space="preserve">LIABILITY </t>
    </r>
    <r>
      <rPr>
        <b/>
        <vertAlign val="superscript"/>
        <sz val="10"/>
        <rFont val="Arial"/>
        <family val="2"/>
      </rPr>
      <t>(2)</t>
    </r>
  </si>
  <si>
    <t>GENERATED FUNDS</t>
  </si>
  <si>
    <r>
      <t xml:space="preserve">ACCUMULATED SURPLUS </t>
    </r>
    <r>
      <rPr>
        <b/>
        <vertAlign val="superscript"/>
        <sz val="10"/>
        <rFont val="Arial"/>
        <family val="2"/>
      </rPr>
      <t>(1)</t>
    </r>
  </si>
  <si>
    <t>(DESIGNATED FUNDS)</t>
  </si>
  <si>
    <t xml:space="preserve">(2)  The liability is money held for designated projects in school bank accounts for which schools do not have authority to make decisions as to </t>
  </si>
  <si>
    <t xml:space="preserve">       how, and on what the funds are to be spent. </t>
  </si>
  <si>
    <t>(2)  Includes clinicians contracted/outsourced/private or employed by other divisions on a full time equivalent basis.</t>
  </si>
  <si>
    <t>(1)  All expenses related to gifted programming may not be included due to the difficulty of costing certain programming. Contact your school</t>
  </si>
  <si>
    <t xml:space="preserve">      in the calculation of support to school divisions. Assessment per resident pupil for Flin Flon, Frontier and Mystery Lake reflects non-assessed</t>
  </si>
  <si>
    <t>(from page 63)</t>
  </si>
  <si>
    <t xml:space="preserve">       page 59 and Special Needs).</t>
  </si>
  <si>
    <t>(3)  From page 56 (for more information, see page 56).</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</si>
  <si>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</si>
  <si>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</si>
  <si>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</si>
  <si>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t xml:space="preserve">      in Regular Instruction is equal to Total K-12 F.T.E. enrolment.</t>
  </si>
  <si>
    <t>(1) Special Placement students are no longer reported separately. They are included in Regular Instruction Enrolment. As a result, total enrolment</t>
  </si>
  <si>
    <t>SEPT. 30, 2011</t>
  </si>
  <si>
    <t xml:space="preserve">(4)  From page 54 (for more information, see page 54). </t>
  </si>
  <si>
    <t>(2) Designated Surplus is the amount that school divisions have set aside for specific purposes. For further information, please refer</t>
  </si>
  <si>
    <t xml:space="preserve">(3) Operating expenses include transfers to other school divisions, organizations and individuals but not net transfers to capital. See </t>
  </si>
  <si>
    <r>
      <t xml:space="preserve">DESIGNATED </t>
    </r>
    <r>
      <rPr>
        <b/>
        <vertAlign val="superscript"/>
        <sz val="9"/>
        <rFont val="Arial"/>
        <family val="2"/>
      </rPr>
      <t>(2)</t>
    </r>
  </si>
  <si>
    <r>
      <t xml:space="preserve">EXPENSES </t>
    </r>
    <r>
      <rPr>
        <b/>
        <vertAlign val="superscript"/>
        <sz val="10"/>
        <rFont val="Arial"/>
        <family val="2"/>
      </rPr>
      <t>(3)</t>
    </r>
  </si>
  <si>
    <t>Coming from Budget.</t>
  </si>
  <si>
    <t>(1)  Accumulated Surplus / (Deficit) at Year End is gross of estimated non-vested accumulated sick leave.</t>
  </si>
  <si>
    <t>W:\Edusfb\Age and Area</t>
  </si>
  <si>
    <t xml:space="preserve">        for Function 500 or Program 710 may differ from corresponding amounts shown elsewhere in this report owing to the inclusion of operating</t>
  </si>
  <si>
    <r>
      <t xml:space="preserve">ACCUMULATED SURPLUS / (DEFICIT) AT YEAR END </t>
    </r>
    <r>
      <rPr>
        <b/>
        <vertAlign val="superscript"/>
        <sz val="9"/>
        <rFont val="Arial"/>
        <family val="2"/>
      </rPr>
      <t xml:space="preserve"> (1)</t>
    </r>
  </si>
  <si>
    <r>
      <t>GUARANTEE</t>
    </r>
    <r>
      <rPr>
        <b/>
        <vertAlign val="superscript"/>
        <sz val="9"/>
        <rFont val="Arial"/>
        <family val="2"/>
      </rPr>
      <t xml:space="preserve"> (3)</t>
    </r>
  </si>
  <si>
    <r>
      <t xml:space="preserve">SUPPORT </t>
    </r>
    <r>
      <rPr>
        <b/>
        <vertAlign val="superscript"/>
        <sz val="9"/>
        <rFont val="Arial"/>
        <family val="2"/>
      </rPr>
      <t>(4)</t>
    </r>
  </si>
  <si>
    <r>
      <t xml:space="preserve">PROGRAM </t>
    </r>
    <r>
      <rPr>
        <b/>
        <vertAlign val="superscript"/>
        <sz val="10"/>
        <rFont val="Arial"/>
        <family val="2"/>
      </rPr>
      <t>(5)</t>
    </r>
  </si>
  <si>
    <t>(4)  Includes School Buildings "D" Support, Technology Education Equipment and other minor capital support.</t>
  </si>
  <si>
    <t>(5)  Includes adjustment for days schools are closed (not shown).</t>
  </si>
  <si>
    <t>2012/13</t>
  </si>
  <si>
    <t>SEPT. 30, 2012</t>
  </si>
  <si>
    <t>2012/2013 ACTUAL</t>
  </si>
  <si>
    <t>(2)  Operating fund transfers are payments to other school divisions, organizations and individuals. These are removed to provide more accurate</t>
  </si>
  <si>
    <t xml:space="preserve">      costs. Also excluded are expenditures on educational services not provided to K-12 pupils: Function 300 (Adult Learning Centres) and Function</t>
  </si>
  <si>
    <t>W:\Edusfb\Frame.fin\[Final13.xls]Scdatabase - Column AD</t>
  </si>
  <si>
    <t>(3)  Although the Tax Incentive Grant was discontinued in 2012, the funding provided in 2011 continues to be provided. Amounts shown here are the portions</t>
  </si>
  <si>
    <t xml:space="preserve">       by division after the allocation to the DSFM.</t>
  </si>
  <si>
    <t xml:space="preserve">(1)  The Tax Incentive Grant was offered to school divisions that maintained their prior year Special Levy amount adjusted for real growth in </t>
  </si>
  <si>
    <t xml:space="preserve">       division before the allocation to the DSFM.</t>
  </si>
  <si>
    <t>(1)  Equalization is provided to recognize the varying ability of school divisions to meet the cost of unsupported program requirements</t>
  </si>
  <si>
    <t xml:space="preserve">        through the property tax base of the school division.</t>
  </si>
  <si>
    <t>(2)  Additional Equalization is provided to specifically assist school divisions or districts that have both higher than average tax effort and</t>
  </si>
  <si>
    <t xml:space="preserve">        lower than average assessment per pupil.</t>
  </si>
  <si>
    <t xml:space="preserve">       level (Function 100 - Regular Instruction, Program 110) and special needs administration (Function 200 - Exceptional, Program 210). This appendix</t>
  </si>
  <si>
    <t>(1)  Based on object code 330 Instructional-Teaching personnel and F.T.E. students in Function 100. Included are teachers in physical education,</t>
  </si>
  <si>
    <t xml:space="preserve">       staff - eg. department heads, coordinators, principals and vice-principals - and K-12 F.T.E. enrolment. Division administrators (Function 500)</t>
  </si>
  <si>
    <t>(2)  Represents long term debt servicing interest costs.</t>
  </si>
  <si>
    <r>
      <t>SPARSITY</t>
    </r>
    <r>
      <rPr>
        <b/>
        <vertAlign val="superscript"/>
        <sz val="9"/>
        <rFont val="Arial"/>
        <family val="2"/>
      </rPr>
      <t xml:space="preserve"> (2)</t>
    </r>
  </si>
  <si>
    <t>INITIATIVE</t>
  </si>
  <si>
    <t>(1)  All other categorical support not shown elsewhere (eg. Aboriginal and International Languages, Northern Allowance, etc.).</t>
  </si>
  <si>
    <t xml:space="preserve">       Amounts shown here do not include the income tax portion of the EPTC nor the School Tax Assistance for Tenants and Homeowners (55+) because </t>
  </si>
  <si>
    <t xml:space="preserve">       these are not  quantifiable on a school division basis.  For the income tax portion of the EPTC and the PSTA, see page i.</t>
  </si>
  <si>
    <t>(1)  From page 50. School Generated Funds Accumulated surplus is money for which schools have authority to make decisions as to when,</t>
  </si>
  <si>
    <t xml:space="preserve">       when, how, and on what the funds are to be spent (e.g. Parent council and student council funds).</t>
  </si>
  <si>
    <t xml:space="preserve">       school divisions by municipalities is reduced by the Education Property Tax Credit. See pages 42 and 43 for more detail.</t>
  </si>
  <si>
    <t xml:space="preserve">       and, Management Information Services in Function 500. Total expenses for Management Information Services are included on page 39 </t>
  </si>
  <si>
    <t>(4)  Includes other miscellaneous support (Institutional Programs, Nursing Supports, General Support Grant, Smaller Classes Initiative, etc.).</t>
  </si>
  <si>
    <t>2013/14</t>
  </si>
  <si>
    <t>2013/2014 ACTUAL</t>
  </si>
  <si>
    <t xml:space="preserve">FOR THE 2013 TAXATION YEAR </t>
  </si>
  <si>
    <t>(1) The mill rate for other property in 2013 is 11.83.</t>
  </si>
  <si>
    <r>
      <t xml:space="preserve">2013/14 </t>
    </r>
    <r>
      <rPr>
        <b/>
        <vertAlign val="superscript"/>
        <sz val="10"/>
        <rFont val="Arial"/>
        <family val="2"/>
      </rPr>
      <t>(2)</t>
    </r>
  </si>
  <si>
    <r>
      <t xml:space="preserve">2013 </t>
    </r>
    <r>
      <rPr>
        <b/>
        <vertAlign val="superscript"/>
        <sz val="10"/>
        <rFont val="Arial"/>
        <family val="2"/>
      </rPr>
      <t>(3)</t>
    </r>
  </si>
  <si>
    <r>
      <t xml:space="preserve">2013 </t>
    </r>
    <r>
      <rPr>
        <b/>
        <vertAlign val="superscript"/>
        <sz val="10"/>
        <rFont val="Arial"/>
        <family val="2"/>
      </rPr>
      <t>(4)</t>
    </r>
  </si>
  <si>
    <t xml:space="preserve">(3)  Provincially supported pupils (actual September 30, 2012 for 2013/14 and actual September 30, 2011 for 2012/13). The Whiteshell Special </t>
  </si>
  <si>
    <t>(1)  Based on area (square footage) of active school buildings as at September 30, 2013. Includes rented and leased space.</t>
  </si>
  <si>
    <t>2013 TSA</t>
  </si>
  <si>
    <t>Sept. 30 / 13</t>
  </si>
  <si>
    <t>SEPT. 30, 2013</t>
  </si>
  <si>
    <t>EXPENSES, REVENUE AND ACCUMULATED SURPLUS</t>
  </si>
  <si>
    <t xml:space="preserve">       are excluded.</t>
  </si>
  <si>
    <t>Reallocation of administration costs associated with Adult Learning Centres and Community and Education &amp; Services.</t>
  </si>
  <si>
    <t>(1)  Reallocation of administration costs associated with Adult Learning Centres and Community Education.</t>
  </si>
  <si>
    <t xml:space="preserve">(1)  Special levy net of the Tax Incentive Grant (page 55) requisitioned by school divisions for the 2013 tax year. Actual remittance to </t>
  </si>
  <si>
    <t xml:space="preserve">       property assessment. The 2013 grant is unchanged from the amount provided in 2011. Amounts shown here are the portions by </t>
  </si>
  <si>
    <t>(1)  Excludes personnel in Function 300 (Adult Learning Centres) and Function 400 (Community Education and Services) who do not provide 
       educational services to K-12 pupils.</t>
  </si>
  <si>
    <t xml:space="preserve">       Services (Function 200) are excluded.</t>
  </si>
  <si>
    <t>(3)  Information Technology personnel.</t>
  </si>
  <si>
    <t xml:space="preserve">       music, EAL, etc. in addition to regular classroom teachers. School-based administrative personnel and teachers in Student Support</t>
  </si>
  <si>
    <t xml:space="preserve"> &lt; from Lyndonna</t>
  </si>
  <si>
    <t>Waywayseecapo</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</si>
  <si>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</si>
  <si>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</si>
  <si>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</si>
  <si>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</si>
  <si>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</si>
  <si>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2013/14 Actual</t>
  </si>
</sst>
</file>

<file path=xl/styles.xml><?xml version="1.0" encoding="utf-8"?>
<styleSheet xmlns="http://schemas.openxmlformats.org/spreadsheetml/2006/main">
  <numFmts count="14">
    <numFmt numFmtId="165" formatCode="_(* #,##0.00_);_(* \(#,##0.00\);_(* &quot;-&quot;??_);_(@_)"/>
    <numFmt numFmtId="166" formatCode=";;;"/>
    <numFmt numFmtId="167" formatCode="0.0%"/>
    <numFmt numFmtId="168" formatCode="#,##0.0_);\(#,##0.0\)"/>
    <numFmt numFmtId="169" formatCode="0.0_)"/>
    <numFmt numFmtId="170" formatCode="0.00_)"/>
    <numFmt numFmtId="171" formatCode="#,##0_ ;\(#,##0\)"/>
    <numFmt numFmtId="172" formatCode="#,##0\ ;\(#,##0\ \)"/>
    <numFmt numFmtId="173" formatCode="#,##0.0;\-#,##0.0"/>
    <numFmt numFmtId="174" formatCode="#,##0.0000;\-#,##0.0000"/>
    <numFmt numFmtId="175" formatCode="#,##0.0_ ;\(#,##0.0\)"/>
    <numFmt numFmtId="176" formatCode="#,##0.0_);[Red]\(#,##0.0\)"/>
    <numFmt numFmtId="177" formatCode="#,##0.00_ ;\(#,##0.00\)"/>
    <numFmt numFmtId="178" formatCode="dd\-mmm\-yy_)"/>
  </numFmts>
  <fonts count="28">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s>
  <fills count="14">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s>
  <borders count="65">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double">
        <color indexed="8"/>
      </left>
      <right/>
      <top/>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s>
  <cellStyleXfs count="10">
    <xf numFmtId="37" fontId="0" fillId="0" borderId="0"/>
    <xf numFmtId="0" fontId="2" fillId="2" borderId="1"/>
    <xf numFmtId="165" fontId="1" fillId="0" borderId="0" applyFont="0" applyFill="0" applyBorder="0" applyAlignment="0" applyProtection="0"/>
    <xf numFmtId="165"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750">
    <xf numFmtId="37" fontId="0" fillId="0" borderId="0" xfId="0"/>
    <xf numFmtId="37" fontId="7" fillId="0" borderId="0" xfId="0" applyFont="1"/>
    <xf numFmtId="37" fontId="8" fillId="0" borderId="0" xfId="0" applyFont="1"/>
    <xf numFmtId="37" fontId="7" fillId="0" borderId="0" xfId="0" applyFont="1" applyAlignment="1">
      <alignment horizontal="right"/>
    </xf>
    <xf numFmtId="168" fontId="7" fillId="0" borderId="0" xfId="0" applyNumberFormat="1" applyFont="1"/>
    <xf numFmtId="37" fontId="4" fillId="0" borderId="0" xfId="0" applyFont="1"/>
    <xf numFmtId="166"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4" xfId="0" applyFont="1" applyFill="1" applyBorder="1" applyAlignment="1">
      <alignment horizontal="center"/>
    </xf>
    <xf numFmtId="0" fontId="4" fillId="3" borderId="5" xfId="0" applyNumberFormat="1" applyFont="1" applyFill="1" applyBorder="1" applyAlignment="1">
      <alignment horizontal="center"/>
    </xf>
    <xf numFmtId="37" fontId="4" fillId="3" borderId="5" xfId="0" applyFont="1" applyFill="1" applyBorder="1" applyAlignment="1">
      <alignment horizontal="center"/>
    </xf>
    <xf numFmtId="37" fontId="4" fillId="3" borderId="1" xfId="0" applyFont="1" applyFill="1" applyBorder="1" applyAlignment="1">
      <alignment horizontal="center"/>
    </xf>
    <xf numFmtId="0" fontId="4" fillId="3" borderId="6" xfId="0" applyNumberFormat="1" applyFont="1" applyFill="1" applyBorder="1" applyAlignment="1">
      <alignment horizontal="center"/>
    </xf>
    <xf numFmtId="37" fontId="4" fillId="3" borderId="6" xfId="0" applyFont="1" applyFill="1" applyBorder="1" applyAlignment="1">
      <alignment horizontal="center"/>
    </xf>
    <xf numFmtId="49" fontId="4" fillId="0" borderId="7" xfId="0" applyNumberFormat="1" applyFont="1" applyBorder="1"/>
    <xf numFmtId="37" fontId="4" fillId="3" borderId="2" xfId="0" applyFont="1" applyFill="1" applyBorder="1" applyAlignment="1">
      <alignment horizontal="center"/>
    </xf>
    <xf numFmtId="49" fontId="4" fillId="0" borderId="8" xfId="0" applyNumberFormat="1" applyFont="1" applyBorder="1"/>
    <xf numFmtId="37" fontId="4" fillId="3" borderId="9" xfId="0" applyFont="1" applyFill="1" applyBorder="1" applyAlignment="1">
      <alignment horizontal="center" vertical="top"/>
    </xf>
    <xf numFmtId="37" fontId="4" fillId="3" borderId="10" xfId="0" applyFont="1" applyFill="1" applyBorder="1" applyAlignment="1">
      <alignment horizontal="center" vertical="top"/>
    </xf>
    <xf numFmtId="49" fontId="4" fillId="0" borderId="0" xfId="0" applyNumberFormat="1" applyFont="1"/>
    <xf numFmtId="49" fontId="7" fillId="0" borderId="1" xfId="0" applyNumberFormat="1" applyFont="1" applyBorder="1" applyAlignment="1">
      <alignment vertical="center"/>
    </xf>
    <xf numFmtId="171" fontId="7" fillId="0" borderId="1" xfId="0" applyNumberFormat="1" applyFont="1" applyBorder="1" applyAlignment="1">
      <alignment vertical="center"/>
    </xf>
    <xf numFmtId="49" fontId="7" fillId="0" borderId="0" xfId="0" applyNumberFormat="1" applyFont="1" applyAlignment="1">
      <alignment vertical="center"/>
    </xf>
    <xf numFmtId="172"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6"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1"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0" borderId="10" xfId="0" applyFont="1" applyBorder="1" applyAlignment="1">
      <alignment horizontal="center"/>
    </xf>
    <xf numFmtId="37" fontId="4" fillId="3" borderId="9" xfId="0" applyFont="1" applyFill="1" applyBorder="1" applyAlignment="1">
      <alignment horizontal="centerContinuous"/>
    </xf>
    <xf numFmtId="37" fontId="4" fillId="0" borderId="15" xfId="0" applyFont="1" applyBorder="1"/>
    <xf numFmtId="171" fontId="7" fillId="0" borderId="1" xfId="0" applyNumberFormat="1" applyFont="1" applyBorder="1" applyProtection="1"/>
    <xf numFmtId="171" fontId="7" fillId="0" borderId="6" xfId="0" applyNumberFormat="1" applyFont="1" applyBorder="1" applyProtection="1"/>
    <xf numFmtId="37" fontId="7" fillId="0" borderId="6" xfId="0" applyFont="1" applyBorder="1"/>
    <xf numFmtId="171"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1" fontId="4" fillId="0" borderId="19" xfId="0" applyNumberFormat="1" applyFont="1" applyBorder="1" applyProtection="1"/>
    <xf numFmtId="171" fontId="4" fillId="0" borderId="18" xfId="0" applyNumberFormat="1" applyFont="1" applyBorder="1" applyProtection="1"/>
    <xf numFmtId="171" fontId="7" fillId="0" borderId="13" xfId="0" applyNumberFormat="1" applyFont="1" applyBorder="1"/>
    <xf numFmtId="166" fontId="7" fillId="0" borderId="2" xfId="0" applyNumberFormat="1" applyFont="1" applyBorder="1" applyProtection="1"/>
    <xf numFmtId="37" fontId="7" fillId="3" borderId="2" xfId="0" applyFont="1" applyFill="1" applyBorder="1" applyAlignment="1">
      <alignment horizontal="center"/>
    </xf>
    <xf numFmtId="166"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0" xfId="0" applyFont="1" applyFill="1" applyBorder="1" applyAlignment="1">
      <alignment horizontal="right"/>
    </xf>
    <xf numFmtId="37" fontId="4" fillId="3" borderId="1" xfId="0" applyFont="1" applyFill="1" applyBorder="1"/>
    <xf numFmtId="37" fontId="4" fillId="3" borderId="0" xfId="0" applyFont="1" applyFill="1"/>
    <xf numFmtId="175" fontId="7" fillId="0" borderId="1" xfId="0" applyNumberFormat="1" applyFont="1" applyBorder="1" applyAlignment="1">
      <alignment vertical="center"/>
    </xf>
    <xf numFmtId="175"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4" xfId="0" applyFont="1" applyFill="1" applyBorder="1" applyAlignment="1">
      <alignment horizontal="centerContinuous"/>
    </xf>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8" fontId="7" fillId="0" borderId="11" xfId="0" applyNumberFormat="1" applyFont="1" applyBorder="1" applyProtection="1"/>
    <xf numFmtId="37" fontId="7" fillId="0" borderId="0" xfId="0" applyFont="1" applyAlignment="1">
      <alignment horizontal="centerContinuous"/>
    </xf>
    <xf numFmtId="168" fontId="7" fillId="0" borderId="0" xfId="0" applyNumberFormat="1" applyFont="1" applyAlignment="1" applyProtection="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8" fontId="7" fillId="5" borderId="0" xfId="0" applyNumberFormat="1" applyFont="1" applyFill="1" applyBorder="1" applyProtection="1"/>
    <xf numFmtId="168"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70"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0" xfId="0" applyFont="1" applyBorder="1" applyAlignment="1" applyProtection="1">
      <alignment horizontal="center" vertical="center"/>
    </xf>
    <xf numFmtId="37" fontId="4" fillId="0" borderId="16" xfId="0" applyFont="1" applyBorder="1" applyAlignment="1" applyProtection="1">
      <alignment vertical="center"/>
    </xf>
    <xf numFmtId="37" fontId="4" fillId="0" borderId="16" xfId="0" applyFont="1" applyBorder="1" applyAlignment="1" applyProtection="1">
      <alignment horizontal="center" vertical="center"/>
    </xf>
    <xf numFmtId="37" fontId="4" fillId="0" borderId="22" xfId="0" applyFont="1" applyBorder="1" applyAlignment="1" applyProtection="1">
      <alignment horizontal="center" vertical="center"/>
    </xf>
    <xf numFmtId="37" fontId="4" fillId="0" borderId="1" xfId="0" applyFont="1" applyBorder="1" applyAlignment="1" applyProtection="1">
      <alignment horizontal="center" vertical="center"/>
    </xf>
    <xf numFmtId="37" fontId="4" fillId="0" borderId="8" xfId="0" applyFont="1" applyBorder="1" applyAlignment="1">
      <alignment vertical="center"/>
    </xf>
    <xf numFmtId="37" fontId="4" fillId="0" borderId="3" xfId="0" applyFont="1" applyBorder="1" applyAlignment="1" applyProtection="1">
      <alignment horizontal="center" vertical="center"/>
    </xf>
    <xf numFmtId="37" fontId="4" fillId="0" borderId="20" xfId="0" applyFont="1" applyBorder="1" applyAlignment="1" applyProtection="1">
      <alignment horizontal="center" vertical="center"/>
    </xf>
    <xf numFmtId="37" fontId="4" fillId="0" borderId="21" xfId="0" applyFont="1" applyBorder="1" applyAlignment="1" applyProtection="1">
      <alignment horizontal="center" vertical="center"/>
    </xf>
    <xf numFmtId="37" fontId="4" fillId="0" borderId="9" xfId="0" applyFont="1" applyBorder="1" applyAlignment="1" applyProtection="1">
      <alignment horizontal="center" vertical="center"/>
    </xf>
    <xf numFmtId="175" fontId="7" fillId="0" borderId="23" xfId="0" applyNumberFormat="1" applyFont="1" applyBorder="1" applyAlignment="1">
      <alignment vertical="center"/>
    </xf>
    <xf numFmtId="175"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4"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1" fontId="7" fillId="3" borderId="7" xfId="0" applyNumberFormat="1" applyFont="1" applyFill="1" applyBorder="1" applyProtection="1"/>
    <xf numFmtId="167" fontId="7" fillId="3" borderId="7" xfId="0" applyNumberFormat="1" applyFont="1" applyFill="1" applyBorder="1" applyProtection="1"/>
    <xf numFmtId="37" fontId="7" fillId="3" borderId="25" xfId="0" applyFont="1" applyFill="1" applyBorder="1"/>
    <xf numFmtId="171" fontId="7" fillId="3" borderId="25" xfId="0" applyNumberFormat="1" applyFont="1" applyFill="1" applyBorder="1" applyProtection="1"/>
    <xf numFmtId="37" fontId="7" fillId="0" borderId="25" xfId="0" applyFont="1" applyBorder="1"/>
    <xf numFmtId="171" fontId="7" fillId="0" borderId="25" xfId="0" applyNumberFormat="1" applyFont="1" applyBorder="1" applyProtection="1"/>
    <xf numFmtId="171" fontId="7" fillId="0" borderId="25" xfId="0" applyNumberFormat="1" applyFont="1" applyBorder="1"/>
    <xf numFmtId="37" fontId="7" fillId="0" borderId="8" xfId="0" applyFont="1" applyBorder="1" applyAlignment="1">
      <alignment horizontal="left"/>
    </xf>
    <xf numFmtId="37" fontId="4" fillId="0" borderId="24" xfId="0" applyFont="1" applyFill="1" applyBorder="1"/>
    <xf numFmtId="37" fontId="7" fillId="0" borderId="25" xfId="0" quotePrefix="1" applyFont="1" applyBorder="1" applyAlignment="1">
      <alignment horizontal="left"/>
    </xf>
    <xf numFmtId="37" fontId="7" fillId="0" borderId="8" xfId="0" applyFont="1" applyBorder="1"/>
    <xf numFmtId="37" fontId="4" fillId="0" borderId="7" xfId="0" applyFont="1" applyFill="1" applyBorder="1"/>
    <xf numFmtId="167" fontId="7" fillId="0" borderId="0" xfId="0" applyNumberFormat="1" applyFont="1" applyProtection="1"/>
    <xf numFmtId="49" fontId="7" fillId="0" borderId="0" xfId="0" applyNumberFormat="1" applyFont="1"/>
    <xf numFmtId="167" fontId="7" fillId="0" borderId="0" xfId="8" applyNumberFormat="1" applyFont="1"/>
    <xf numFmtId="49" fontId="8" fillId="0" borderId="0" xfId="0" applyNumberFormat="1" applyFont="1"/>
    <xf numFmtId="37" fontId="7" fillId="0" borderId="0" xfId="0" quotePrefix="1" applyFont="1" applyAlignment="1">
      <alignment horizontal="left"/>
    </xf>
    <xf numFmtId="166"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6"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7" fontId="7" fillId="0" borderId="1" xfId="8" applyNumberFormat="1" applyFont="1" applyBorder="1"/>
    <xf numFmtId="166"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6"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centerContinuous"/>
    </xf>
    <xf numFmtId="37" fontId="4" fillId="0" borderId="27" xfId="0" applyFont="1" applyFill="1" applyBorder="1" applyAlignment="1">
      <alignment horizontal="centerContinuous"/>
    </xf>
    <xf numFmtId="37" fontId="4" fillId="0" borderId="28" xfId="0" applyFont="1" applyFill="1" applyBorder="1" applyAlignment="1">
      <alignment horizontal="left"/>
    </xf>
    <xf numFmtId="37" fontId="7" fillId="0" borderId="26" xfId="0" applyFont="1" applyFill="1" applyBorder="1" applyAlignment="1"/>
    <xf numFmtId="37" fontId="7" fillId="0" borderId="29" xfId="0" applyFont="1" applyFill="1" applyBorder="1" applyAlignment="1"/>
    <xf numFmtId="171" fontId="7" fillId="0" borderId="1" xfId="0" applyNumberFormat="1" applyFont="1" applyBorder="1"/>
    <xf numFmtId="171"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7" fontId="4" fillId="0" borderId="5" xfId="0" applyFont="1" applyBorder="1" applyAlignment="1">
      <alignment horizontal="centerContinuous"/>
    </xf>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6"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6" xfId="0" applyFont="1" applyFill="1" applyBorder="1" applyAlignment="1" applyProtection="1">
      <alignment horizontal="center"/>
    </xf>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quotePrefix="1" applyFont="1" applyFill="1" applyBorder="1" applyAlignment="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4" fillId="3" borderId="30" xfId="0" applyFont="1" applyFill="1" applyBorder="1" applyAlignment="1" applyProtection="1">
      <alignment horizontal="center"/>
    </xf>
    <xf numFmtId="37" fontId="4" fillId="3" borderId="3" xfId="0" applyFont="1" applyFill="1" applyBorder="1" applyAlignment="1" applyProtection="1">
      <alignment horizontal="centerContinuous"/>
    </xf>
    <xf numFmtId="37" fontId="4" fillId="3" borderId="10" xfId="0" applyFont="1" applyFill="1" applyBorder="1" applyAlignment="1" applyProtection="1">
      <alignment horizontal="centerContinuous"/>
    </xf>
    <xf numFmtId="37" fontId="7" fillId="0" borderId="6" xfId="0" applyFont="1" applyBorder="1" applyProtection="1"/>
    <xf numFmtId="37" fontId="4" fillId="0" borderId="30" xfId="0" applyFont="1" applyBorder="1" applyAlignment="1" applyProtection="1">
      <alignment horizontal="center"/>
    </xf>
    <xf numFmtId="37" fontId="7" fillId="0" borderId="4" xfId="0" applyFont="1" applyBorder="1" applyProtection="1"/>
    <xf numFmtId="37" fontId="4" fillId="0" borderId="6" xfId="0" applyFont="1" applyBorder="1" applyAlignment="1" applyProtection="1">
      <alignment horizontal="center"/>
    </xf>
    <xf numFmtId="37" fontId="4" fillId="0" borderId="31" xfId="0" applyFont="1" applyBorder="1" applyAlignment="1" applyProtection="1">
      <alignment horizontal="centerContinuous"/>
    </xf>
    <xf numFmtId="37" fontId="4" fillId="0" borderId="9" xfId="0" applyFont="1" applyBorder="1" applyAlignment="1" applyProtection="1">
      <alignment horizontal="center"/>
    </xf>
    <xf numFmtId="171" fontId="7" fillId="0" borderId="16" xfId="0" applyNumberFormat="1" applyFont="1" applyBorder="1" applyAlignment="1">
      <alignment vertical="center"/>
    </xf>
    <xf numFmtId="176" fontId="7" fillId="0" borderId="30" xfId="0" applyNumberFormat="1" applyFont="1" applyBorder="1" applyAlignment="1">
      <alignment vertical="center"/>
    </xf>
    <xf numFmtId="176"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6" fontId="7" fillId="0" borderId="0" xfId="0" applyNumberFormat="1" applyFont="1" applyBorder="1" applyProtection="1"/>
    <xf numFmtId="37" fontId="4" fillId="3" borderId="17" xfId="0" applyFont="1" applyFill="1" applyBorder="1" applyAlignment="1">
      <alignment horizontal="centerContinuous"/>
    </xf>
    <xf numFmtId="166"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6"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Continuous"/>
    </xf>
    <xf numFmtId="37" fontId="4" fillId="0" borderId="4" xfId="0" applyFont="1" applyBorder="1" applyAlignment="1">
      <alignment horizontal="center"/>
    </xf>
    <xf numFmtId="37" fontId="4" fillId="0" borderId="1" xfId="0" applyFont="1" applyBorder="1" applyAlignment="1">
      <alignment horizontal="centerContinuous"/>
    </xf>
    <xf numFmtId="37" fontId="4" fillId="0" borderId="1" xfId="0" applyFont="1" applyBorder="1" applyAlignment="1">
      <alignment horizontal="center"/>
    </xf>
    <xf numFmtId="37" fontId="7" fillId="0" borderId="0" xfId="0" applyFont="1" applyAlignment="1">
      <alignment wrapText="1"/>
    </xf>
    <xf numFmtId="166" fontId="7" fillId="0" borderId="0" xfId="0" applyNumberFormat="1" applyFont="1"/>
    <xf numFmtId="37" fontId="7" fillId="0" borderId="32"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6"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5" fontId="7" fillId="0" borderId="1" xfId="0" applyNumberFormat="1" applyFont="1" applyBorder="1"/>
    <xf numFmtId="174" fontId="7" fillId="0" borderId="0" xfId="0" applyNumberFormat="1" applyFont="1"/>
    <xf numFmtId="175" fontId="7" fillId="0" borderId="0" xfId="0" applyNumberFormat="1" applyFont="1"/>
    <xf numFmtId="171" fontId="7" fillId="0" borderId="0" xfId="0" applyNumberFormat="1" applyFont="1" applyProtection="1"/>
    <xf numFmtId="37" fontId="4" fillId="0" borderId="25" xfId="0" applyFont="1" applyBorder="1" applyAlignment="1">
      <alignment horizontal="center" vertical="center"/>
    </xf>
    <xf numFmtId="165"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3" xfId="0" applyFont="1" applyBorder="1" applyAlignment="1">
      <alignment horizontal="center"/>
    </xf>
    <xf numFmtId="37" fontId="7" fillId="0" borderId="7" xfId="0" applyFont="1" applyBorder="1"/>
    <xf numFmtId="37" fontId="4" fillId="0" borderId="25" xfId="0" applyFont="1" applyBorder="1" applyAlignment="1">
      <alignment horizontal="center"/>
    </xf>
    <xf numFmtId="37" fontId="4" fillId="6" borderId="25" xfId="0" applyFont="1" applyFill="1" applyBorder="1" applyAlignment="1">
      <alignment horizontal="center"/>
    </xf>
    <xf numFmtId="37" fontId="4" fillId="6" borderId="8" xfId="0" applyFont="1" applyFill="1" applyBorder="1" applyAlignment="1">
      <alignment horizontal="center"/>
    </xf>
    <xf numFmtId="49" fontId="7" fillId="0" borderId="0" xfId="0" applyNumberFormat="1" applyFont="1" applyBorder="1" applyAlignment="1">
      <alignment horizontal="left"/>
    </xf>
    <xf numFmtId="37" fontId="7" fillId="0" borderId="0" xfId="0" applyFont="1" applyBorder="1" applyAlignment="1"/>
    <xf numFmtId="37" fontId="7" fillId="3" borderId="0" xfId="0" applyFont="1" applyFill="1" applyBorder="1" applyAlignment="1">
      <alignment horizontal="right"/>
    </xf>
    <xf numFmtId="37" fontId="4" fillId="3" borderId="33" xfId="0" applyFont="1" applyFill="1" applyBorder="1" applyAlignment="1">
      <alignment horizontal="centerContinuous" vertical="center"/>
    </xf>
    <xf numFmtId="37" fontId="4" fillId="0" borderId="33" xfId="0" applyFont="1" applyBorder="1" applyAlignment="1">
      <alignment horizontal="center" vertical="center"/>
    </xf>
    <xf numFmtId="37" fontId="7" fillId="0" borderId="0" xfId="0" applyFont="1" applyBorder="1" applyAlignment="1">
      <alignment horizontal="left"/>
    </xf>
    <xf numFmtId="166" fontId="7" fillId="0" borderId="13" xfId="0" applyNumberFormat="1" applyFont="1" applyBorder="1" applyProtection="1"/>
    <xf numFmtId="37" fontId="7" fillId="0" borderId="13" xfId="0" applyFont="1" applyBorder="1" applyAlignment="1">
      <alignment horizontal="centerContinuous" vertical="center"/>
    </xf>
    <xf numFmtId="166" fontId="7" fillId="0" borderId="0" xfId="0" applyNumberFormat="1" applyFont="1" applyAlignment="1" applyProtection="1">
      <alignment horizontal="centerContinuous"/>
    </xf>
    <xf numFmtId="37" fontId="4" fillId="0" borderId="17" xfId="0" applyFont="1" applyBorder="1" applyAlignment="1">
      <alignment horizontal="centerContinuous" vertical="center"/>
    </xf>
    <xf numFmtId="37" fontId="4" fillId="0" borderId="6" xfId="0" applyFont="1" applyBorder="1" applyAlignment="1">
      <alignment horizontal="center"/>
    </xf>
    <xf numFmtId="37" fontId="10" fillId="0" borderId="13" xfId="0" applyFont="1" applyBorder="1" applyAlignment="1" applyProtection="1">
      <alignment horizontal="centerContinuous" vertical="center"/>
      <protection locked="0"/>
    </xf>
    <xf numFmtId="165" fontId="7" fillId="0" borderId="0" xfId="2" applyFont="1" applyAlignment="1"/>
    <xf numFmtId="37" fontId="7" fillId="0" borderId="0" xfId="0" quotePrefix="1" applyFont="1" applyAlignment="1"/>
    <xf numFmtId="37" fontId="4" fillId="0" borderId="26" xfId="0" applyFont="1" applyBorder="1" applyAlignment="1">
      <alignment horizontal="centerContinuous" vertical="center"/>
    </xf>
    <xf numFmtId="37" fontId="7" fillId="0" borderId="26"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37" fontId="7" fillId="0" borderId="10" xfId="0" applyFont="1" applyBorder="1" applyAlignment="1">
      <alignment horizontal="centerContinuous"/>
    </xf>
    <xf numFmtId="49" fontId="12" fillId="0" borderId="10" xfId="0" applyNumberFormat="1" applyFont="1" applyBorder="1" applyAlignment="1">
      <alignment horizontal="center"/>
    </xf>
    <xf numFmtId="49" fontId="12" fillId="0" borderId="8" xfId="0" applyNumberFormat="1" applyFont="1" applyBorder="1" applyAlignment="1">
      <alignment horizontal="center" vertical="top"/>
    </xf>
    <xf numFmtId="166" fontId="7" fillId="0" borderId="0" xfId="0" applyNumberFormat="1" applyFont="1" applyAlignment="1" applyProtection="1">
      <alignment horizontal="right"/>
    </xf>
    <xf numFmtId="37" fontId="7" fillId="0" borderId="34" xfId="0" applyFont="1" applyBorder="1"/>
    <xf numFmtId="37" fontId="7" fillId="0" borderId="26" xfId="0" applyFont="1" applyBorder="1"/>
    <xf numFmtId="37" fontId="7" fillId="0" borderId="29"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10" fontId="7" fillId="0" borderId="0" xfId="8" applyNumberFormat="1" applyFont="1"/>
    <xf numFmtId="37" fontId="9" fillId="3" borderId="0" xfId="0" applyFont="1" applyFill="1" applyAlignment="1">
      <alignment horizontal="centerContinuous"/>
    </xf>
    <xf numFmtId="37" fontId="9" fillId="0" borderId="0" xfId="0" applyFont="1" applyAlignment="1">
      <alignment horizontal="centerContinuous"/>
    </xf>
    <xf numFmtId="37" fontId="4" fillId="7" borderId="17" xfId="0" applyFont="1" applyFill="1" applyBorder="1" applyAlignment="1">
      <alignment horizontal="centerContinuous"/>
    </xf>
    <xf numFmtId="37" fontId="4" fillId="7" borderId="18" xfId="0" applyFont="1" applyFill="1" applyBorder="1" applyAlignment="1">
      <alignment horizontal="centerContinuous"/>
    </xf>
    <xf numFmtId="37" fontId="4" fillId="7" borderId="18" xfId="0" applyFont="1" applyFill="1" applyBorder="1" applyAlignment="1">
      <alignment horizontal="centerContinuous" vertical="center"/>
    </xf>
    <xf numFmtId="49" fontId="7" fillId="7" borderId="1" xfId="0" applyNumberFormat="1" applyFont="1" applyFill="1" applyBorder="1" applyAlignment="1">
      <alignment vertical="center"/>
    </xf>
    <xf numFmtId="171" fontId="7" fillId="7" borderId="1" xfId="0" applyNumberFormat="1" applyFont="1" applyFill="1" applyBorder="1" applyAlignment="1">
      <alignment vertical="center"/>
    </xf>
    <xf numFmtId="49" fontId="4" fillId="7" borderId="19" xfId="2" applyNumberFormat="1" applyFont="1" applyFill="1" applyBorder="1" applyAlignment="1">
      <alignment vertical="center"/>
    </xf>
    <xf numFmtId="171" fontId="4" fillId="7" borderId="19" xfId="0" applyNumberFormat="1" applyFont="1" applyFill="1" applyBorder="1" applyAlignment="1">
      <alignment vertical="center"/>
    </xf>
    <xf numFmtId="37" fontId="4" fillId="7" borderId="17" xfId="0" applyFont="1" applyFill="1" applyBorder="1" applyAlignment="1" applyProtection="1">
      <alignment horizontal="centerContinuous" vertical="center"/>
    </xf>
    <xf numFmtId="37" fontId="4" fillId="7" borderId="13" xfId="0" applyFont="1" applyFill="1" applyBorder="1" applyAlignment="1" applyProtection="1">
      <alignment horizontal="centerContinuous"/>
    </xf>
    <xf numFmtId="37" fontId="4" fillId="7" borderId="18" xfId="0" applyFont="1" applyFill="1" applyBorder="1" applyAlignment="1" applyProtection="1">
      <alignment horizontal="centerContinuous"/>
    </xf>
    <xf numFmtId="175" fontId="7" fillId="7" borderId="1" xfId="0" applyNumberFormat="1" applyFont="1" applyFill="1" applyBorder="1" applyAlignment="1">
      <alignment vertical="center"/>
    </xf>
    <xf numFmtId="175" fontId="7" fillId="7" borderId="23" xfId="0" applyNumberFormat="1" applyFont="1" applyFill="1" applyBorder="1" applyAlignment="1">
      <alignment vertical="center"/>
    </xf>
    <xf numFmtId="175" fontId="7" fillId="7" borderId="6" xfId="0" applyNumberFormat="1" applyFont="1" applyFill="1" applyBorder="1" applyAlignment="1">
      <alignment vertical="center"/>
    </xf>
    <xf numFmtId="175" fontId="4" fillId="7" borderId="19" xfId="0" applyNumberFormat="1" applyFont="1" applyFill="1" applyBorder="1" applyAlignment="1">
      <alignment vertical="center"/>
    </xf>
    <xf numFmtId="175" fontId="4" fillId="7" borderId="35" xfId="0" applyNumberFormat="1" applyFont="1" applyFill="1" applyBorder="1" applyAlignment="1">
      <alignment vertical="center"/>
    </xf>
    <xf numFmtId="175" fontId="4" fillId="7" borderId="18" xfId="0" applyNumberFormat="1" applyFont="1" applyFill="1" applyBorder="1" applyAlignment="1">
      <alignment vertical="center"/>
    </xf>
    <xf numFmtId="37" fontId="4" fillId="7" borderId="17" xfId="0" applyFont="1" applyFill="1" applyBorder="1" applyAlignment="1" applyProtection="1">
      <alignment horizontal="centerContinuous"/>
    </xf>
    <xf numFmtId="37" fontId="4" fillId="7" borderId="20" xfId="0" applyFont="1" applyFill="1" applyBorder="1" applyAlignment="1">
      <alignment horizontal="centerContinuous"/>
    </xf>
    <xf numFmtId="37" fontId="4" fillId="7" borderId="3" xfId="0" applyFont="1" applyFill="1" applyBorder="1" applyAlignment="1">
      <alignment horizontal="centerContinuous"/>
    </xf>
    <xf numFmtId="37" fontId="4" fillId="7" borderId="10" xfId="0" applyFont="1" applyFill="1" applyBorder="1" applyAlignment="1">
      <alignment horizontal="centerContinuous"/>
    </xf>
    <xf numFmtId="37" fontId="4" fillId="7" borderId="9" xfId="0" applyFont="1" applyFill="1" applyBorder="1" applyAlignment="1">
      <alignment horizontal="center"/>
    </xf>
    <xf numFmtId="37" fontId="4" fillId="7" borderId="17" xfId="0" applyFont="1" applyFill="1" applyBorder="1" applyAlignment="1">
      <alignment horizontal="centerContinuous" vertical="center"/>
    </xf>
    <xf numFmtId="37" fontId="7" fillId="7" borderId="13" xfId="0" applyFont="1" applyFill="1" applyBorder="1" applyAlignment="1">
      <alignment horizontal="centerContinuous"/>
    </xf>
    <xf numFmtId="37" fontId="7" fillId="7" borderId="18" xfId="0" applyFont="1" applyFill="1" applyBorder="1" applyAlignment="1">
      <alignment horizontal="centerContinuous"/>
    </xf>
    <xf numFmtId="37" fontId="4" fillId="7" borderId="4" xfId="0" applyFont="1" applyFill="1" applyBorder="1" applyAlignment="1">
      <alignment horizontal="centerContinuous"/>
    </xf>
    <xf numFmtId="37" fontId="4" fillId="7" borderId="5" xfId="0" applyFont="1" applyFill="1" applyBorder="1" applyAlignment="1">
      <alignment horizontal="center"/>
    </xf>
    <xf numFmtId="37" fontId="4" fillId="7" borderId="2" xfId="0" applyFont="1" applyFill="1" applyBorder="1" applyAlignment="1">
      <alignment horizontal="center"/>
    </xf>
    <xf numFmtId="37" fontId="7" fillId="7" borderId="5" xfId="0" applyFont="1" applyFill="1" applyBorder="1" applyAlignment="1">
      <alignment horizontal="centerContinuous"/>
    </xf>
    <xf numFmtId="37" fontId="4" fillId="7" borderId="9" xfId="0" applyFont="1" applyFill="1" applyBorder="1" applyAlignment="1">
      <alignment horizontal="centerContinuous"/>
    </xf>
    <xf numFmtId="37" fontId="7" fillId="7" borderId="3" xfId="0" applyFont="1" applyFill="1" applyBorder="1" applyAlignment="1">
      <alignment horizontal="centerContinuous"/>
    </xf>
    <xf numFmtId="37" fontId="4" fillId="7" borderId="14" xfId="0" applyFont="1" applyFill="1" applyBorder="1" applyAlignment="1">
      <alignment horizontal="centerContinuous"/>
    </xf>
    <xf numFmtId="37" fontId="4" fillId="7" borderId="5" xfId="0" applyFont="1" applyFill="1" applyBorder="1" applyAlignment="1">
      <alignment horizontal="centerContinuous"/>
    </xf>
    <xf numFmtId="37" fontId="4" fillId="7" borderId="2" xfId="0" applyFont="1" applyFill="1" applyBorder="1"/>
    <xf numFmtId="37" fontId="4" fillId="7" borderId="2" xfId="0" applyFont="1" applyFill="1" applyBorder="1" applyAlignment="1">
      <alignment horizontal="centerContinuous"/>
    </xf>
    <xf numFmtId="37" fontId="4" fillId="8" borderId="24" xfId="0" applyFont="1" applyFill="1" applyBorder="1"/>
    <xf numFmtId="37" fontId="4" fillId="9" borderId="24" xfId="0" applyFont="1" applyFill="1" applyBorder="1"/>
    <xf numFmtId="37" fontId="4" fillId="8" borderId="36" xfId="0" applyFont="1" applyFill="1" applyBorder="1"/>
    <xf numFmtId="37" fontId="7" fillId="7" borderId="2" xfId="0" applyFont="1" applyFill="1" applyBorder="1" applyAlignment="1">
      <alignment horizontal="centerContinuous"/>
    </xf>
    <xf numFmtId="37" fontId="7" fillId="7" borderId="10" xfId="0" applyFont="1" applyFill="1" applyBorder="1" applyAlignment="1">
      <alignment horizontal="centerContinuous"/>
    </xf>
    <xf numFmtId="37" fontId="7" fillId="7" borderId="14" xfId="0" applyFont="1" applyFill="1" applyBorder="1"/>
    <xf numFmtId="37" fontId="4" fillId="7" borderId="14" xfId="0" applyFont="1" applyFill="1" applyBorder="1" applyAlignment="1">
      <alignment horizontal="left"/>
    </xf>
    <xf numFmtId="37" fontId="4" fillId="7" borderId="2" xfId="0" applyFont="1" applyFill="1" applyBorder="1" applyAlignment="1">
      <alignment horizontal="left"/>
    </xf>
    <xf numFmtId="37" fontId="4" fillId="7" borderId="5" xfId="0" applyFont="1" applyFill="1" applyBorder="1" applyAlignment="1">
      <alignment horizontal="left"/>
    </xf>
    <xf numFmtId="37" fontId="4" fillId="7" borderId="37" xfId="0" applyFont="1" applyFill="1" applyBorder="1" applyAlignment="1">
      <alignment horizontal="centerContinuous"/>
    </xf>
    <xf numFmtId="37" fontId="4" fillId="7" borderId="12" xfId="0" applyFont="1" applyFill="1" applyBorder="1" applyAlignment="1">
      <alignment horizontal="centerContinuous"/>
    </xf>
    <xf numFmtId="37" fontId="4" fillId="7" borderId="38" xfId="0" applyFont="1" applyFill="1" applyBorder="1" applyAlignment="1">
      <alignment horizontal="centerContinuous"/>
    </xf>
    <xf numFmtId="37" fontId="4" fillId="7" borderId="37" xfId="0" applyFont="1" applyFill="1" applyBorder="1" applyAlignment="1">
      <alignment horizontal="left"/>
    </xf>
    <xf numFmtId="37" fontId="4" fillId="7" borderId="12" xfId="0" applyFont="1" applyFill="1" applyBorder="1" applyAlignment="1">
      <alignment horizontal="left"/>
    </xf>
    <xf numFmtId="37" fontId="4" fillId="7" borderId="38" xfId="0" applyFont="1" applyFill="1" applyBorder="1" applyAlignment="1">
      <alignment horizontal="left"/>
    </xf>
    <xf numFmtId="37" fontId="4" fillId="7" borderId="39" xfId="0" applyFont="1" applyFill="1" applyBorder="1" applyAlignment="1">
      <alignment horizontal="centerContinuous"/>
    </xf>
    <xf numFmtId="37" fontId="4" fillId="7" borderId="11" xfId="0" applyFont="1" applyFill="1" applyBorder="1" applyAlignment="1">
      <alignment horizontal="centerContinuous"/>
    </xf>
    <xf numFmtId="37" fontId="4" fillId="7" borderId="40" xfId="0" applyFont="1" applyFill="1" applyBorder="1" applyAlignment="1">
      <alignment horizontal="centerContinuous"/>
    </xf>
    <xf numFmtId="37" fontId="4" fillId="7" borderId="41" xfId="0" applyFont="1" applyFill="1" applyBorder="1" applyAlignment="1" applyProtection="1">
      <alignment horizontal="centerContinuous"/>
    </xf>
    <xf numFmtId="37" fontId="7" fillId="7" borderId="0" xfId="0" applyFont="1" applyFill="1" applyAlignment="1" applyProtection="1">
      <alignment horizontal="centerContinuous"/>
    </xf>
    <xf numFmtId="37" fontId="7" fillId="7" borderId="6" xfId="0" applyFont="1" applyFill="1" applyBorder="1" applyAlignment="1" applyProtection="1">
      <alignment horizontal="centerContinuous"/>
    </xf>
    <xf numFmtId="37" fontId="4" fillId="7" borderId="16" xfId="0" applyFont="1" applyFill="1" applyBorder="1" applyAlignment="1" applyProtection="1">
      <alignment horizontal="centerContinuous"/>
    </xf>
    <xf numFmtId="37" fontId="4" fillId="7" borderId="20" xfId="0" applyFont="1" applyFill="1" applyBorder="1" applyAlignment="1" applyProtection="1">
      <alignment horizontal="centerContinuous"/>
    </xf>
    <xf numFmtId="37" fontId="4" fillId="7" borderId="3" xfId="0" applyFont="1" applyFill="1" applyBorder="1" applyAlignment="1" applyProtection="1">
      <alignment horizontal="centerContinuous"/>
    </xf>
    <xf numFmtId="37" fontId="4" fillId="7" borderId="10" xfId="0" applyFont="1" applyFill="1" applyBorder="1" applyAlignment="1" applyProtection="1">
      <alignment horizontal="centerContinuous"/>
    </xf>
    <xf numFmtId="49" fontId="7" fillId="10" borderId="1" xfId="0" applyNumberFormat="1" applyFont="1" applyFill="1" applyBorder="1" applyAlignment="1">
      <alignment vertical="center"/>
    </xf>
    <xf numFmtId="171" fontId="7" fillId="10" borderId="16" xfId="0" applyNumberFormat="1" applyFont="1" applyFill="1" applyBorder="1" applyAlignment="1">
      <alignment vertical="center"/>
    </xf>
    <xf numFmtId="176" fontId="7" fillId="10" borderId="30" xfId="0" applyNumberFormat="1" applyFont="1" applyFill="1" applyBorder="1" applyAlignment="1">
      <alignment vertical="center"/>
    </xf>
    <xf numFmtId="171" fontId="4" fillId="7" borderId="17" xfId="0" applyNumberFormat="1" applyFont="1" applyFill="1" applyBorder="1" applyAlignment="1">
      <alignment vertical="center"/>
    </xf>
    <xf numFmtId="176" fontId="4" fillId="7" borderId="42" xfId="0" applyNumberFormat="1" applyFont="1" applyFill="1" applyBorder="1" applyAlignment="1">
      <alignment vertical="center"/>
    </xf>
    <xf numFmtId="37" fontId="4" fillId="7" borderId="14" xfId="0" applyFont="1" applyFill="1" applyBorder="1" applyAlignment="1"/>
    <xf numFmtId="37" fontId="4" fillId="7" borderId="5" xfId="0" applyFont="1" applyFill="1" applyBorder="1" applyAlignment="1"/>
    <xf numFmtId="37" fontId="4" fillId="7" borderId="16" xfId="0" applyFont="1" applyFill="1" applyBorder="1" applyAlignment="1">
      <alignment horizontal="centerContinuous"/>
    </xf>
    <xf numFmtId="37" fontId="4" fillId="7" borderId="6" xfId="0" applyFont="1" applyFill="1" applyBorder="1" applyAlignment="1">
      <alignment horizontal="centerContinuous"/>
    </xf>
    <xf numFmtId="169" fontId="7" fillId="3" borderId="25" xfId="0" applyNumberFormat="1" applyFont="1" applyFill="1" applyBorder="1" applyProtection="1"/>
    <xf numFmtId="169" fontId="7" fillId="0" borderId="25" xfId="0" applyNumberFormat="1" applyFont="1" applyBorder="1" applyProtection="1"/>
    <xf numFmtId="169" fontId="4" fillId="0" borderId="7" xfId="8" applyNumberFormat="1" applyFont="1" applyFill="1" applyBorder="1"/>
    <xf numFmtId="171" fontId="4" fillId="0" borderId="24" xfId="0" applyNumberFormat="1" applyFont="1" applyBorder="1" applyProtection="1"/>
    <xf numFmtId="169" fontId="4" fillId="0" borderId="24" xfId="0" applyNumberFormat="1" applyFont="1" applyBorder="1" applyProtection="1"/>
    <xf numFmtId="171" fontId="4" fillId="9" borderId="24" xfId="0" applyNumberFormat="1" applyFont="1" applyFill="1" applyBorder="1" applyProtection="1"/>
    <xf numFmtId="169" fontId="4" fillId="9" borderId="24" xfId="0" applyNumberFormat="1" applyFont="1" applyFill="1" applyBorder="1" applyProtection="1"/>
    <xf numFmtId="37" fontId="4" fillId="7" borderId="4" xfId="0" applyNumberFormat="1" applyFont="1" applyFill="1" applyBorder="1" applyAlignment="1" applyProtection="1">
      <alignment horizontal="centerContinuous"/>
    </xf>
    <xf numFmtId="37" fontId="4" fillId="7" borderId="4" xfId="0" applyNumberFormat="1" applyFont="1" applyFill="1" applyBorder="1" applyAlignment="1" applyProtection="1">
      <alignment horizontal="center"/>
    </xf>
    <xf numFmtId="37" fontId="4" fillId="7" borderId="4" xfId="0" applyFont="1" applyFill="1" applyBorder="1"/>
    <xf numFmtId="37" fontId="4" fillId="7" borderId="1" xfId="0" applyNumberFormat="1" applyFont="1" applyFill="1" applyBorder="1" applyAlignment="1" applyProtection="1">
      <alignment horizontal="centerContinuous"/>
    </xf>
    <xf numFmtId="37" fontId="4" fillId="7" borderId="1" xfId="0" applyNumberFormat="1" applyFont="1" applyFill="1" applyBorder="1" applyAlignment="1" applyProtection="1"/>
    <xf numFmtId="37" fontId="4" fillId="7" borderId="1" xfId="0" applyFont="1" applyFill="1" applyBorder="1" applyAlignment="1"/>
    <xf numFmtId="37" fontId="4" fillId="7" borderId="1" xfId="0" applyFont="1" applyFill="1" applyBorder="1" applyAlignment="1">
      <alignment horizontal="centerContinuous"/>
    </xf>
    <xf numFmtId="37" fontId="4" fillId="7" borderId="9" xfId="0" applyNumberFormat="1" applyFont="1" applyFill="1" applyBorder="1" applyAlignment="1" applyProtection="1">
      <alignment horizontal="centerContinuous"/>
    </xf>
    <xf numFmtId="171" fontId="7" fillId="7" borderId="1" xfId="0" applyNumberFormat="1" applyFont="1" applyFill="1" applyBorder="1"/>
    <xf numFmtId="175" fontId="7" fillId="7" borderId="1" xfId="0" applyNumberFormat="1" applyFont="1" applyFill="1" applyBorder="1"/>
    <xf numFmtId="49" fontId="7" fillId="7" borderId="1" xfId="0" applyNumberFormat="1" applyFont="1" applyFill="1" applyBorder="1"/>
    <xf numFmtId="49" fontId="4" fillId="7" borderId="19" xfId="0" applyNumberFormat="1" applyFont="1" applyFill="1" applyBorder="1"/>
    <xf numFmtId="171" fontId="4" fillId="7" borderId="19" xfId="0" applyNumberFormat="1" applyFont="1" applyFill="1" applyBorder="1"/>
    <xf numFmtId="175" fontId="4" fillId="7" borderId="19" xfId="0" applyNumberFormat="1" applyFont="1" applyFill="1" applyBorder="1" applyProtection="1"/>
    <xf numFmtId="37" fontId="4" fillId="7" borderId="4" xfId="0" applyFont="1" applyFill="1" applyBorder="1" applyAlignment="1">
      <alignment horizontal="center"/>
    </xf>
    <xf numFmtId="37" fontId="4" fillId="7" borderId="1" xfId="0" applyFont="1" applyFill="1" applyBorder="1" applyAlignment="1">
      <alignment horizontal="center"/>
    </xf>
    <xf numFmtId="37" fontId="4" fillId="10" borderId="10" xfId="0" applyFont="1" applyFill="1" applyBorder="1" applyAlignment="1">
      <alignment horizontal="centerContinuous"/>
    </xf>
    <xf numFmtId="37" fontId="4" fillId="7" borderId="14" xfId="0" applyFont="1" applyFill="1" applyBorder="1"/>
    <xf numFmtId="177" fontId="7" fillId="7" borderId="1" xfId="0" applyNumberFormat="1" applyFont="1" applyFill="1" applyBorder="1" applyAlignment="1">
      <alignment vertical="center"/>
    </xf>
    <xf numFmtId="177" fontId="7" fillId="0" borderId="1" xfId="0" applyNumberFormat="1" applyFont="1" applyBorder="1" applyAlignment="1">
      <alignment vertical="center"/>
    </xf>
    <xf numFmtId="177" fontId="7" fillId="7" borderId="1" xfId="0" applyNumberFormat="1" applyFont="1" applyFill="1" applyBorder="1" applyAlignment="1">
      <alignment horizontal="right" vertical="center"/>
    </xf>
    <xf numFmtId="177" fontId="0" fillId="0" borderId="0" xfId="0" applyNumberFormat="1"/>
    <xf numFmtId="177" fontId="4" fillId="7" borderId="19" xfId="0" applyNumberFormat="1" applyFont="1" applyFill="1" applyBorder="1" applyAlignment="1">
      <alignment vertical="center"/>
    </xf>
    <xf numFmtId="171" fontId="7" fillId="7" borderId="1" xfId="0" applyNumberFormat="1" applyFont="1" applyFill="1" applyBorder="1" applyAlignment="1">
      <alignment horizontal="right" vertical="center"/>
    </xf>
    <xf numFmtId="171" fontId="0" fillId="0" borderId="0" xfId="0" applyNumberFormat="1"/>
    <xf numFmtId="37" fontId="7" fillId="10" borderId="14" xfId="0" applyFont="1" applyFill="1" applyBorder="1"/>
    <xf numFmtId="37" fontId="7" fillId="10" borderId="2" xfId="0" applyFont="1" applyFill="1" applyBorder="1"/>
    <xf numFmtId="37" fontId="7" fillId="10" borderId="2" xfId="0" applyFont="1" applyFill="1" applyBorder="1" applyAlignment="1">
      <alignment horizontal="centerContinuous"/>
    </xf>
    <xf numFmtId="37" fontId="7" fillId="10" borderId="5" xfId="0" applyFont="1" applyFill="1" applyBorder="1" applyAlignment="1">
      <alignment horizontal="centerContinuous"/>
    </xf>
    <xf numFmtId="37" fontId="4" fillId="10" borderId="2" xfId="0" applyFont="1" applyFill="1" applyBorder="1" applyAlignment="1">
      <alignment horizontal="centerContinuous"/>
    </xf>
    <xf numFmtId="37" fontId="4" fillId="10" borderId="5" xfId="0" applyFont="1" applyFill="1" applyBorder="1" applyAlignment="1">
      <alignment horizontal="centerContinuous"/>
    </xf>
    <xf numFmtId="37" fontId="4" fillId="10" borderId="20" xfId="0" applyFont="1" applyFill="1" applyBorder="1" applyAlignment="1">
      <alignment horizontal="centerContinuous"/>
    </xf>
    <xf numFmtId="37" fontId="4" fillId="10" borderId="3" xfId="0" applyFont="1" applyFill="1" applyBorder="1" applyAlignment="1">
      <alignment horizontal="centerContinuous"/>
    </xf>
    <xf numFmtId="37" fontId="7" fillId="7" borderId="0" xfId="0" applyFont="1" applyFill="1" applyAlignment="1">
      <alignment horizontal="centerContinuous"/>
    </xf>
    <xf numFmtId="37" fontId="4" fillId="7" borderId="0" xfId="0" applyFont="1" applyFill="1"/>
    <xf numFmtId="37" fontId="4" fillId="7" borderId="1" xfId="0" applyFont="1" applyFill="1" applyBorder="1"/>
    <xf numFmtId="37" fontId="4" fillId="7" borderId="0" xfId="0" applyFont="1" applyFill="1" applyBorder="1" applyAlignment="1">
      <alignment horizontal="centerContinuous"/>
    </xf>
    <xf numFmtId="37" fontId="4" fillId="7" borderId="14" xfId="0" applyFont="1" applyFill="1" applyBorder="1" applyAlignment="1">
      <alignment horizontal="centerContinuous" vertical="center"/>
    </xf>
    <xf numFmtId="37" fontId="4" fillId="7" borderId="16" xfId="0" applyFont="1" applyFill="1" applyBorder="1" applyAlignment="1">
      <alignment horizontal="centerContinuous" vertical="center"/>
    </xf>
    <xf numFmtId="37" fontId="7" fillId="7" borderId="6" xfId="0" applyFont="1" applyFill="1" applyBorder="1" applyAlignment="1">
      <alignment horizontal="centerContinuous"/>
    </xf>
    <xf numFmtId="37" fontId="4" fillId="7" borderId="2" xfId="0" applyFont="1" applyFill="1" applyBorder="1" applyAlignment="1">
      <alignment horizontal="centerContinuous" vertical="center"/>
    </xf>
    <xf numFmtId="37" fontId="4" fillId="7" borderId="0" xfId="0" applyFont="1" applyFill="1" applyBorder="1" applyAlignment="1">
      <alignment horizontal="centerContinuous" vertical="center"/>
    </xf>
    <xf numFmtId="37" fontId="4" fillId="7" borderId="34" xfId="8" applyNumberFormat="1" applyFont="1" applyFill="1" applyBorder="1" applyAlignment="1">
      <alignment horizontal="centerContinuous" vertical="center"/>
    </xf>
    <xf numFmtId="37" fontId="7" fillId="7" borderId="26" xfId="8" applyNumberFormat="1" applyFont="1" applyFill="1" applyBorder="1" applyAlignment="1">
      <alignment horizontal="centerContinuous"/>
    </xf>
    <xf numFmtId="37" fontId="7" fillId="7" borderId="29" xfId="8" applyNumberFormat="1" applyFont="1" applyFill="1" applyBorder="1" applyAlignment="1">
      <alignment horizontal="centerContinuous"/>
    </xf>
    <xf numFmtId="37" fontId="4" fillId="8" borderId="24" xfId="0" applyFont="1" applyFill="1" applyBorder="1" applyAlignment="1">
      <alignment horizontal="centerContinuous" vertical="center"/>
    </xf>
    <xf numFmtId="37" fontId="7" fillId="8" borderId="26" xfId="0" applyFont="1" applyFill="1" applyBorder="1" applyAlignment="1">
      <alignment horizontal="centerContinuous"/>
    </xf>
    <xf numFmtId="37" fontId="7" fillId="8" borderId="29" xfId="0" applyFont="1" applyFill="1" applyBorder="1" applyAlignment="1">
      <alignment horizontal="centerContinuous"/>
    </xf>
    <xf numFmtId="175" fontId="7" fillId="0" borderId="1" xfId="0" applyNumberFormat="1" applyFont="1" applyBorder="1" applyAlignment="1">
      <alignment horizontal="right" vertical="center"/>
    </xf>
    <xf numFmtId="37" fontId="4" fillId="8" borderId="14" xfId="0" applyFont="1" applyFill="1" applyBorder="1" applyAlignment="1">
      <alignment horizontal="centerContinuous"/>
    </xf>
    <xf numFmtId="37" fontId="4" fillId="8" borderId="5" xfId="0" applyFont="1" applyFill="1" applyBorder="1" applyAlignment="1">
      <alignment horizontal="centerContinuous"/>
    </xf>
    <xf numFmtId="37" fontId="4" fillId="8" borderId="14" xfId="0" applyFont="1" applyFill="1" applyBorder="1" applyAlignment="1"/>
    <xf numFmtId="37" fontId="4" fillId="8" borderId="5" xfId="0" applyFont="1" applyFill="1" applyBorder="1" applyAlignment="1"/>
    <xf numFmtId="37" fontId="4" fillId="8" borderId="16" xfId="0" applyFont="1" applyFill="1" applyBorder="1" applyAlignment="1">
      <alignment horizontal="centerContinuous"/>
    </xf>
    <xf numFmtId="37" fontId="4" fillId="8" borderId="6" xfId="0" applyFont="1" applyFill="1" applyBorder="1" applyAlignment="1">
      <alignment horizontal="centerContinuous"/>
    </xf>
    <xf numFmtId="37" fontId="4" fillId="8" borderId="20" xfId="0" applyFont="1" applyFill="1" applyBorder="1" applyAlignment="1">
      <alignment horizontal="centerContinuous"/>
    </xf>
    <xf numFmtId="37" fontId="4" fillId="8" borderId="10" xfId="0" applyFont="1" applyFill="1" applyBorder="1" applyAlignment="1">
      <alignment horizontal="centerContinuous"/>
    </xf>
    <xf numFmtId="175" fontId="0" fillId="0" borderId="0" xfId="0" applyNumberFormat="1"/>
    <xf numFmtId="175" fontId="4" fillId="7" borderId="19" xfId="0" applyNumberFormat="1" applyFont="1" applyFill="1" applyBorder="1"/>
    <xf numFmtId="37" fontId="4" fillId="8" borderId="14" xfId="0" applyFont="1" applyFill="1" applyBorder="1" applyAlignment="1">
      <alignment horizontal="left"/>
    </xf>
    <xf numFmtId="37" fontId="4" fillId="8" borderId="5" xfId="0" applyFont="1" applyFill="1" applyBorder="1" applyAlignment="1">
      <alignment horizontal="left"/>
    </xf>
    <xf numFmtId="37" fontId="7" fillId="7" borderId="13" xfId="0" applyFont="1" applyFill="1" applyBorder="1" applyAlignment="1">
      <alignment horizontal="centerContinuous" vertical="center"/>
    </xf>
    <xf numFmtId="37" fontId="7" fillId="7" borderId="18" xfId="0" applyFont="1" applyFill="1" applyBorder="1" applyAlignment="1">
      <alignment horizontal="centerContinuous" vertical="center"/>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5" xfId="0" applyFont="1" applyFill="1" applyBorder="1" applyAlignment="1">
      <alignment horizontal="centerContinuous"/>
    </xf>
    <xf numFmtId="37" fontId="4" fillId="0" borderId="25" xfId="0" applyFont="1" applyFill="1" applyBorder="1" applyAlignment="1"/>
    <xf numFmtId="37" fontId="4" fillId="0" borderId="25" xfId="0" applyFont="1" applyFill="1" applyBorder="1" applyAlignment="1">
      <alignment horizontal="center"/>
    </xf>
    <xf numFmtId="37" fontId="4" fillId="0" borderId="8" xfId="0" applyFont="1" applyFill="1" applyBorder="1" applyAlignment="1">
      <alignment horizontal="centerContinuous"/>
    </xf>
    <xf numFmtId="37" fontId="4" fillId="7" borderId="13" xfId="0" applyFont="1" applyFill="1" applyBorder="1" applyAlignment="1">
      <alignment horizontal="centerContinuous" vertical="center"/>
    </xf>
    <xf numFmtId="37" fontId="7" fillId="3" borderId="13" xfId="0" quotePrefix="1" applyFont="1" applyFill="1" applyBorder="1" applyAlignment="1">
      <alignment horizontal="right" vertical="center"/>
    </xf>
    <xf numFmtId="0" fontId="4" fillId="7" borderId="14" xfId="0" applyNumberFormat="1" applyFont="1" applyFill="1" applyBorder="1" applyAlignment="1"/>
    <xf numFmtId="0" fontId="4" fillId="7" borderId="2" xfId="0" applyNumberFormat="1" applyFont="1" applyFill="1" applyBorder="1" applyAlignment="1"/>
    <xf numFmtId="0" fontId="4" fillId="7"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5"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4" xfId="0" quotePrefix="1" applyNumberFormat="1" applyFont="1" applyBorder="1" applyAlignment="1">
      <alignment horizontal="center" vertical="center"/>
    </xf>
    <xf numFmtId="37" fontId="4" fillId="0" borderId="6" xfId="0" quotePrefix="1" applyFont="1" applyBorder="1" applyAlignment="1">
      <alignment horizontal="center"/>
    </xf>
    <xf numFmtId="37" fontId="4" fillId="0" borderId="10" xfId="0" quotePrefix="1" applyFont="1" applyBorder="1" applyAlignment="1">
      <alignment horizontal="center"/>
    </xf>
    <xf numFmtId="37" fontId="4" fillId="11" borderId="14" xfId="0" applyFont="1" applyFill="1" applyBorder="1" applyAlignment="1">
      <alignment horizontal="centerContinuous"/>
    </xf>
    <xf numFmtId="37" fontId="4" fillId="11" borderId="2" xfId="0" applyFont="1" applyFill="1" applyBorder="1" applyAlignment="1">
      <alignment horizontal="centerContinuous"/>
    </xf>
    <xf numFmtId="37" fontId="4" fillId="11" borderId="5" xfId="0" applyFont="1" applyFill="1" applyBorder="1" applyAlignment="1">
      <alignment horizontal="centerContinuous"/>
    </xf>
    <xf numFmtId="37" fontId="4" fillId="11" borderId="20" xfId="0" applyFont="1" applyFill="1" applyBorder="1" applyAlignment="1">
      <alignment horizontal="centerContinuous"/>
    </xf>
    <xf numFmtId="37" fontId="4" fillId="11" borderId="3" xfId="0" applyFont="1" applyFill="1" applyBorder="1" applyAlignment="1">
      <alignment horizontal="centerContinuous"/>
    </xf>
    <xf numFmtId="37" fontId="4" fillId="11" borderId="10" xfId="0" applyFont="1" applyFill="1" applyBorder="1" applyAlignment="1">
      <alignment horizontal="centerContinuous"/>
    </xf>
    <xf numFmtId="37" fontId="7" fillId="3" borderId="2" xfId="0" quotePrefix="1" applyFont="1" applyFill="1" applyBorder="1" applyAlignment="1">
      <alignment horizontal="right" vertical="center"/>
    </xf>
    <xf numFmtId="37" fontId="4" fillId="11" borderId="4" xfId="0" applyNumberFormat="1" applyFont="1" applyFill="1" applyBorder="1" applyAlignment="1" applyProtection="1">
      <alignment horizontal="center"/>
    </xf>
    <xf numFmtId="37" fontId="4" fillId="11" borderId="1" xfId="0" applyNumberFormat="1" applyFont="1" applyFill="1" applyBorder="1" applyAlignment="1" applyProtection="1">
      <alignment horizontal="center"/>
    </xf>
    <xf numFmtId="37" fontId="4" fillId="11" borderId="9" xfId="0" applyNumberFormat="1" applyFont="1" applyFill="1" applyBorder="1" applyAlignment="1" applyProtection="1">
      <alignment horizontal="centerContinuous"/>
    </xf>
    <xf numFmtId="49" fontId="4" fillId="11" borderId="19" xfId="2" applyNumberFormat="1" applyFont="1" applyFill="1" applyBorder="1" applyAlignment="1">
      <alignment vertical="center"/>
    </xf>
    <xf numFmtId="171" fontId="4" fillId="11" borderId="19" xfId="0" applyNumberFormat="1" applyFont="1" applyFill="1" applyBorder="1" applyAlignment="1">
      <alignment vertical="center"/>
    </xf>
    <xf numFmtId="0" fontId="4" fillId="0" borderId="3" xfId="0" applyNumberFormat="1" applyFont="1" applyBorder="1" applyAlignment="1">
      <alignment vertical="center"/>
    </xf>
    <xf numFmtId="166" fontId="7" fillId="0" borderId="2" xfId="0" applyNumberFormat="1" applyFont="1" applyBorder="1" applyAlignment="1" applyProtection="1">
      <alignment horizontal="left"/>
    </xf>
    <xf numFmtId="167" fontId="7" fillId="7" borderId="1" xfId="8" applyNumberFormat="1" applyFont="1" applyFill="1" applyBorder="1"/>
    <xf numFmtId="167" fontId="4" fillId="7" borderId="19" xfId="8" applyNumberFormat="1" applyFont="1" applyFill="1" applyBorder="1"/>
    <xf numFmtId="37" fontId="4" fillId="0" borderId="8" xfId="0" quotePrefix="1" applyFont="1" applyBorder="1" applyAlignment="1">
      <alignment horizontal="center"/>
    </xf>
    <xf numFmtId="37" fontId="4" fillId="6" borderId="25" xfId="0" quotePrefix="1" applyFont="1" applyFill="1" applyBorder="1" applyAlignment="1">
      <alignment horizontal="center"/>
    </xf>
    <xf numFmtId="37" fontId="4" fillId="3" borderId="10" xfId="0" quotePrefix="1" applyFont="1" applyFill="1" applyBorder="1" applyAlignment="1">
      <alignment horizontal="center" vertical="top"/>
    </xf>
    <xf numFmtId="37" fontId="4" fillId="3" borderId="6" xfId="0" quotePrefix="1" applyFont="1" applyFill="1" applyBorder="1" applyAlignment="1">
      <alignment horizontal="center"/>
    </xf>
    <xf numFmtId="37" fontId="4" fillId="0" borderId="10" xfId="0" quotePrefix="1" applyFont="1" applyBorder="1" applyAlignment="1">
      <alignment horizontal="right" vertical="center"/>
    </xf>
    <xf numFmtId="37" fontId="4" fillId="0" borderId="37" xfId="0" applyFont="1" applyBorder="1"/>
    <xf numFmtId="37" fontId="4" fillId="0" borderId="39" xfId="0" applyFont="1" applyBorder="1"/>
    <xf numFmtId="37" fontId="4" fillId="3" borderId="14" xfId="0" applyFont="1" applyFill="1" applyBorder="1" applyAlignment="1">
      <alignment horizontal="left"/>
    </xf>
    <xf numFmtId="37" fontId="4" fillId="7" borderId="7" xfId="0" applyFont="1" applyFill="1" applyBorder="1" applyAlignment="1">
      <alignment horizontal="center"/>
    </xf>
    <xf numFmtId="37" fontId="4" fillId="7" borderId="25" xfId="0" applyFont="1" applyFill="1" applyBorder="1" applyAlignment="1">
      <alignment horizontal="center"/>
    </xf>
    <xf numFmtId="37" fontId="4" fillId="7" borderId="8" xfId="0" applyFont="1" applyFill="1" applyBorder="1" applyAlignment="1">
      <alignment horizontal="center"/>
    </xf>
    <xf numFmtId="37" fontId="4" fillId="10" borderId="1" xfId="0" applyFont="1" applyFill="1" applyBorder="1" applyAlignment="1">
      <alignment horizontal="center"/>
    </xf>
    <xf numFmtId="37" fontId="4" fillId="10" borderId="9" xfId="0" quotePrefix="1" applyFont="1" applyFill="1" applyBorder="1" applyAlignment="1">
      <alignment horizontal="center"/>
    </xf>
    <xf numFmtId="37" fontId="4" fillId="3" borderId="34" xfId="0" applyFont="1" applyFill="1" applyBorder="1" applyAlignment="1">
      <alignment horizontal="left"/>
    </xf>
    <xf numFmtId="37" fontId="4" fillId="7" borderId="5" xfId="0" applyFont="1" applyFill="1" applyBorder="1"/>
    <xf numFmtId="37" fontId="4" fillId="7" borderId="6" xfId="0" applyFont="1" applyFill="1" applyBorder="1"/>
    <xf numFmtId="37" fontId="4" fillId="7" borderId="4" xfId="0" applyFont="1" applyFill="1" applyBorder="1" applyAlignment="1" applyProtection="1">
      <alignment horizontal="center"/>
    </xf>
    <xf numFmtId="37" fontId="4" fillId="7"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37" fontId="4" fillId="10" borderId="9" xfId="0" applyFont="1" applyFill="1" applyBorder="1" applyAlignment="1">
      <alignment horizontal="center"/>
    </xf>
    <xf numFmtId="37" fontId="4" fillId="10" borderId="6" xfId="0" applyFont="1" applyFill="1" applyBorder="1" applyAlignment="1">
      <alignment horizontal="center"/>
    </xf>
    <xf numFmtId="37" fontId="4" fillId="8" borderId="43" xfId="0" applyFont="1" applyFill="1" applyBorder="1" applyAlignment="1">
      <alignment horizontal="center"/>
    </xf>
    <xf numFmtId="37" fontId="4" fillId="10" borderId="23" xfId="0" applyFont="1" applyFill="1" applyBorder="1" applyAlignment="1">
      <alignment horizontal="center"/>
    </xf>
    <xf numFmtId="37" fontId="4" fillId="10" borderId="44" xfId="0" quotePrefix="1" applyFont="1" applyFill="1" applyBorder="1" applyAlignment="1">
      <alignment horizontal="center"/>
    </xf>
    <xf numFmtId="171" fontId="7" fillId="7" borderId="6" xfId="0" applyNumberFormat="1" applyFont="1" applyFill="1" applyBorder="1" applyAlignment="1">
      <alignment vertical="center"/>
    </xf>
    <xf numFmtId="171" fontId="7" fillId="0" borderId="6" xfId="0" applyNumberFormat="1" applyFont="1" applyBorder="1" applyAlignment="1">
      <alignment vertical="center"/>
    </xf>
    <xf numFmtId="171" fontId="7" fillId="7" borderId="23" xfId="0" applyNumberFormat="1" applyFont="1" applyFill="1" applyBorder="1" applyAlignment="1">
      <alignment vertical="center"/>
    </xf>
    <xf numFmtId="171" fontId="7" fillId="0" borderId="23" xfId="0" applyNumberFormat="1" applyFont="1" applyBorder="1" applyAlignment="1">
      <alignment vertical="center"/>
    </xf>
    <xf numFmtId="171" fontId="4" fillId="7" borderId="18" xfId="0" applyNumberFormat="1" applyFont="1" applyFill="1" applyBorder="1" applyAlignment="1">
      <alignment vertical="center"/>
    </xf>
    <xf numFmtId="171" fontId="4" fillId="7" borderId="35" xfId="0" applyNumberFormat="1" applyFont="1" applyFill="1" applyBorder="1" applyAlignment="1">
      <alignment vertical="center"/>
    </xf>
    <xf numFmtId="37" fontId="4" fillId="7" borderId="7" xfId="0" applyFont="1" applyFill="1" applyBorder="1" applyAlignment="1">
      <alignment vertical="center"/>
    </xf>
    <xf numFmtId="37" fontId="4" fillId="7" borderId="25" xfId="0" applyFont="1" applyFill="1" applyBorder="1" applyAlignment="1">
      <alignment vertical="center"/>
    </xf>
    <xf numFmtId="37" fontId="4" fillId="7" borderId="8" xfId="0" applyFont="1" applyFill="1" applyBorder="1" applyAlignment="1">
      <alignment horizontal="centerContinuous"/>
    </xf>
    <xf numFmtId="37" fontId="4" fillId="7" borderId="7" xfId="0" applyFont="1" applyFill="1" applyBorder="1" applyAlignment="1">
      <alignment horizontal="centerContinuous"/>
    </xf>
    <xf numFmtId="169" fontId="4" fillId="0" borderId="25"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10" borderId="10" xfId="0" quotePrefix="1" applyFont="1" applyFill="1" applyBorder="1" applyAlignment="1">
      <alignment horizontal="center"/>
    </xf>
    <xf numFmtId="37" fontId="4" fillId="0" borderId="28" xfId="0" applyNumberFormat="1" applyFont="1" applyBorder="1" applyProtection="1"/>
    <xf numFmtId="0" fontId="4" fillId="7" borderId="8" xfId="5" quotePrefix="1" applyFont="1" applyFill="1" applyBorder="1" applyAlignment="1">
      <alignment horizontal="center"/>
    </xf>
    <xf numFmtId="0" fontId="4" fillId="10" borderId="1" xfId="5" applyFont="1" applyFill="1" applyBorder="1" applyAlignment="1">
      <alignment horizontal="center"/>
    </xf>
    <xf numFmtId="0" fontId="4" fillId="10" borderId="9" xfId="5" quotePrefix="1" applyFont="1" applyFill="1" applyBorder="1" applyAlignment="1">
      <alignment horizontal="center"/>
    </xf>
    <xf numFmtId="0" fontId="4" fillId="10" borderId="9" xfId="5" applyFont="1" applyFill="1" applyBorder="1" applyAlignment="1">
      <alignment horizontal="center"/>
    </xf>
    <xf numFmtId="37" fontId="4" fillId="8" borderId="4" xfId="0" applyFont="1" applyFill="1" applyBorder="1" applyAlignment="1">
      <alignment horizontal="center"/>
    </xf>
    <xf numFmtId="37" fontId="0" fillId="0" borderId="11" xfId="0" applyBorder="1"/>
    <xf numFmtId="0" fontId="7" fillId="0" borderId="0" xfId="5" quotePrefix="1" applyFont="1" applyAlignment="1">
      <alignment horizontal="left"/>
    </xf>
    <xf numFmtId="49" fontId="7" fillId="0" borderId="0" xfId="5" quotePrefix="1" applyNumberFormat="1" applyFont="1" applyAlignment="1">
      <alignment horizontal="left"/>
    </xf>
    <xf numFmtId="37" fontId="7" fillId="3" borderId="26" xfId="0" applyFont="1" applyFill="1" applyBorder="1" applyAlignment="1">
      <alignment horizontal="centerContinuous"/>
    </xf>
    <xf numFmtId="37" fontId="7" fillId="3" borderId="29" xfId="0" applyFont="1" applyFill="1" applyBorder="1" applyAlignment="1">
      <alignment horizontal="centerContinuous"/>
    </xf>
    <xf numFmtId="37" fontId="4" fillId="7" borderId="7"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8" xfId="0" quotePrefix="1" applyFont="1" applyFill="1" applyBorder="1" applyAlignment="1">
      <alignment horizontal="center"/>
    </xf>
    <xf numFmtId="37" fontId="4" fillId="3" borderId="24"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5" fontId="0" fillId="0" borderId="0" xfId="2" applyFont="1"/>
    <xf numFmtId="37" fontId="4" fillId="0" borderId="10" xfId="0" applyFont="1" applyFill="1" applyBorder="1" applyAlignment="1">
      <alignment horizontal="centerContinuous"/>
    </xf>
    <xf numFmtId="39" fontId="7" fillId="0" borderId="0" xfId="0" applyNumberFormat="1" applyFont="1"/>
    <xf numFmtId="37" fontId="4" fillId="0" borderId="8" xfId="0" applyFont="1" applyFill="1" applyBorder="1" applyAlignment="1">
      <alignment horizontal="center"/>
    </xf>
    <xf numFmtId="37" fontId="7" fillId="0" borderId="13" xfId="0" applyFont="1" applyFill="1" applyBorder="1" applyAlignment="1">
      <alignment horizontal="center"/>
    </xf>
    <xf numFmtId="37" fontId="4" fillId="7" borderId="45"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0" fontId="7" fillId="0" borderId="0" xfId="2" quotePrefix="1" applyNumberFormat="1" applyFont="1" applyAlignment="1">
      <alignment horizontal="left"/>
    </xf>
    <xf numFmtId="37" fontId="4" fillId="7" borderId="37" xfId="0" applyFont="1" applyFill="1" applyBorder="1" applyAlignment="1">
      <alignment horizontal="center"/>
    </xf>
    <xf numFmtId="49" fontId="4" fillId="0" borderId="24" xfId="0" quotePrefix="1" applyNumberFormat="1" applyFont="1" applyFill="1" applyBorder="1" applyAlignment="1">
      <alignment horizontal="center" vertical="center"/>
    </xf>
    <xf numFmtId="166"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7" xfId="6" applyFont="1" applyBorder="1"/>
    <xf numFmtId="0" fontId="4" fillId="0" borderId="8" xfId="6" applyFont="1" applyBorder="1"/>
    <xf numFmtId="49" fontId="4" fillId="5" borderId="19" xfId="6" applyNumberFormat="1" applyFont="1" applyFill="1" applyBorder="1" applyAlignment="1">
      <alignment horizontal="center"/>
    </xf>
    <xf numFmtId="0" fontId="4" fillId="0" borderId="0" xfId="6" applyFont="1"/>
    <xf numFmtId="166" fontId="10" fillId="0" borderId="0" xfId="6" applyNumberFormat="1" applyFont="1" applyProtection="1">
      <protection locked="0"/>
    </xf>
    <xf numFmtId="171" fontId="7" fillId="0" borderId="0" xfId="6" applyNumberFormat="1" applyFont="1"/>
    <xf numFmtId="49" fontId="7" fillId="0" borderId="1" xfId="6" applyNumberFormat="1" applyFont="1" applyBorder="1" applyAlignment="1">
      <alignment vertical="center"/>
    </xf>
    <xf numFmtId="171" fontId="7" fillId="0" borderId="1" xfId="6" applyNumberFormat="1" applyFont="1" applyBorder="1" applyAlignment="1">
      <alignment vertical="center"/>
    </xf>
    <xf numFmtId="175" fontId="7" fillId="0" borderId="1" xfId="6" applyNumberFormat="1" applyFont="1" applyBorder="1" applyAlignment="1">
      <alignment vertical="center"/>
    </xf>
    <xf numFmtId="0" fontId="7" fillId="0" borderId="11" xfId="6" applyFont="1" applyBorder="1"/>
    <xf numFmtId="171" fontId="7" fillId="0" borderId="11" xfId="6" applyNumberFormat="1" applyFont="1" applyBorder="1"/>
    <xf numFmtId="0" fontId="7" fillId="0" borderId="0" xfId="6" applyFont="1" applyAlignment="1"/>
    <xf numFmtId="0" fontId="8" fillId="0" borderId="0" xfId="6" applyFont="1" applyAlignment="1"/>
    <xf numFmtId="0" fontId="4" fillId="9" borderId="14" xfId="6" applyFont="1" applyFill="1" applyBorder="1" applyAlignment="1">
      <alignment horizontal="centerContinuous"/>
    </xf>
    <xf numFmtId="0" fontId="4" fillId="9" borderId="2" xfId="6" applyFont="1" applyFill="1" applyBorder="1" applyAlignment="1">
      <alignment horizontal="centerContinuous"/>
    </xf>
    <xf numFmtId="0" fontId="4" fillId="9" borderId="5" xfId="6" applyFont="1" applyFill="1" applyBorder="1" applyAlignment="1">
      <alignment horizontal="centerContinuous"/>
    </xf>
    <xf numFmtId="0" fontId="4" fillId="9" borderId="16" xfId="6" applyFont="1" applyFill="1" applyBorder="1" applyAlignment="1">
      <alignment horizontal="centerContinuous"/>
    </xf>
    <xf numFmtId="0" fontId="4" fillId="9" borderId="0" xfId="6" applyFont="1" applyFill="1" applyBorder="1" applyAlignment="1">
      <alignment horizontal="centerContinuous"/>
    </xf>
    <xf numFmtId="0" fontId="4" fillId="9" borderId="6" xfId="6" applyFont="1" applyFill="1" applyBorder="1" applyAlignment="1">
      <alignment horizontal="centerContinuous"/>
    </xf>
    <xf numFmtId="0" fontId="4" fillId="9" borderId="20" xfId="6" applyFont="1" applyFill="1" applyBorder="1" applyAlignment="1">
      <alignment horizontal="centerContinuous"/>
    </xf>
    <xf numFmtId="0" fontId="4" fillId="9" borderId="3" xfId="6" applyFont="1" applyFill="1" applyBorder="1" applyAlignment="1">
      <alignment horizontal="centerContinuous"/>
    </xf>
    <xf numFmtId="0" fontId="4" fillId="9" borderId="10" xfId="6" applyFont="1" applyFill="1" applyBorder="1" applyAlignment="1">
      <alignment horizontal="centerContinuous"/>
    </xf>
    <xf numFmtId="49" fontId="7" fillId="11" borderId="1" xfId="6" applyNumberFormat="1" applyFont="1" applyFill="1" applyBorder="1" applyAlignment="1">
      <alignment vertical="center"/>
    </xf>
    <xf numFmtId="171" fontId="7" fillId="11" borderId="1" xfId="6" applyNumberFormat="1" applyFont="1" applyFill="1" applyBorder="1" applyAlignment="1">
      <alignment vertical="center"/>
    </xf>
    <xf numFmtId="175" fontId="7" fillId="11" borderId="1" xfId="6" applyNumberFormat="1" applyFont="1" applyFill="1" applyBorder="1" applyAlignment="1">
      <alignment vertical="center"/>
    </xf>
    <xf numFmtId="49" fontId="4" fillId="11" borderId="19" xfId="3" applyNumberFormat="1" applyFont="1" applyFill="1" applyBorder="1" applyAlignment="1">
      <alignment vertical="center"/>
    </xf>
    <xf numFmtId="171" fontId="4" fillId="11" borderId="24" xfId="6" applyNumberFormat="1" applyFont="1" applyFill="1" applyBorder="1"/>
    <xf numFmtId="175" fontId="4" fillId="11" borderId="24"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6"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2" borderId="4" xfId="0" applyFont="1" applyFill="1" applyBorder="1" applyAlignment="1">
      <alignment horizontal="centerContinuous"/>
    </xf>
    <xf numFmtId="37" fontId="4" fillId="11" borderId="4" xfId="0" quotePrefix="1" applyFont="1" applyFill="1" applyBorder="1" applyAlignment="1">
      <alignment horizontal="center"/>
    </xf>
    <xf numFmtId="37" fontId="4" fillId="11" borderId="4" xfId="0" applyFont="1" applyFill="1" applyBorder="1" applyAlignment="1">
      <alignment horizontal="center"/>
    </xf>
    <xf numFmtId="37" fontId="4" fillId="12" borderId="6" xfId="0" applyFont="1" applyFill="1" applyBorder="1" applyAlignment="1">
      <alignment horizontal="centerContinuous"/>
    </xf>
    <xf numFmtId="37" fontId="4" fillId="11" borderId="1" xfId="0" applyFont="1" applyFill="1" applyBorder="1" applyAlignment="1">
      <alignment horizontal="centerContinuous"/>
    </xf>
    <xf numFmtId="37" fontId="4" fillId="12" borderId="10" xfId="0" applyFont="1" applyFill="1" applyBorder="1" applyAlignment="1">
      <alignment horizontal="centerContinuous"/>
    </xf>
    <xf numFmtId="37" fontId="4" fillId="11" borderId="9" xfId="0" applyFont="1" applyFill="1" applyBorder="1" applyAlignment="1">
      <alignment horizontal="centerContinuous"/>
    </xf>
    <xf numFmtId="37" fontId="4" fillId="3" borderId="34" xfId="0" quotePrefix="1" applyFont="1" applyFill="1" applyBorder="1" applyAlignment="1">
      <alignment horizontal="left"/>
    </xf>
    <xf numFmtId="0" fontId="7" fillId="13"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7" borderId="37" xfId="0" applyFont="1" applyFill="1" applyBorder="1" applyAlignment="1" applyProtection="1">
      <alignment horizontal="centerContinuous"/>
    </xf>
    <xf numFmtId="37" fontId="4" fillId="7" borderId="38" xfId="0" applyFont="1" applyFill="1" applyBorder="1" applyAlignment="1" applyProtection="1">
      <alignment horizontal="centerContinuous"/>
    </xf>
    <xf numFmtId="37" fontId="4" fillId="7" borderId="39" xfId="0" applyFont="1" applyFill="1" applyBorder="1" applyAlignment="1" applyProtection="1">
      <alignment horizontal="centerContinuous"/>
    </xf>
    <xf numFmtId="37" fontId="4" fillId="7" borderId="40"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167" fontId="26" fillId="0" borderId="0" xfId="8" applyNumberFormat="1" applyFont="1"/>
    <xf numFmtId="37" fontId="26" fillId="0" borderId="0" xfId="0" quotePrefix="1" applyFont="1" applyAlignment="1">
      <alignment horizontal="left"/>
    </xf>
    <xf numFmtId="0" fontId="26" fillId="0" borderId="0" xfId="6" applyFont="1"/>
    <xf numFmtId="171" fontId="26" fillId="0" borderId="0" xfId="6" applyNumberFormat="1" applyFont="1"/>
    <xf numFmtId="177" fontId="26" fillId="0" borderId="0" xfId="6" applyNumberFormat="1" applyFont="1"/>
    <xf numFmtId="173" fontId="7" fillId="0" borderId="0" xfId="0" applyNumberFormat="1" applyFont="1"/>
    <xf numFmtId="49" fontId="7" fillId="0" borderId="0" xfId="0" quotePrefix="1" applyNumberFormat="1" applyFont="1" applyBorder="1" applyAlignment="1">
      <alignment horizontal="left"/>
    </xf>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7" borderId="46" xfId="0" applyFont="1" applyFill="1" applyBorder="1" applyAlignment="1">
      <alignment horizontal="centerContinuous"/>
    </xf>
    <xf numFmtId="37" fontId="4" fillId="9" borderId="9" xfId="0" applyFont="1" applyFill="1" applyBorder="1" applyAlignment="1">
      <alignment horizontal="center" wrapText="1"/>
    </xf>
    <xf numFmtId="37" fontId="4" fillId="9" borderId="9" xfId="0" applyFont="1" applyFill="1" applyBorder="1" applyAlignment="1">
      <alignment wrapText="1"/>
    </xf>
    <xf numFmtId="37" fontId="4" fillId="10" borderId="47" xfId="0" applyFont="1" applyFill="1" applyBorder="1" applyAlignment="1">
      <alignment horizontal="center"/>
    </xf>
    <xf numFmtId="37" fontId="4" fillId="10" borderId="48" xfId="0" applyFont="1" applyFill="1" applyBorder="1" applyAlignment="1">
      <alignment horizontal="center"/>
    </xf>
    <xf numFmtId="37" fontId="4" fillId="10" borderId="0" xfId="0" applyFont="1" applyFill="1" applyBorder="1" applyAlignment="1">
      <alignment horizontal="center"/>
    </xf>
    <xf numFmtId="37" fontId="4" fillId="10" borderId="25" xfId="0" quotePrefix="1" applyFont="1" applyFill="1" applyBorder="1" applyAlignment="1">
      <alignment horizontal="center"/>
    </xf>
    <xf numFmtId="37" fontId="4" fillId="10" borderId="49" xfId="0" applyFont="1" applyFill="1" applyBorder="1" applyAlignment="1">
      <alignment horizontal="center"/>
    </xf>
    <xf numFmtId="37" fontId="4" fillId="10" borderId="3" xfId="0" applyFont="1" applyFill="1" applyBorder="1" applyAlignment="1">
      <alignment horizontal="center"/>
    </xf>
    <xf numFmtId="37" fontId="4" fillId="10" borderId="8" xfId="0" applyFont="1" applyFill="1" applyBorder="1" applyAlignment="1">
      <alignment horizontal="center"/>
    </xf>
    <xf numFmtId="166" fontId="7" fillId="0" borderId="11" xfId="0" applyNumberFormat="1" applyFont="1" applyBorder="1" applyProtection="1"/>
    <xf numFmtId="37" fontId="27" fillId="0" borderId="0" xfId="0" applyFont="1"/>
    <xf numFmtId="0" fontId="4" fillId="5" borderId="19" xfId="6" applyNumberFormat="1" applyFont="1" applyFill="1" applyBorder="1" applyAlignment="1">
      <alignment horizontal="center" vertical="center" wrapText="1"/>
    </xf>
    <xf numFmtId="37" fontId="4" fillId="7" borderId="4" xfId="0" applyFont="1" applyFill="1" applyBorder="1" applyAlignment="1">
      <alignment horizontal="center" vertical="center" wrapText="1"/>
    </xf>
    <xf numFmtId="37" fontId="4" fillId="7" borderId="1" xfId="0" applyFont="1" applyFill="1" applyBorder="1" applyAlignment="1">
      <alignment horizontal="center" vertical="center" wrapText="1"/>
    </xf>
    <xf numFmtId="37" fontId="4" fillId="7" borderId="9" xfId="0" applyFont="1" applyFill="1" applyBorder="1" applyAlignment="1">
      <alignment horizontal="center" vertical="center" wrapText="1"/>
    </xf>
    <xf numFmtId="178"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6" fontId="7" fillId="0" borderId="2" xfId="7" applyNumberFormat="1" applyFont="1" applyBorder="1" applyAlignment="1" applyProtection="1">
      <alignment horizontal="left"/>
    </xf>
    <xf numFmtId="166"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8" fontId="7" fillId="11" borderId="1" xfId="7" applyNumberFormat="1" applyFont="1" applyFill="1" applyBorder="1"/>
    <xf numFmtId="168" fontId="7" fillId="3" borderId="1" xfId="7" applyNumberFormat="1" applyFont="1" applyFill="1" applyBorder="1"/>
    <xf numFmtId="168" fontId="4" fillId="11" borderId="19" xfId="7" applyNumberFormat="1" applyFont="1" applyFill="1" applyBorder="1"/>
    <xf numFmtId="168" fontId="7" fillId="0" borderId="0" xfId="7" applyNumberFormat="1" applyFont="1"/>
    <xf numFmtId="39" fontId="7" fillId="0" borderId="1" xfId="7" applyFont="1" applyBorder="1" applyProtection="1"/>
    <xf numFmtId="39" fontId="7" fillId="11" borderId="1" xfId="7" applyFont="1" applyFill="1" applyBorder="1" applyProtection="1"/>
    <xf numFmtId="37" fontId="25" fillId="0" borderId="0" xfId="0" applyFont="1" applyAlignment="1">
      <alignment horizontal="left" indent="5"/>
    </xf>
    <xf numFmtId="37" fontId="7" fillId="0" borderId="33" xfId="0" applyFont="1" applyBorder="1"/>
    <xf numFmtId="49" fontId="7" fillId="0" borderId="0" xfId="0" applyNumberFormat="1" applyFont="1" applyFill="1" applyAlignment="1"/>
    <xf numFmtId="0" fontId="7" fillId="0" borderId="0" xfId="0" applyNumberFormat="1" applyFont="1" applyAlignment="1"/>
    <xf numFmtId="37" fontId="8" fillId="0" borderId="0" xfId="0" applyFont="1" applyBorder="1"/>
    <xf numFmtId="37" fontId="4" fillId="7" borderId="54" xfId="0" applyFont="1" applyFill="1" applyBorder="1" applyAlignment="1">
      <alignment horizontal="centerContinuous"/>
    </xf>
    <xf numFmtId="37" fontId="4" fillId="7" borderId="55" xfId="0" applyFont="1" applyFill="1" applyBorder="1" applyAlignment="1">
      <alignment horizontal="centerContinuous"/>
    </xf>
    <xf numFmtId="37" fontId="4" fillId="7" borderId="56" xfId="0" applyFont="1" applyFill="1" applyBorder="1" applyAlignment="1">
      <alignment horizontal="centerContinuous"/>
    </xf>
    <xf numFmtId="37" fontId="4" fillId="7" borderId="57" xfId="0" applyFont="1" applyFill="1" applyBorder="1" applyAlignment="1">
      <alignment horizontal="center"/>
    </xf>
    <xf numFmtId="37" fontId="4" fillId="7" borderId="58" xfId="0" applyFont="1" applyFill="1" applyBorder="1" applyAlignment="1">
      <alignment horizontal="center"/>
    </xf>
    <xf numFmtId="37" fontId="4" fillId="3" borderId="59" xfId="0" quotePrefix="1" applyFont="1" applyFill="1" applyBorder="1" applyAlignment="1">
      <alignment horizontal="center"/>
    </xf>
    <xf numFmtId="37" fontId="4" fillId="3" borderId="60" xfId="0" applyFont="1" applyFill="1" applyBorder="1" applyAlignment="1">
      <alignment horizontal="center"/>
    </xf>
    <xf numFmtId="37" fontId="4" fillId="0" borderId="61" xfId="0" applyFont="1" applyFill="1" applyBorder="1" applyAlignment="1">
      <alignment horizontal="centerContinuous"/>
    </xf>
    <xf numFmtId="37" fontId="4" fillId="0" borderId="62" xfId="0" applyFont="1" applyBorder="1" applyAlignment="1">
      <alignment horizontal="centerContinuous"/>
    </xf>
    <xf numFmtId="37" fontId="4" fillId="0" borderId="63" xfId="0" applyFont="1" applyBorder="1" applyAlignment="1">
      <alignment horizontal="centerContinuous"/>
    </xf>
    <xf numFmtId="37" fontId="4" fillId="0" borderId="63" xfId="0" applyFont="1" applyFill="1" applyBorder="1" applyAlignment="1">
      <alignment horizontal="centerContinuous"/>
    </xf>
    <xf numFmtId="37" fontId="4" fillId="0" borderId="64" xfId="0" applyFont="1" applyBorder="1" applyAlignment="1">
      <alignment horizontal="centerContinuous"/>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6"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6" fontId="15" fillId="0" borderId="11"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15" fillId="8" borderId="0" xfId="9" applyFont="1" applyFill="1"/>
    <xf numFmtId="37" fontId="24" fillId="0" borderId="0" xfId="9"/>
    <xf numFmtId="37" fontId="20" fillId="8" borderId="0" xfId="9" quotePrefix="1" applyFont="1" applyFill="1" applyAlignment="1">
      <alignment horizontal="center"/>
    </xf>
    <xf numFmtId="37" fontId="15" fillId="8" borderId="0" xfId="9" applyFont="1" applyFill="1" applyAlignment="1"/>
    <xf numFmtId="37" fontId="15" fillId="8" borderId="0" xfId="9" applyFont="1" applyFill="1" applyAlignment="1">
      <alignment horizontal="left" vertical="top" wrapText="1"/>
    </xf>
    <xf numFmtId="37" fontId="15" fillId="8" borderId="0" xfId="9" applyFont="1" applyFill="1" applyAlignment="1">
      <alignment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49" fontId="4" fillId="0" borderId="41"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3" xfId="0" quotePrefix="1" applyNumberFormat="1" applyFont="1" applyBorder="1" applyAlignment="1">
      <alignment horizontal="center" vertical="center"/>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7" borderId="14" xfId="0" applyFont="1" applyFill="1" applyBorder="1" applyAlignment="1">
      <alignment horizontal="center"/>
    </xf>
    <xf numFmtId="37" fontId="4" fillId="7" borderId="5" xfId="0" applyFont="1" applyFill="1" applyBorder="1" applyAlignment="1">
      <alignment horizontal="center"/>
    </xf>
    <xf numFmtId="37" fontId="4" fillId="7" borderId="20" xfId="0" applyFont="1" applyFill="1" applyBorder="1" applyAlignment="1">
      <alignment horizontal="center"/>
    </xf>
    <xf numFmtId="37" fontId="4" fillId="7" borderId="10" xfId="0" applyFont="1" applyFill="1" applyBorder="1" applyAlignment="1">
      <alignment horizontal="center"/>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8" borderId="12" xfId="0" applyFont="1" applyFill="1" applyBorder="1" applyAlignment="1">
      <alignment horizontal="center"/>
    </xf>
    <xf numFmtId="37" fontId="4" fillId="8" borderId="50" xfId="0" applyFont="1" applyFill="1" applyBorder="1" applyAlignment="1">
      <alignment horizontal="center"/>
    </xf>
    <xf numFmtId="37" fontId="4" fillId="7" borderId="25" xfId="0" quotePrefix="1" applyFont="1" applyFill="1" applyBorder="1" applyAlignment="1">
      <alignment horizontal="center"/>
    </xf>
    <xf numFmtId="37" fontId="4" fillId="7"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0" borderId="12" xfId="0" quotePrefix="1" applyFont="1" applyBorder="1" applyAlignment="1">
      <alignment horizontal="right" vertical="center"/>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3" borderId="13" xfId="0" applyFont="1" applyFill="1" applyBorder="1" applyAlignment="1">
      <alignment horizontal="right" vertical="center"/>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9" borderId="4" xfId="0" applyFont="1" applyFill="1" applyBorder="1" applyAlignment="1">
      <alignment horizontal="center" wrapText="1"/>
    </xf>
    <xf numFmtId="37" fontId="4" fillId="9" borderId="9" xfId="0" applyFont="1" applyFill="1" applyBorder="1" applyAlignment="1">
      <alignment horizontal="center" wrapText="1"/>
    </xf>
    <xf numFmtId="37" fontId="4" fillId="9" borderId="51" xfId="0" applyFont="1" applyFill="1" applyBorder="1" applyAlignment="1">
      <alignment horizontal="center" wrapText="1"/>
    </xf>
    <xf numFmtId="37" fontId="4" fillId="9" borderId="52" xfId="0" applyFont="1" applyFill="1" applyBorder="1" applyAlignment="1">
      <alignment horizontal="center" wrapText="1"/>
    </xf>
    <xf numFmtId="49" fontId="4" fillId="0" borderId="0" xfId="7" applyNumberFormat="1" applyFont="1" applyFill="1" applyBorder="1" applyAlignment="1" applyProtection="1">
      <alignment horizont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9" borderId="14" xfId="0" applyFont="1" applyFill="1" applyBorder="1" applyAlignment="1">
      <alignment horizontal="center" wrapText="1"/>
    </xf>
    <xf numFmtId="37" fontId="4" fillId="9" borderId="5" xfId="0" applyFont="1" applyFill="1" applyBorder="1" applyAlignment="1">
      <alignment horizontal="center"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2.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3.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9-10%20FRAME%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usfb/Frame/REPORTS/2008-09%20FRAME%20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edu.gov.mb.ca/k12/finance/frame_manual/index.html"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WVK19"/>
  <sheetViews>
    <sheetView showRowColHeaders="0" tabSelected="1" workbookViewId="0"/>
  </sheetViews>
  <sheetFormatPr defaultColWidth="0" defaultRowHeight="12" customHeight="1" zeroHeight="1"/>
  <cols>
    <col min="1" max="1" width="9.33203125" style="703" customWidth="1"/>
    <col min="2" max="2" width="133.5" style="703" customWidth="1"/>
    <col min="3" max="3" width="9.33203125" style="703" customWidth="1"/>
    <col min="4" max="256" width="0" style="703" hidden="1"/>
    <col min="257" max="257" width="9.33203125" style="703" hidden="1" customWidth="1"/>
    <col min="258" max="258" width="133.5" style="703" hidden="1" customWidth="1"/>
    <col min="259" max="259" width="9.33203125" style="703" hidden="1" customWidth="1"/>
    <col min="260" max="512" width="0" style="703" hidden="1"/>
    <col min="513" max="513" width="9.33203125" style="703" hidden="1" customWidth="1"/>
    <col min="514" max="514" width="133.5" style="703" hidden="1" customWidth="1"/>
    <col min="515" max="515" width="9.33203125" style="703" hidden="1" customWidth="1"/>
    <col min="516" max="768" width="0" style="703" hidden="1"/>
    <col min="769" max="769" width="9.33203125" style="703" hidden="1" customWidth="1"/>
    <col min="770" max="770" width="133.5" style="703" hidden="1" customWidth="1"/>
    <col min="771" max="771" width="9.33203125" style="703" hidden="1" customWidth="1"/>
    <col min="772" max="1024" width="0" style="703" hidden="1"/>
    <col min="1025" max="1025" width="9.33203125" style="703" hidden="1" customWidth="1"/>
    <col min="1026" max="1026" width="133.5" style="703" hidden="1" customWidth="1"/>
    <col min="1027" max="1027" width="9.33203125" style="703" hidden="1" customWidth="1"/>
    <col min="1028" max="1280" width="0" style="703" hidden="1"/>
    <col min="1281" max="1281" width="9.33203125" style="703" hidden="1" customWidth="1"/>
    <col min="1282" max="1282" width="133.5" style="703" hidden="1" customWidth="1"/>
    <col min="1283" max="1283" width="9.33203125" style="703" hidden="1" customWidth="1"/>
    <col min="1284" max="1536" width="0" style="703" hidden="1"/>
    <col min="1537" max="1537" width="9.33203125" style="703" hidden="1" customWidth="1"/>
    <col min="1538" max="1538" width="133.5" style="703" hidden="1" customWidth="1"/>
    <col min="1539" max="1539" width="9.33203125" style="703" hidden="1" customWidth="1"/>
    <col min="1540" max="1792" width="0" style="703" hidden="1"/>
    <col min="1793" max="1793" width="9.33203125" style="703" hidden="1" customWidth="1"/>
    <col min="1794" max="1794" width="133.5" style="703" hidden="1" customWidth="1"/>
    <col min="1795" max="1795" width="9.33203125" style="703" hidden="1" customWidth="1"/>
    <col min="1796" max="2048" width="0" style="703" hidden="1"/>
    <col min="2049" max="2049" width="9.33203125" style="703" hidden="1" customWidth="1"/>
    <col min="2050" max="2050" width="133.5" style="703" hidden="1" customWidth="1"/>
    <col min="2051" max="2051" width="9.33203125" style="703" hidden="1" customWidth="1"/>
    <col min="2052" max="2304" width="0" style="703" hidden="1"/>
    <col min="2305" max="2305" width="9.33203125" style="703" hidden="1" customWidth="1"/>
    <col min="2306" max="2306" width="133.5" style="703" hidden="1" customWidth="1"/>
    <col min="2307" max="2307" width="9.33203125" style="703" hidden="1" customWidth="1"/>
    <col min="2308" max="2560" width="0" style="703" hidden="1"/>
    <col min="2561" max="2561" width="9.33203125" style="703" hidden="1" customWidth="1"/>
    <col min="2562" max="2562" width="133.5" style="703" hidden="1" customWidth="1"/>
    <col min="2563" max="2563" width="9.33203125" style="703" hidden="1" customWidth="1"/>
    <col min="2564" max="2816" width="0" style="703" hidden="1"/>
    <col min="2817" max="2817" width="9.33203125" style="703" hidden="1" customWidth="1"/>
    <col min="2818" max="2818" width="133.5" style="703" hidden="1" customWidth="1"/>
    <col min="2819" max="2819" width="9.33203125" style="703" hidden="1" customWidth="1"/>
    <col min="2820" max="3072" width="0" style="703" hidden="1"/>
    <col min="3073" max="3073" width="9.33203125" style="703" hidden="1" customWidth="1"/>
    <col min="3074" max="3074" width="133.5" style="703" hidden="1" customWidth="1"/>
    <col min="3075" max="3075" width="9.33203125" style="703" hidden="1" customWidth="1"/>
    <col min="3076" max="3328" width="0" style="703" hidden="1"/>
    <col min="3329" max="3329" width="9.33203125" style="703" hidden="1" customWidth="1"/>
    <col min="3330" max="3330" width="133.5" style="703" hidden="1" customWidth="1"/>
    <col min="3331" max="3331" width="9.33203125" style="703" hidden="1" customWidth="1"/>
    <col min="3332" max="3584" width="0" style="703" hidden="1"/>
    <col min="3585" max="3585" width="9.33203125" style="703" hidden="1" customWidth="1"/>
    <col min="3586" max="3586" width="133.5" style="703" hidden="1" customWidth="1"/>
    <col min="3587" max="3587" width="9.33203125" style="703" hidden="1" customWidth="1"/>
    <col min="3588" max="3840" width="0" style="703" hidden="1"/>
    <col min="3841" max="3841" width="9.33203125" style="703" hidden="1" customWidth="1"/>
    <col min="3842" max="3842" width="133.5" style="703" hidden="1" customWidth="1"/>
    <col min="3843" max="3843" width="9.33203125" style="703" hidden="1" customWidth="1"/>
    <col min="3844" max="4096" width="0" style="703" hidden="1"/>
    <col min="4097" max="4097" width="9.33203125" style="703" hidden="1" customWidth="1"/>
    <col min="4098" max="4098" width="133.5" style="703" hidden="1" customWidth="1"/>
    <col min="4099" max="4099" width="9.33203125" style="703" hidden="1" customWidth="1"/>
    <col min="4100" max="4352" width="0" style="703" hidden="1"/>
    <col min="4353" max="4353" width="9.33203125" style="703" hidden="1" customWidth="1"/>
    <col min="4354" max="4354" width="133.5" style="703" hidden="1" customWidth="1"/>
    <col min="4355" max="4355" width="9.33203125" style="703" hidden="1" customWidth="1"/>
    <col min="4356" max="4608" width="0" style="703" hidden="1"/>
    <col min="4609" max="4609" width="9.33203125" style="703" hidden="1" customWidth="1"/>
    <col min="4610" max="4610" width="133.5" style="703" hidden="1" customWidth="1"/>
    <col min="4611" max="4611" width="9.33203125" style="703" hidden="1" customWidth="1"/>
    <col min="4612" max="4864" width="0" style="703" hidden="1"/>
    <col min="4865" max="4865" width="9.33203125" style="703" hidden="1" customWidth="1"/>
    <col min="4866" max="4866" width="133.5" style="703" hidden="1" customWidth="1"/>
    <col min="4867" max="4867" width="9.33203125" style="703" hidden="1" customWidth="1"/>
    <col min="4868" max="5120" width="0" style="703" hidden="1"/>
    <col min="5121" max="5121" width="9.33203125" style="703" hidden="1" customWidth="1"/>
    <col min="5122" max="5122" width="133.5" style="703" hidden="1" customWidth="1"/>
    <col min="5123" max="5123" width="9.33203125" style="703" hidden="1" customWidth="1"/>
    <col min="5124" max="5376" width="0" style="703" hidden="1"/>
    <col min="5377" max="5377" width="9.33203125" style="703" hidden="1" customWidth="1"/>
    <col min="5378" max="5378" width="133.5" style="703" hidden="1" customWidth="1"/>
    <col min="5379" max="5379" width="9.33203125" style="703" hidden="1" customWidth="1"/>
    <col min="5380" max="5632" width="0" style="703" hidden="1"/>
    <col min="5633" max="5633" width="9.33203125" style="703" hidden="1" customWidth="1"/>
    <col min="5634" max="5634" width="133.5" style="703" hidden="1" customWidth="1"/>
    <col min="5635" max="5635" width="9.33203125" style="703" hidden="1" customWidth="1"/>
    <col min="5636" max="5888" width="0" style="703" hidden="1"/>
    <col min="5889" max="5889" width="9.33203125" style="703" hidden="1" customWidth="1"/>
    <col min="5890" max="5890" width="133.5" style="703" hidden="1" customWidth="1"/>
    <col min="5891" max="5891" width="9.33203125" style="703" hidden="1" customWidth="1"/>
    <col min="5892" max="6144" width="0" style="703" hidden="1"/>
    <col min="6145" max="6145" width="9.33203125" style="703" hidden="1" customWidth="1"/>
    <col min="6146" max="6146" width="133.5" style="703" hidden="1" customWidth="1"/>
    <col min="6147" max="6147" width="9.33203125" style="703" hidden="1" customWidth="1"/>
    <col min="6148" max="6400" width="0" style="703" hidden="1"/>
    <col min="6401" max="6401" width="9.33203125" style="703" hidden="1" customWidth="1"/>
    <col min="6402" max="6402" width="133.5" style="703" hidden="1" customWidth="1"/>
    <col min="6403" max="6403" width="9.33203125" style="703" hidden="1" customWidth="1"/>
    <col min="6404" max="6656" width="0" style="703" hidden="1"/>
    <col min="6657" max="6657" width="9.33203125" style="703" hidden="1" customWidth="1"/>
    <col min="6658" max="6658" width="133.5" style="703" hidden="1" customWidth="1"/>
    <col min="6659" max="6659" width="9.33203125" style="703" hidden="1" customWidth="1"/>
    <col min="6660" max="6912" width="0" style="703" hidden="1"/>
    <col min="6913" max="6913" width="9.33203125" style="703" hidden="1" customWidth="1"/>
    <col min="6914" max="6914" width="133.5" style="703" hidden="1" customWidth="1"/>
    <col min="6915" max="6915" width="9.33203125" style="703" hidden="1" customWidth="1"/>
    <col min="6916" max="7168" width="0" style="703" hidden="1"/>
    <col min="7169" max="7169" width="9.33203125" style="703" hidden="1" customWidth="1"/>
    <col min="7170" max="7170" width="133.5" style="703" hidden="1" customWidth="1"/>
    <col min="7171" max="7171" width="9.33203125" style="703" hidden="1" customWidth="1"/>
    <col min="7172" max="7424" width="0" style="703" hidden="1"/>
    <col min="7425" max="7425" width="9.33203125" style="703" hidden="1" customWidth="1"/>
    <col min="7426" max="7426" width="133.5" style="703" hidden="1" customWidth="1"/>
    <col min="7427" max="7427" width="9.33203125" style="703" hidden="1" customWidth="1"/>
    <col min="7428" max="7680" width="0" style="703" hidden="1"/>
    <col min="7681" max="7681" width="9.33203125" style="703" hidden="1" customWidth="1"/>
    <col min="7682" max="7682" width="133.5" style="703" hidden="1" customWidth="1"/>
    <col min="7683" max="7683" width="9.33203125" style="703" hidden="1" customWidth="1"/>
    <col min="7684" max="7936" width="0" style="703" hidden="1"/>
    <col min="7937" max="7937" width="9.33203125" style="703" hidden="1" customWidth="1"/>
    <col min="7938" max="7938" width="133.5" style="703" hidden="1" customWidth="1"/>
    <col min="7939" max="7939" width="9.33203125" style="703" hidden="1" customWidth="1"/>
    <col min="7940" max="8192" width="0" style="703" hidden="1"/>
    <col min="8193" max="8193" width="9.33203125" style="703" hidden="1" customWidth="1"/>
    <col min="8194" max="8194" width="133.5" style="703" hidden="1" customWidth="1"/>
    <col min="8195" max="8195" width="9.33203125" style="703" hidden="1" customWidth="1"/>
    <col min="8196" max="8448" width="0" style="703" hidden="1"/>
    <col min="8449" max="8449" width="9.33203125" style="703" hidden="1" customWidth="1"/>
    <col min="8450" max="8450" width="133.5" style="703" hidden="1" customWidth="1"/>
    <col min="8451" max="8451" width="9.33203125" style="703" hidden="1" customWidth="1"/>
    <col min="8452" max="8704" width="0" style="703" hidden="1"/>
    <col min="8705" max="8705" width="9.33203125" style="703" hidden="1" customWidth="1"/>
    <col min="8706" max="8706" width="133.5" style="703" hidden="1" customWidth="1"/>
    <col min="8707" max="8707" width="9.33203125" style="703" hidden="1" customWidth="1"/>
    <col min="8708" max="8960" width="0" style="703" hidden="1"/>
    <col min="8961" max="8961" width="9.33203125" style="703" hidden="1" customWidth="1"/>
    <col min="8962" max="8962" width="133.5" style="703" hidden="1" customWidth="1"/>
    <col min="8963" max="8963" width="9.33203125" style="703" hidden="1" customWidth="1"/>
    <col min="8964" max="9216" width="0" style="703" hidden="1"/>
    <col min="9217" max="9217" width="9.33203125" style="703" hidden="1" customWidth="1"/>
    <col min="9218" max="9218" width="133.5" style="703" hidden="1" customWidth="1"/>
    <col min="9219" max="9219" width="9.33203125" style="703" hidden="1" customWidth="1"/>
    <col min="9220" max="9472" width="0" style="703" hidden="1"/>
    <col min="9473" max="9473" width="9.33203125" style="703" hidden="1" customWidth="1"/>
    <col min="9474" max="9474" width="133.5" style="703" hidden="1" customWidth="1"/>
    <col min="9475" max="9475" width="9.33203125" style="703" hidden="1" customWidth="1"/>
    <col min="9476" max="9728" width="0" style="703" hidden="1"/>
    <col min="9729" max="9729" width="9.33203125" style="703" hidden="1" customWidth="1"/>
    <col min="9730" max="9730" width="133.5" style="703" hidden="1" customWidth="1"/>
    <col min="9731" max="9731" width="9.33203125" style="703" hidden="1" customWidth="1"/>
    <col min="9732" max="9984" width="0" style="703" hidden="1"/>
    <col min="9985" max="9985" width="9.33203125" style="703" hidden="1" customWidth="1"/>
    <col min="9986" max="9986" width="133.5" style="703" hidden="1" customWidth="1"/>
    <col min="9987" max="9987" width="9.33203125" style="703" hidden="1" customWidth="1"/>
    <col min="9988" max="10240" width="0" style="703" hidden="1"/>
    <col min="10241" max="10241" width="9.33203125" style="703" hidden="1" customWidth="1"/>
    <col min="10242" max="10242" width="133.5" style="703" hidden="1" customWidth="1"/>
    <col min="10243" max="10243" width="9.33203125" style="703" hidden="1" customWidth="1"/>
    <col min="10244" max="10496" width="0" style="703" hidden="1"/>
    <col min="10497" max="10497" width="9.33203125" style="703" hidden="1" customWidth="1"/>
    <col min="10498" max="10498" width="133.5" style="703" hidden="1" customWidth="1"/>
    <col min="10499" max="10499" width="9.33203125" style="703" hidden="1" customWidth="1"/>
    <col min="10500" max="10752" width="0" style="703" hidden="1"/>
    <col min="10753" max="10753" width="9.33203125" style="703" hidden="1" customWidth="1"/>
    <col min="10754" max="10754" width="133.5" style="703" hidden="1" customWidth="1"/>
    <col min="10755" max="10755" width="9.33203125" style="703" hidden="1" customWidth="1"/>
    <col min="10756" max="11008" width="0" style="703" hidden="1"/>
    <col min="11009" max="11009" width="9.33203125" style="703" hidden="1" customWidth="1"/>
    <col min="11010" max="11010" width="133.5" style="703" hidden="1" customWidth="1"/>
    <col min="11011" max="11011" width="9.33203125" style="703" hidden="1" customWidth="1"/>
    <col min="11012" max="11264" width="0" style="703" hidden="1"/>
    <col min="11265" max="11265" width="9.33203125" style="703" hidden="1" customWidth="1"/>
    <col min="11266" max="11266" width="133.5" style="703" hidden="1" customWidth="1"/>
    <col min="11267" max="11267" width="9.33203125" style="703" hidden="1" customWidth="1"/>
    <col min="11268" max="11520" width="0" style="703" hidden="1"/>
    <col min="11521" max="11521" width="9.33203125" style="703" hidden="1" customWidth="1"/>
    <col min="11522" max="11522" width="133.5" style="703" hidden="1" customWidth="1"/>
    <col min="11523" max="11523" width="9.33203125" style="703" hidden="1" customWidth="1"/>
    <col min="11524" max="11776" width="0" style="703" hidden="1"/>
    <col min="11777" max="11777" width="9.33203125" style="703" hidden="1" customWidth="1"/>
    <col min="11778" max="11778" width="133.5" style="703" hidden="1" customWidth="1"/>
    <col min="11779" max="11779" width="9.33203125" style="703" hidden="1" customWidth="1"/>
    <col min="11780" max="12032" width="0" style="703" hidden="1"/>
    <col min="12033" max="12033" width="9.33203125" style="703" hidden="1" customWidth="1"/>
    <col min="12034" max="12034" width="133.5" style="703" hidden="1" customWidth="1"/>
    <col min="12035" max="12035" width="9.33203125" style="703" hidden="1" customWidth="1"/>
    <col min="12036" max="12288" width="0" style="703" hidden="1"/>
    <col min="12289" max="12289" width="9.33203125" style="703" hidden="1" customWidth="1"/>
    <col min="12290" max="12290" width="133.5" style="703" hidden="1" customWidth="1"/>
    <col min="12291" max="12291" width="9.33203125" style="703" hidden="1" customWidth="1"/>
    <col min="12292" max="12544" width="0" style="703" hidden="1"/>
    <col min="12545" max="12545" width="9.33203125" style="703" hidden="1" customWidth="1"/>
    <col min="12546" max="12546" width="133.5" style="703" hidden="1" customWidth="1"/>
    <col min="12547" max="12547" width="9.33203125" style="703" hidden="1" customWidth="1"/>
    <col min="12548" max="12800" width="0" style="703" hidden="1"/>
    <col min="12801" max="12801" width="9.33203125" style="703" hidden="1" customWidth="1"/>
    <col min="12802" max="12802" width="133.5" style="703" hidden="1" customWidth="1"/>
    <col min="12803" max="12803" width="9.33203125" style="703" hidden="1" customWidth="1"/>
    <col min="12804" max="13056" width="0" style="703" hidden="1"/>
    <col min="13057" max="13057" width="9.33203125" style="703" hidden="1" customWidth="1"/>
    <col min="13058" max="13058" width="133.5" style="703" hidden="1" customWidth="1"/>
    <col min="13059" max="13059" width="9.33203125" style="703" hidden="1" customWidth="1"/>
    <col min="13060" max="13312" width="0" style="703" hidden="1"/>
    <col min="13313" max="13313" width="9.33203125" style="703" hidden="1" customWidth="1"/>
    <col min="13314" max="13314" width="133.5" style="703" hidden="1" customWidth="1"/>
    <col min="13315" max="13315" width="9.33203125" style="703" hidden="1" customWidth="1"/>
    <col min="13316" max="13568" width="0" style="703" hidden="1"/>
    <col min="13569" max="13569" width="9.33203125" style="703" hidden="1" customWidth="1"/>
    <col min="13570" max="13570" width="133.5" style="703" hidden="1" customWidth="1"/>
    <col min="13571" max="13571" width="9.33203125" style="703" hidden="1" customWidth="1"/>
    <col min="13572" max="13824" width="0" style="703" hidden="1"/>
    <col min="13825" max="13825" width="9.33203125" style="703" hidden="1" customWidth="1"/>
    <col min="13826" max="13826" width="133.5" style="703" hidden="1" customWidth="1"/>
    <col min="13827" max="13827" width="9.33203125" style="703" hidden="1" customWidth="1"/>
    <col min="13828" max="14080" width="0" style="703" hidden="1"/>
    <col min="14081" max="14081" width="9.33203125" style="703" hidden="1" customWidth="1"/>
    <col min="14082" max="14082" width="133.5" style="703" hidden="1" customWidth="1"/>
    <col min="14083" max="14083" width="9.33203125" style="703" hidden="1" customWidth="1"/>
    <col min="14084" max="14336" width="0" style="703" hidden="1"/>
    <col min="14337" max="14337" width="9.33203125" style="703" hidden="1" customWidth="1"/>
    <col min="14338" max="14338" width="133.5" style="703" hidden="1" customWidth="1"/>
    <col min="14339" max="14339" width="9.33203125" style="703" hidden="1" customWidth="1"/>
    <col min="14340" max="14592" width="0" style="703" hidden="1"/>
    <col min="14593" max="14593" width="9.33203125" style="703" hidden="1" customWidth="1"/>
    <col min="14594" max="14594" width="133.5" style="703" hidden="1" customWidth="1"/>
    <col min="14595" max="14595" width="9.33203125" style="703" hidden="1" customWidth="1"/>
    <col min="14596" max="14848" width="0" style="703" hidden="1"/>
    <col min="14849" max="14849" width="9.33203125" style="703" hidden="1" customWidth="1"/>
    <col min="14850" max="14850" width="133.5" style="703" hidden="1" customWidth="1"/>
    <col min="14851" max="14851" width="9.33203125" style="703" hidden="1" customWidth="1"/>
    <col min="14852" max="15104" width="0" style="703" hidden="1"/>
    <col min="15105" max="15105" width="9.33203125" style="703" hidden="1" customWidth="1"/>
    <col min="15106" max="15106" width="133.5" style="703" hidden="1" customWidth="1"/>
    <col min="15107" max="15107" width="9.33203125" style="703" hidden="1" customWidth="1"/>
    <col min="15108" max="15360" width="0" style="703" hidden="1"/>
    <col min="15361" max="15361" width="9.33203125" style="703" hidden="1" customWidth="1"/>
    <col min="15362" max="15362" width="133.5" style="703" hidden="1" customWidth="1"/>
    <col min="15363" max="15363" width="9.33203125" style="703" hidden="1" customWidth="1"/>
    <col min="15364" max="15616" width="0" style="703" hidden="1"/>
    <col min="15617" max="15617" width="9.33203125" style="703" hidden="1" customWidth="1"/>
    <col min="15618" max="15618" width="133.5" style="703" hidden="1" customWidth="1"/>
    <col min="15619" max="15619" width="9.33203125" style="703" hidden="1" customWidth="1"/>
    <col min="15620" max="15872" width="0" style="703" hidden="1"/>
    <col min="15873" max="15873" width="9.33203125" style="703" hidden="1" customWidth="1"/>
    <col min="15874" max="15874" width="133.5" style="703" hidden="1" customWidth="1"/>
    <col min="15875" max="15875" width="9.33203125" style="703" hidden="1" customWidth="1"/>
    <col min="15876" max="16128" width="0" style="703" hidden="1"/>
    <col min="16129" max="16129" width="9.33203125" style="703" hidden="1" customWidth="1"/>
    <col min="16130" max="16130" width="133.5" style="703" hidden="1" customWidth="1"/>
    <col min="16131" max="16131" width="9.33203125" style="703" hidden="1" customWidth="1"/>
    <col min="16132" max="16384" width="0" style="703" hidden="1"/>
  </cols>
  <sheetData>
    <row r="1" spans="1:3" ht="14.25">
      <c r="A1" s="702"/>
      <c r="B1" s="702"/>
      <c r="C1" s="702"/>
    </row>
    <row r="2" spans="1:3" ht="15">
      <c r="A2" s="702"/>
      <c r="B2" s="704" t="s">
        <v>763</v>
      </c>
      <c r="C2" s="702"/>
    </row>
    <row r="3" spans="1:3" ht="14.25">
      <c r="A3" s="702"/>
      <c r="B3" s="702"/>
      <c r="C3" s="702"/>
    </row>
    <row r="4" spans="1:3" ht="14.25">
      <c r="A4" s="702"/>
      <c r="B4" s="705" t="s">
        <v>758</v>
      </c>
      <c r="C4" s="705"/>
    </row>
    <row r="5" spans="1:3" ht="14.25">
      <c r="A5" s="702"/>
      <c r="B5" s="702"/>
      <c r="C5" s="702"/>
    </row>
    <row r="6" spans="1:3" ht="14.25">
      <c r="A6" s="702"/>
      <c r="B6" s="706" t="s">
        <v>759</v>
      </c>
      <c r="C6" s="702"/>
    </row>
    <row r="7" spans="1:3" ht="14.25">
      <c r="A7" s="702"/>
      <c r="B7" s="706"/>
      <c r="C7" s="702"/>
    </row>
    <row r="8" spans="1:3" ht="14.25">
      <c r="A8" s="702"/>
      <c r="B8" s="707" t="s">
        <v>760</v>
      </c>
      <c r="C8" s="702"/>
    </row>
    <row r="9" spans="1:3" ht="14.25">
      <c r="A9" s="702"/>
      <c r="B9" s="707"/>
      <c r="C9" s="702"/>
    </row>
    <row r="10" spans="1:3" ht="14.25">
      <c r="A10" s="702"/>
      <c r="B10" s="707"/>
      <c r="C10" s="702"/>
    </row>
    <row r="11" spans="1:3" ht="14.25">
      <c r="A11" s="702"/>
      <c r="B11" s="702"/>
      <c r="C11" s="702"/>
    </row>
    <row r="12" spans="1:3" ht="14.25">
      <c r="A12" s="702"/>
      <c r="B12" s="707" t="s">
        <v>761</v>
      </c>
      <c r="C12" s="702"/>
    </row>
    <row r="13" spans="1:3" ht="14.25">
      <c r="A13" s="702"/>
      <c r="B13" s="707"/>
      <c r="C13" s="702"/>
    </row>
    <row r="14" spans="1:3" ht="14.25">
      <c r="A14" s="702"/>
      <c r="B14" s="702"/>
      <c r="C14" s="702"/>
    </row>
    <row r="15" spans="1:3" ht="14.25">
      <c r="A15" s="702"/>
      <c r="B15" s="707" t="s">
        <v>762</v>
      </c>
      <c r="C15" s="702"/>
    </row>
    <row r="16" spans="1:3" ht="14.25">
      <c r="A16" s="702"/>
      <c r="B16" s="707"/>
      <c r="C16" s="702"/>
    </row>
    <row r="17" spans="1:3" ht="14.25">
      <c r="A17" s="702"/>
      <c r="B17" s="707"/>
      <c r="C17" s="702"/>
    </row>
    <row r="18" spans="1:3" ht="40.5" customHeight="1">
      <c r="A18" s="702"/>
      <c r="B18" s="705"/>
      <c r="C18" s="702"/>
    </row>
    <row r="19" spans="1:3" hidden="1"/>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9">
    <pageSetUpPr autoPageBreaks="0" fitToPage="1"/>
  </sheetPr>
  <dimension ref="A2:O54"/>
  <sheetViews>
    <sheetView showGridLines="0" showZeros="0" workbookViewId="0"/>
  </sheetViews>
  <sheetFormatPr defaultColWidth="14.83203125" defaultRowHeight="12"/>
  <cols>
    <col min="1" max="1" width="48.83203125" style="1" customWidth="1"/>
    <col min="2" max="2" width="22.83203125" style="1" customWidth="1"/>
    <col min="3" max="3" width="7.83203125" style="1" customWidth="1"/>
    <col min="4" max="4" width="15.83203125" style="1" customWidth="1"/>
    <col min="5" max="5" width="7.83203125" style="1" customWidth="1"/>
    <col min="6" max="6" width="15.83203125" style="1" customWidth="1"/>
    <col min="7" max="7" width="7.83203125" style="1" customWidth="1"/>
    <col min="8" max="8" width="12.83203125" style="1" customWidth="1"/>
    <col min="9" max="9" width="7.83203125" style="1" customWidth="1"/>
    <col min="10" max="10" width="15.83203125" style="1" customWidth="1"/>
    <col min="11" max="11" width="8.83203125" style="1" customWidth="1"/>
    <col min="12" max="12" width="5.83203125" style="1" customWidth="1"/>
    <col min="13" max="13" width="45.6640625" style="1" hidden="1" customWidth="1"/>
    <col min="14" max="17" width="0" style="1" hidden="1" customWidth="1"/>
    <col min="18" max="16384" width="14.83203125" style="1"/>
  </cols>
  <sheetData>
    <row r="2" spans="1:14">
      <c r="A2" s="46"/>
      <c r="B2" s="46"/>
      <c r="C2" s="47" t="str">
        <f>OPYEAR</f>
        <v>OPERATING FUND 2013/2014 ACTUAL</v>
      </c>
      <c r="D2" s="47"/>
      <c r="E2" s="47"/>
      <c r="F2" s="48"/>
      <c r="G2" s="48"/>
      <c r="H2" s="48"/>
      <c r="I2" s="48"/>
      <c r="J2" s="49"/>
      <c r="K2" s="129" t="s">
        <v>172</v>
      </c>
    </row>
    <row r="3" spans="1:14" ht="11.1" customHeight="1">
      <c r="A3" s="694"/>
      <c r="J3" s="90"/>
      <c r="K3" s="90"/>
    </row>
    <row r="4" spans="1:14" ht="15.75">
      <c r="B4" s="324" t="s">
        <v>471</v>
      </c>
      <c r="C4" s="90"/>
      <c r="D4" s="90"/>
      <c r="E4" s="90"/>
      <c r="F4" s="90"/>
      <c r="G4" s="90"/>
      <c r="H4" s="90"/>
      <c r="I4" s="90"/>
      <c r="J4" s="90"/>
      <c r="K4" s="90"/>
    </row>
    <row r="5" spans="1:14" ht="15.75">
      <c r="B5" s="324" t="s">
        <v>472</v>
      </c>
      <c r="C5" s="90"/>
      <c r="D5" s="90"/>
      <c r="E5" s="90"/>
      <c r="F5" s="90"/>
      <c r="G5" s="90"/>
      <c r="H5" s="90"/>
      <c r="I5" s="90"/>
      <c r="J5" s="90"/>
      <c r="K5" s="90"/>
    </row>
    <row r="6" spans="1:14" ht="11.1" customHeight="1"/>
    <row r="7" spans="1:14">
      <c r="B7" s="130" t="s">
        <v>173</v>
      </c>
      <c r="C7" s="48"/>
      <c r="D7" s="48"/>
      <c r="E7" s="48"/>
      <c r="F7" s="48"/>
      <c r="G7" s="48"/>
      <c r="H7" s="48"/>
      <c r="I7" s="131"/>
    </row>
    <row r="8" spans="1:14">
      <c r="A8" s="7"/>
      <c r="B8" s="355" t="s">
        <v>430</v>
      </c>
      <c r="C8" s="356"/>
      <c r="D8" s="358" t="s">
        <v>36</v>
      </c>
      <c r="E8" s="356"/>
      <c r="F8" s="358" t="s">
        <v>37</v>
      </c>
      <c r="G8" s="356"/>
      <c r="H8" s="357"/>
      <c r="I8" s="352"/>
      <c r="J8" s="362"/>
      <c r="K8" s="352"/>
    </row>
    <row r="9" spans="1:14">
      <c r="A9" s="7"/>
      <c r="B9" s="342" t="s">
        <v>49</v>
      </c>
      <c r="C9" s="344"/>
      <c r="D9" s="343" t="s">
        <v>64</v>
      </c>
      <c r="E9" s="344"/>
      <c r="F9" s="343" t="s">
        <v>65</v>
      </c>
      <c r="G9" s="344"/>
      <c r="H9" s="343" t="s">
        <v>66</v>
      </c>
      <c r="I9" s="363"/>
      <c r="J9" s="343" t="s">
        <v>67</v>
      </c>
      <c r="K9" s="363"/>
    </row>
    <row r="10" spans="1:14">
      <c r="A10" s="132" t="s">
        <v>162</v>
      </c>
      <c r="B10" s="133" t="s">
        <v>94</v>
      </c>
      <c r="C10" s="133" t="s">
        <v>95</v>
      </c>
      <c r="D10" s="133" t="s">
        <v>94</v>
      </c>
      <c r="E10" s="133" t="s">
        <v>95</v>
      </c>
      <c r="F10" s="133" t="s">
        <v>94</v>
      </c>
      <c r="G10" s="133" t="s">
        <v>95</v>
      </c>
      <c r="H10" s="133" t="s">
        <v>94</v>
      </c>
      <c r="I10" s="54" t="s">
        <v>95</v>
      </c>
      <c r="J10" s="133" t="s">
        <v>94</v>
      </c>
      <c r="K10" s="54" t="s">
        <v>95</v>
      </c>
    </row>
    <row r="11" spans="1:14" ht="5.0999999999999996" customHeight="1"/>
    <row r="12" spans="1:14">
      <c r="A12" s="359" t="s">
        <v>165</v>
      </c>
      <c r="B12" s="135"/>
      <c r="C12" s="136"/>
      <c r="D12" s="135"/>
      <c r="E12" s="136"/>
      <c r="F12" s="135"/>
      <c r="G12" s="136"/>
      <c r="H12" s="135"/>
      <c r="I12" s="136"/>
      <c r="J12" s="135"/>
      <c r="K12" s="136"/>
      <c r="M12" s="1" t="s">
        <v>165</v>
      </c>
      <c r="N12" s="149">
        <f>K21/100</f>
        <v>0.76478054413813279</v>
      </c>
    </row>
    <row r="13" spans="1:14">
      <c r="A13" s="137" t="s">
        <v>319</v>
      </c>
      <c r="B13" s="138"/>
      <c r="C13" s="393"/>
      <c r="D13" s="138"/>
      <c r="E13" s="393"/>
      <c r="F13" s="138"/>
      <c r="G13" s="393"/>
      <c r="H13" s="138"/>
      <c r="I13" s="393"/>
      <c r="J13" s="138">
        <f>SUM(F13,D13,B13,'- 12 -'!J13,'- 12 -'!H13,'- 12 -'!F13,'- 12 -'!D13,'- 12 -'!B13)</f>
        <v>3655111</v>
      </c>
      <c r="K13" s="393">
        <f t="shared" ref="K13:K22" si="0">J13/$J$53*100</f>
        <v>0.17678482078857288</v>
      </c>
      <c r="M13" s="1" t="s">
        <v>187</v>
      </c>
      <c r="N13" s="149">
        <f>K22/100</f>
        <v>6.2989479298590501E-2</v>
      </c>
    </row>
    <row r="14" spans="1:14">
      <c r="A14" s="137" t="s">
        <v>356</v>
      </c>
      <c r="B14" s="138">
        <v>2437034</v>
      </c>
      <c r="C14" s="393">
        <f>B14/$J$53*100</f>
        <v>0.11787073469059051</v>
      </c>
      <c r="D14" s="138">
        <v>2599889</v>
      </c>
      <c r="E14" s="393">
        <f>D14/$J$53*100</f>
        <v>0.12574745635226453</v>
      </c>
      <c r="F14" s="138">
        <v>4472246</v>
      </c>
      <c r="G14" s="393">
        <f>F14/$J$53*100</f>
        <v>0.21630675720447667</v>
      </c>
      <c r="H14" s="138"/>
      <c r="I14" s="393"/>
      <c r="J14" s="138">
        <f>SUM(F14,D14,B14,'- 12 -'!J14,'- 12 -'!H14,'- 12 -'!F14,'- 12 -'!D14,'- 12 -'!B14)</f>
        <v>123209782</v>
      </c>
      <c r="K14" s="393">
        <f t="shared" si="0"/>
        <v>5.9592223684230481</v>
      </c>
      <c r="M14" s="1" t="s">
        <v>152</v>
      </c>
      <c r="N14" s="149">
        <f>K39/100</f>
        <v>9.2743174229158218E-2</v>
      </c>
    </row>
    <row r="15" spans="1:14">
      <c r="A15" s="137" t="s">
        <v>320</v>
      </c>
      <c r="B15" s="138">
        <v>25293445</v>
      </c>
      <c r="C15" s="393">
        <f>B15/$J$53*100</f>
        <v>1.2233546782712277</v>
      </c>
      <c r="D15" s="138"/>
      <c r="E15" s="393">
        <f>D15/$J$53*100</f>
        <v>0</v>
      </c>
      <c r="F15" s="138"/>
      <c r="G15" s="393">
        <f>F15/$J$53*100</f>
        <v>0</v>
      </c>
      <c r="H15" s="138"/>
      <c r="I15" s="393"/>
      <c r="J15" s="138">
        <f>SUM(F15,D15,B15,'- 12 -'!J15,'- 12 -'!H15,'- 12 -'!F15,'- 12 -'!D15,'- 12 -'!B15)</f>
        <v>1008297528</v>
      </c>
      <c r="K15" s="393">
        <f t="shared" si="0"/>
        <v>48.767793314359281</v>
      </c>
      <c r="M15" s="1" t="s">
        <v>188</v>
      </c>
      <c r="N15" s="149">
        <f>K45/100</f>
        <v>6.2226963501405747E-2</v>
      </c>
    </row>
    <row r="16" spans="1:14">
      <c r="A16" s="137" t="s">
        <v>321</v>
      </c>
      <c r="B16" s="138">
        <v>12560780</v>
      </c>
      <c r="C16" s="393">
        <f>B16/$J$53*100</f>
        <v>0.60752060368746408</v>
      </c>
      <c r="D16" s="138">
        <v>204228</v>
      </c>
      <c r="E16" s="393">
        <f>D16/$J$53*100</f>
        <v>9.8777876732084637E-3</v>
      </c>
      <c r="F16" s="138"/>
      <c r="G16" s="393">
        <f>F16/$J$53*100</f>
        <v>0</v>
      </c>
      <c r="H16" s="138"/>
      <c r="I16" s="393"/>
      <c r="J16" s="138">
        <f>SUM(F16,D16,B16,'- 12 -'!J16,'- 12 -'!H16,'- 12 -'!F16,'- 12 -'!D16,'- 12 -'!B16)</f>
        <v>187424564</v>
      </c>
      <c r="K16" s="393">
        <f t="shared" si="0"/>
        <v>9.0650647704314338</v>
      </c>
      <c r="M16" s="1" t="s">
        <v>80</v>
      </c>
      <c r="N16" s="149">
        <f>K48/100</f>
        <v>8.532938595860449E-4</v>
      </c>
    </row>
    <row r="17" spans="1:15">
      <c r="A17" s="137" t="s">
        <v>322</v>
      </c>
      <c r="B17" s="138">
        <v>4501987</v>
      </c>
      <c r="C17" s="393">
        <f>B17/$J$53*100</f>
        <v>0.21774522442341285</v>
      </c>
      <c r="D17" s="138">
        <v>35586965</v>
      </c>
      <c r="E17" s="393">
        <f>D17/$J$53*100</f>
        <v>1.7212159165437699</v>
      </c>
      <c r="F17" s="138">
        <v>98811400</v>
      </c>
      <c r="G17" s="393">
        <f>F17/$J$53*100</f>
        <v>4.7791587289327166</v>
      </c>
      <c r="H17" s="138"/>
      <c r="I17" s="393"/>
      <c r="J17" s="138">
        <f>SUM(F17,D17,B17,'- 12 -'!J17,'- 12 -'!H17,'- 12 -'!F17,'- 12 -'!D17,'- 12 -'!B17)</f>
        <v>152402980</v>
      </c>
      <c r="K17" s="393">
        <f t="shared" si="0"/>
        <v>7.3711943377217439</v>
      </c>
      <c r="M17" s="1" t="s">
        <v>107</v>
      </c>
      <c r="N17" s="149">
        <f>K51/100-N16</f>
        <v>1.6406544973126706E-2</v>
      </c>
    </row>
    <row r="18" spans="1:15">
      <c r="A18" s="139" t="s">
        <v>323</v>
      </c>
      <c r="B18" s="138">
        <v>2816128</v>
      </c>
      <c r="C18" s="393">
        <f>B18/$J$53*100</f>
        <v>0.13620617371064306</v>
      </c>
      <c r="D18" s="138">
        <v>1322427</v>
      </c>
      <c r="E18" s="393">
        <f>D18/$J$53*100</f>
        <v>6.3961127364112913E-2</v>
      </c>
      <c r="F18" s="138">
        <v>1728296</v>
      </c>
      <c r="G18" s="393">
        <f>F18/$J$53*100</f>
        <v>8.3591578649624423E-2</v>
      </c>
      <c r="H18" s="138"/>
      <c r="I18" s="393"/>
      <c r="J18" s="138">
        <f>SUM(F18,D18,B18,'- 12 -'!J18,'- 12 -'!H18,'- 12 -'!F18,'- 12 -'!D18,'- 12 -'!B18)</f>
        <v>59389467</v>
      </c>
      <c r="K18" s="393">
        <f t="shared" si="0"/>
        <v>2.8724589431959426</v>
      </c>
      <c r="N18" s="149"/>
    </row>
    <row r="19" spans="1:15">
      <c r="A19" s="139" t="s">
        <v>324</v>
      </c>
      <c r="B19" s="140"/>
      <c r="C19" s="394"/>
      <c r="D19" s="140"/>
      <c r="E19" s="394"/>
      <c r="F19" s="140"/>
      <c r="G19" s="394"/>
      <c r="H19" s="140"/>
      <c r="I19" s="394"/>
      <c r="J19" s="140">
        <f>SUM(F19,D19,B19,'- 12 -'!J19,'- 12 -'!H19,'- 12 -'!F19,'- 12 -'!D19,'- 12 -'!B19)</f>
        <v>32569236</v>
      </c>
      <c r="K19" s="394">
        <f t="shared" si="0"/>
        <v>1.5752590138796707</v>
      </c>
      <c r="N19" s="149">
        <f>SUM(N12:N17)</f>
        <v>1</v>
      </c>
    </row>
    <row r="20" spans="1:15">
      <c r="A20" s="142" t="s">
        <v>325</v>
      </c>
      <c r="B20" s="141">
        <v>460333</v>
      </c>
      <c r="C20" s="394">
        <f>B20/'- 13 -'!$J$53*100</f>
        <v>2.226468277107484E-2</v>
      </c>
      <c r="D20" s="141">
        <v>0</v>
      </c>
      <c r="E20" s="394">
        <f>D20/'- 13 -'!$J$53*100</f>
        <v>0</v>
      </c>
      <c r="F20" s="141">
        <v>0</v>
      </c>
      <c r="G20" s="394">
        <f>F20/'- 13 -'!$J$53*100</f>
        <v>0</v>
      </c>
      <c r="H20" s="141"/>
      <c r="I20" s="394"/>
      <c r="J20" s="141">
        <f>SUM(F20,D20,B20,'- 12 -'!J20,'- 12 -'!H20,'- 12 -'!F20,'- 12 -'!D20,'- 12 -'!B20)</f>
        <v>14271805</v>
      </c>
      <c r="K20" s="394">
        <f t="shared" si="0"/>
        <v>0.69027684501358744</v>
      </c>
      <c r="N20" s="149"/>
    </row>
    <row r="21" spans="1:15">
      <c r="A21" s="143" t="s">
        <v>326</v>
      </c>
      <c r="B21" s="396">
        <f>SUM(B13:B20)</f>
        <v>48069707</v>
      </c>
      <c r="C21" s="397">
        <f>B21/$J$53*100</f>
        <v>2.3249620975544132</v>
      </c>
      <c r="D21" s="396">
        <f>SUM(D13:D20)</f>
        <v>39713509</v>
      </c>
      <c r="E21" s="397">
        <f>D21/$J$53*100</f>
        <v>1.9208022879333559</v>
      </c>
      <c r="F21" s="396">
        <f>SUM(F13:F20)</f>
        <v>105011942</v>
      </c>
      <c r="G21" s="397">
        <f>F21/$J$53*100</f>
        <v>5.0790570647868183</v>
      </c>
      <c r="H21" s="396"/>
      <c r="I21" s="397"/>
      <c r="J21" s="396">
        <f>SUM(F21,D21,B21,'- 12 -'!J21,'- 12 -'!H21,'- 12 -'!F21,'- 12 -'!D21,'- 12 -'!B21)</f>
        <v>1581220473</v>
      </c>
      <c r="K21" s="397">
        <f t="shared" si="0"/>
        <v>76.478054413813283</v>
      </c>
      <c r="N21" s="149"/>
    </row>
    <row r="22" spans="1:15">
      <c r="A22" s="359" t="s">
        <v>175</v>
      </c>
      <c r="B22" s="396">
        <v>4481767</v>
      </c>
      <c r="C22" s="397">
        <f>B22/$J$53*100</f>
        <v>0.2167672543764444</v>
      </c>
      <c r="D22" s="396">
        <v>5793154</v>
      </c>
      <c r="E22" s="397">
        <f>D22/$J$53*100</f>
        <v>0.28019441589888905</v>
      </c>
      <c r="F22" s="396">
        <v>16486880</v>
      </c>
      <c r="G22" s="397">
        <f>F22/$J$53*100</f>
        <v>0.79741220613073227</v>
      </c>
      <c r="H22" s="396"/>
      <c r="I22" s="397"/>
      <c r="J22" s="396">
        <f>SUM(F22,D22,B22,'- 12 -'!J22,'- 12 -'!H22,'- 12 -'!F22,'- 12 -'!D22,'- 12 -'!B22)</f>
        <v>130233771</v>
      </c>
      <c r="K22" s="397">
        <f t="shared" si="0"/>
        <v>6.2989479298590503</v>
      </c>
    </row>
    <row r="23" spans="1:15">
      <c r="A23" s="359" t="s">
        <v>152</v>
      </c>
      <c r="B23" s="146"/>
      <c r="C23" s="395"/>
      <c r="D23" s="146"/>
      <c r="E23" s="395"/>
      <c r="F23" s="146"/>
      <c r="G23" s="395"/>
      <c r="H23" s="146"/>
      <c r="I23" s="395"/>
      <c r="J23" s="146"/>
      <c r="K23" s="395"/>
      <c r="M23" s="1" t="s">
        <v>61</v>
      </c>
      <c r="N23" s="149">
        <f>'- 12 -'!C50/100</f>
        <v>0.5540343979005643</v>
      </c>
      <c r="O23" s="1" t="s">
        <v>61</v>
      </c>
    </row>
    <row r="24" spans="1:15">
      <c r="A24" s="139" t="s">
        <v>327</v>
      </c>
      <c r="B24" s="138">
        <v>1875370</v>
      </c>
      <c r="C24" s="393">
        <f t="shared" ref="C24:C34" si="1">B24/$J$53*100</f>
        <v>9.07050290298341E-2</v>
      </c>
      <c r="D24" s="138">
        <v>246425</v>
      </c>
      <c r="E24" s="393">
        <f t="shared" ref="E24:E34" si="2">D24/$J$53*100</f>
        <v>1.1918707656983352E-2</v>
      </c>
      <c r="F24" s="138">
        <v>5956874</v>
      </c>
      <c r="G24" s="393">
        <f t="shared" ref="G24:G34" si="3">F24/$J$53*100</f>
        <v>0.28811297455812129</v>
      </c>
      <c r="H24" s="138"/>
      <c r="I24" s="393"/>
      <c r="J24" s="138">
        <f>SUM(F24,D24,B24,'- 12 -'!J24,'- 12 -'!H24,'- 12 -'!F24,'- 12 -'!D24,'- 12 -'!B24)</f>
        <v>25683240</v>
      </c>
      <c r="K24" s="393">
        <f t="shared" ref="K24:K39" si="4">J24/$J$53*100</f>
        <v>1.2422076868992233</v>
      </c>
      <c r="M24" s="1" t="s">
        <v>62</v>
      </c>
      <c r="N24" s="149">
        <f>'- 12 -'!E50/100</f>
        <v>0.1859813115776367</v>
      </c>
      <c r="O24" s="1" t="s">
        <v>473</v>
      </c>
    </row>
    <row r="25" spans="1:15">
      <c r="A25" s="139" t="s">
        <v>328</v>
      </c>
      <c r="B25" s="140">
        <v>157835</v>
      </c>
      <c r="C25" s="394">
        <f t="shared" si="1"/>
        <v>7.6339219764227136E-3</v>
      </c>
      <c r="D25" s="140">
        <v>323869</v>
      </c>
      <c r="E25" s="394">
        <f t="shared" si="2"/>
        <v>1.5664400649932193E-2</v>
      </c>
      <c r="F25" s="140">
        <v>570156</v>
      </c>
      <c r="G25" s="394">
        <f t="shared" si="3"/>
        <v>2.7576433733894692E-2</v>
      </c>
      <c r="H25" s="140"/>
      <c r="I25" s="394"/>
      <c r="J25" s="140">
        <f>SUM(F25,D25,B25,'- 12 -'!J25,'- 12 -'!H25,'- 12 -'!F25,'- 12 -'!D25,'- 12 -'!B25)</f>
        <v>6842900</v>
      </c>
      <c r="K25" s="394">
        <f t="shared" si="4"/>
        <v>0.33096692553909457</v>
      </c>
      <c r="M25" s="1" t="s">
        <v>218</v>
      </c>
      <c r="N25" s="149">
        <f>'- 12 -'!G50/100</f>
        <v>4.3019151499886473E-3</v>
      </c>
      <c r="O25" s="1" t="s">
        <v>218</v>
      </c>
    </row>
    <row r="26" spans="1:15">
      <c r="A26" s="139" t="s">
        <v>329</v>
      </c>
      <c r="B26" s="140"/>
      <c r="C26" s="394">
        <f t="shared" si="1"/>
        <v>0</v>
      </c>
      <c r="D26" s="140"/>
      <c r="E26" s="394">
        <f t="shared" si="2"/>
        <v>0</v>
      </c>
      <c r="F26" s="140">
        <v>44340576</v>
      </c>
      <c r="G26" s="394">
        <f t="shared" si="3"/>
        <v>2.1445971905701624</v>
      </c>
      <c r="H26" s="140"/>
      <c r="I26" s="394"/>
      <c r="J26" s="140">
        <f>SUM(F26,D26,B26,'- 12 -'!J26,'- 12 -'!H26,'- 12 -'!F26,'- 12 -'!D26,'- 12 -'!B26)</f>
        <v>44398099</v>
      </c>
      <c r="K26" s="394">
        <f t="shared" si="4"/>
        <v>2.1473793750910208</v>
      </c>
      <c r="L26" s="717" t="s">
        <v>221</v>
      </c>
      <c r="M26" s="1" t="s">
        <v>63</v>
      </c>
      <c r="N26" s="149">
        <f>'- 12 -'!I50/100</f>
        <v>1.0198950231377579E-2</v>
      </c>
      <c r="O26" s="1" t="s">
        <v>63</v>
      </c>
    </row>
    <row r="27" spans="1:15" ht="12.75" customHeight="1">
      <c r="A27" s="139" t="s">
        <v>352</v>
      </c>
      <c r="B27" s="140">
        <v>791119</v>
      </c>
      <c r="C27" s="394">
        <f t="shared" si="1"/>
        <v>3.82636343020595E-2</v>
      </c>
      <c r="D27" s="140">
        <v>942874</v>
      </c>
      <c r="E27" s="394">
        <f t="shared" si="2"/>
        <v>4.5603488133795361E-2</v>
      </c>
      <c r="F27" s="140">
        <v>843001</v>
      </c>
      <c r="G27" s="394">
        <f t="shared" si="3"/>
        <v>4.0772983559073238E-2</v>
      </c>
      <c r="H27" s="140"/>
      <c r="I27" s="394"/>
      <c r="J27" s="140">
        <f>SUM(F27,D27,B27,'- 12 -'!J27,'- 12 -'!H27,'- 12 -'!F27,'- 12 -'!D27,'- 12 -'!B27)</f>
        <v>10422099</v>
      </c>
      <c r="K27" s="394">
        <f t="shared" si="4"/>
        <v>0.50408015076854429</v>
      </c>
      <c r="L27" s="718"/>
      <c r="M27" s="1" t="s">
        <v>192</v>
      </c>
      <c r="N27" s="149">
        <f>'- 12 -'!K50/100</f>
        <v>3.3495265165514404E-2</v>
      </c>
      <c r="O27" s="1" t="s">
        <v>192</v>
      </c>
    </row>
    <row r="28" spans="1:15" ht="12.75" customHeight="1">
      <c r="A28" s="139" t="s">
        <v>330</v>
      </c>
      <c r="B28" s="140"/>
      <c r="C28" s="394">
        <f t="shared" si="1"/>
        <v>0</v>
      </c>
      <c r="D28" s="140">
        <v>19945049</v>
      </c>
      <c r="E28" s="394">
        <f t="shared" si="2"/>
        <v>0.96467163735500916</v>
      </c>
      <c r="F28" s="140"/>
      <c r="G28" s="394">
        <f t="shared" si="3"/>
        <v>0</v>
      </c>
      <c r="H28" s="140"/>
      <c r="I28" s="394"/>
      <c r="J28" s="140">
        <f>SUM(F28,D28,B28,'- 12 -'!J28,'- 12 -'!H28,'- 12 -'!F28,'- 12 -'!D28,'- 12 -'!B28)</f>
        <v>19945049</v>
      </c>
      <c r="K28" s="394">
        <f t="shared" si="4"/>
        <v>0.96467163735500916</v>
      </c>
      <c r="L28" s="718"/>
      <c r="M28" s="1" t="s">
        <v>190</v>
      </c>
      <c r="N28" s="149">
        <f>C53/100</f>
        <v>3.4900449964647376E-2</v>
      </c>
      <c r="O28" s="1" t="s">
        <v>190</v>
      </c>
    </row>
    <row r="29" spans="1:15" ht="12.75" customHeight="1">
      <c r="A29" s="139" t="s">
        <v>331</v>
      </c>
      <c r="B29" s="140">
        <v>1207</v>
      </c>
      <c r="C29" s="394">
        <f t="shared" si="1"/>
        <v>5.8378330696881014E-5</v>
      </c>
      <c r="D29" s="140"/>
      <c r="E29" s="394">
        <f t="shared" si="2"/>
        <v>0</v>
      </c>
      <c r="F29" s="140"/>
      <c r="G29" s="394">
        <f t="shared" si="3"/>
        <v>0</v>
      </c>
      <c r="H29" s="140"/>
      <c r="I29" s="394"/>
      <c r="J29" s="140">
        <f>SUM(F29,D29,B29,'- 12 -'!J29,'- 12 -'!H29,'- 12 -'!F29,'- 12 -'!D29,'- 12 -'!B29)</f>
        <v>996813</v>
      </c>
      <c r="K29" s="394">
        <f t="shared" si="4"/>
        <v>4.821232722199674E-2</v>
      </c>
      <c r="M29" s="1" t="s">
        <v>170</v>
      </c>
      <c r="N29" s="149">
        <f>E53/100</f>
        <v>4.3673574037992643E-2</v>
      </c>
      <c r="O29" s="1" t="s">
        <v>170</v>
      </c>
    </row>
    <row r="30" spans="1:15" ht="12.75" customHeight="1">
      <c r="A30" s="139" t="s">
        <v>332</v>
      </c>
      <c r="B30" s="140">
        <v>39671</v>
      </c>
      <c r="C30" s="394">
        <f t="shared" si="1"/>
        <v>1.9187462776105774E-3</v>
      </c>
      <c r="D30" s="140">
        <v>6763</v>
      </c>
      <c r="E30" s="394">
        <f t="shared" si="2"/>
        <v>3.2710244449296301E-4</v>
      </c>
      <c r="F30" s="140">
        <v>1836</v>
      </c>
      <c r="G30" s="394">
        <f t="shared" si="3"/>
        <v>8.8800841060044367E-5</v>
      </c>
      <c r="H30" s="140"/>
      <c r="I30" s="394"/>
      <c r="J30" s="140">
        <f>SUM(F30,D30,B30,'- 12 -'!J30,'- 12 -'!H30,'- 12 -'!F30,'- 12 -'!D30,'- 12 -'!B30)</f>
        <v>852215</v>
      </c>
      <c r="K30" s="394">
        <f t="shared" si="4"/>
        <v>4.1218632224393092E-2</v>
      </c>
      <c r="M30" s="1" t="s">
        <v>189</v>
      </c>
      <c r="N30" s="149">
        <f>G53/100</f>
        <v>0.11615429713956554</v>
      </c>
      <c r="O30" s="1" t="s">
        <v>189</v>
      </c>
    </row>
    <row r="31" spans="1:15" ht="12.75" customHeight="1">
      <c r="A31" s="139" t="s">
        <v>333</v>
      </c>
      <c r="B31" s="140">
        <v>82341</v>
      </c>
      <c r="C31" s="394">
        <f t="shared" si="1"/>
        <v>3.9825436022467939E-3</v>
      </c>
      <c r="D31" s="140">
        <v>973130</v>
      </c>
      <c r="E31" s="394">
        <f t="shared" si="2"/>
        <v>4.7066864085381799E-2</v>
      </c>
      <c r="F31" s="140">
        <v>7275724</v>
      </c>
      <c r="G31" s="394">
        <f t="shared" si="3"/>
        <v>0.35190109505487488</v>
      </c>
      <c r="H31" s="140"/>
      <c r="I31" s="394"/>
      <c r="J31" s="140">
        <f>SUM(F31,D31,B31,'- 12 -'!J31,'- 12 -'!H31,'- 12 -'!F31,'- 12 -'!D31,'- 12 -'!B31)</f>
        <v>9624661</v>
      </c>
      <c r="K31" s="394">
        <f t="shared" si="4"/>
        <v>0.46551088873518942</v>
      </c>
      <c r="M31" s="1" t="s">
        <v>66</v>
      </c>
      <c r="N31" s="149">
        <f>I53/100</f>
        <v>1.7259838832712752E-2</v>
      </c>
      <c r="O31" s="1" t="s">
        <v>66</v>
      </c>
    </row>
    <row r="32" spans="1:15">
      <c r="A32" s="139" t="s">
        <v>334</v>
      </c>
      <c r="B32" s="140">
        <v>114621</v>
      </c>
      <c r="C32" s="394">
        <f t="shared" si="1"/>
        <v>5.5438132914724112E-3</v>
      </c>
      <c r="D32" s="140">
        <v>2115472</v>
      </c>
      <c r="E32" s="394">
        <f t="shared" si="2"/>
        <v>0.10231791548963734</v>
      </c>
      <c r="F32" s="140">
        <v>28282104</v>
      </c>
      <c r="G32" s="394">
        <f t="shared" si="3"/>
        <v>1.3679055676185432</v>
      </c>
      <c r="H32" s="140"/>
      <c r="I32" s="394"/>
      <c r="J32" s="140">
        <f>SUM(F32,D32,B32,'- 12 -'!J32,'- 12 -'!H32,'- 12 -'!F32,'- 12 -'!D32,'- 12 -'!B32)</f>
        <v>33517248</v>
      </c>
      <c r="K32" s="394">
        <f t="shared" si="4"/>
        <v>1.6211110089423146</v>
      </c>
      <c r="N32" s="149"/>
    </row>
    <row r="33" spans="1:14">
      <c r="A33" s="139" t="s">
        <v>335</v>
      </c>
      <c r="B33" s="140">
        <v>259434</v>
      </c>
      <c r="C33" s="394">
        <f t="shared" si="1"/>
        <v>1.2547907080376661E-2</v>
      </c>
      <c r="D33" s="140">
        <v>838246</v>
      </c>
      <c r="E33" s="394">
        <f t="shared" si="2"/>
        <v>4.0543000988680807E-2</v>
      </c>
      <c r="F33" s="140">
        <v>1986496</v>
      </c>
      <c r="G33" s="394">
        <f t="shared" si="3"/>
        <v>9.6079801504582729E-2</v>
      </c>
      <c r="H33" s="140"/>
      <c r="I33" s="394"/>
      <c r="J33" s="140">
        <f>SUM(F33,D33,B33,'- 12 -'!J33,'- 12 -'!H33,'- 12 -'!F33,'- 12 -'!D33,'- 12 -'!B33)</f>
        <v>6917755</v>
      </c>
      <c r="K33" s="394">
        <f t="shared" si="4"/>
        <v>0.33458739773819568</v>
      </c>
      <c r="N33" s="149">
        <f>SUM(N23:N31)</f>
        <v>1</v>
      </c>
    </row>
    <row r="34" spans="1:14">
      <c r="A34" s="476" t="s">
        <v>427</v>
      </c>
      <c r="B34" s="140"/>
      <c r="C34" s="394">
        <f t="shared" si="1"/>
        <v>0</v>
      </c>
      <c r="D34" s="140"/>
      <c r="E34" s="394">
        <f t="shared" si="2"/>
        <v>0</v>
      </c>
      <c r="F34" s="140">
        <v>4844084</v>
      </c>
      <c r="G34" s="394">
        <f t="shared" si="3"/>
        <v>0.23429124910975163</v>
      </c>
      <c r="H34" s="140"/>
      <c r="I34" s="394"/>
      <c r="J34" s="140">
        <f>SUM(F34,D34,B34,'- 12 -'!J34,'- 12 -'!H34,'- 12 -'!F34,'- 12 -'!D34,'- 12 -'!B34)</f>
        <v>4874862</v>
      </c>
      <c r="K34" s="394">
        <f t="shared" si="4"/>
        <v>0.23577987235928649</v>
      </c>
    </row>
    <row r="35" spans="1:14">
      <c r="A35" s="139" t="s">
        <v>336</v>
      </c>
      <c r="B35" s="140">
        <v>19116</v>
      </c>
      <c r="C35" s="394">
        <f>B35/J53</f>
        <v>9.2457346280163851E-6</v>
      </c>
      <c r="D35" s="140">
        <v>31748</v>
      </c>
      <c r="E35" s="394">
        <f>D35/J53</f>
        <v>1.5355387265655167E-5</v>
      </c>
      <c r="F35" s="140">
        <v>54141</v>
      </c>
      <c r="G35" s="394">
        <f>F35/J53</f>
        <v>2.6186091153768313E-5</v>
      </c>
      <c r="H35" s="140"/>
      <c r="I35" s="394"/>
      <c r="J35" s="140">
        <f>SUM(F35,D35,B35,'- 12 -'!J35,'- 12 -'!H35,'- 12 -'!F35,'- 12 -'!D35,'- 12 -'!B35)</f>
        <v>1466018</v>
      </c>
      <c r="K35" s="394">
        <f t="shared" si="4"/>
        <v>7.0906117325252802E-2</v>
      </c>
    </row>
    <row r="36" spans="1:14">
      <c r="A36" s="139" t="s">
        <v>337</v>
      </c>
      <c r="B36" s="140">
        <v>170758</v>
      </c>
      <c r="C36" s="394">
        <f>B36/$J$53*100</f>
        <v>8.2589618832957824E-3</v>
      </c>
      <c r="D36" s="140">
        <v>50282</v>
      </c>
      <c r="E36" s="394">
        <f>D36/$J$53*100</f>
        <v>2.4319629031487751E-3</v>
      </c>
      <c r="F36" s="140">
        <v>85699</v>
      </c>
      <c r="G36" s="394">
        <f>F36/$J$53*100</f>
        <v>4.1449582124208836E-3</v>
      </c>
      <c r="H36" s="140"/>
      <c r="I36" s="394"/>
      <c r="J36" s="140">
        <f>SUM(F36,D36,B36,'- 12 -'!J36,'- 12 -'!H36,'- 12 -'!F36,'- 12 -'!D36,'- 12 -'!B36)</f>
        <v>3522277</v>
      </c>
      <c r="K36" s="394">
        <f t="shared" si="4"/>
        <v>0.17036010895776138</v>
      </c>
    </row>
    <row r="37" spans="1:14">
      <c r="A37" s="144" t="s">
        <v>338</v>
      </c>
      <c r="B37" s="140">
        <v>8327868</v>
      </c>
      <c r="C37" s="394">
        <f>B37/'- 13 -'!$J$53*100</f>
        <v>0.40278958749293547</v>
      </c>
      <c r="D37" s="140">
        <v>193230</v>
      </c>
      <c r="E37" s="394">
        <f>D37/'- 13 -'!$J$53*100</f>
        <v>9.3458532233291793E-3</v>
      </c>
      <c r="F37" s="140">
        <v>240924</v>
      </c>
      <c r="G37" s="394">
        <f>F37/'- 13 -'!$J$53*100</f>
        <v>1.1652643699101378E-2</v>
      </c>
      <c r="H37" s="140"/>
      <c r="I37" s="394"/>
      <c r="J37" s="140">
        <f>SUM(F37,D37,B37,'- 12 -'!J37,'- 12 -'!H37,'- 12 -'!F37,'- 12 -'!D37,'- 12 -'!B37)</f>
        <v>10640102</v>
      </c>
      <c r="K37" s="394">
        <f t="shared" si="4"/>
        <v>0.51462418658205888</v>
      </c>
    </row>
    <row r="38" spans="1:14">
      <c r="A38" s="145" t="s">
        <v>339</v>
      </c>
      <c r="B38" s="140">
        <v>452336</v>
      </c>
      <c r="C38" s="394">
        <f>B38/$J$53*100</f>
        <v>2.1877896101163523E-2</v>
      </c>
      <c r="D38" s="140">
        <v>113857</v>
      </c>
      <c r="E38" s="394">
        <f>D38/$J$53*100</f>
        <v>5.5068613075018912E-3</v>
      </c>
      <c r="F38" s="140">
        <v>360079</v>
      </c>
      <c r="G38" s="394">
        <f>F38/$J$53*100</f>
        <v>1.7415750570838624E-2</v>
      </c>
      <c r="H38" s="140"/>
      <c r="I38" s="394"/>
      <c r="J38" s="140">
        <f>SUM(F38,D38,B38,'- 12 -'!J38,'- 12 -'!H38,'- 12 -'!F38,'- 12 -'!D38,'- 12 -'!B38)</f>
        <v>12047625</v>
      </c>
      <c r="K38" s="394">
        <f t="shared" si="4"/>
        <v>0.58270110717647994</v>
      </c>
    </row>
    <row r="39" spans="1:14">
      <c r="A39" s="143" t="s">
        <v>340</v>
      </c>
      <c r="B39" s="396">
        <f>SUM(B24:B38)</f>
        <v>12291676</v>
      </c>
      <c r="C39" s="397">
        <f>B39/$J$53*100</f>
        <v>0.59450499283091607</v>
      </c>
      <c r="D39" s="396">
        <f>SUM(D24:D38)</f>
        <v>25780945</v>
      </c>
      <c r="E39" s="397">
        <f>D39/$J$53*100</f>
        <v>1.2469333329644583</v>
      </c>
      <c r="F39" s="396">
        <f>SUM(F24:F38)</f>
        <v>94841694</v>
      </c>
      <c r="G39" s="397">
        <f>F39/$J$53*100</f>
        <v>4.5871580581478018</v>
      </c>
      <c r="H39" s="396"/>
      <c r="I39" s="397"/>
      <c r="J39" s="396">
        <f>SUM(F39,D39,B39,'- 12 -'!J39,'- 12 -'!H39,'- 12 -'!F39,'- 12 -'!D39,'- 12 -'!B39)</f>
        <v>191750963</v>
      </c>
      <c r="K39" s="397">
        <f t="shared" si="4"/>
        <v>9.2743174229158214</v>
      </c>
    </row>
    <row r="40" spans="1:14">
      <c r="A40" s="360" t="s">
        <v>341</v>
      </c>
      <c r="B40" s="146"/>
      <c r="C40" s="395"/>
      <c r="D40" s="146"/>
      <c r="E40" s="395"/>
      <c r="F40" s="146"/>
      <c r="G40" s="395"/>
      <c r="H40" s="146"/>
      <c r="I40" s="395"/>
      <c r="J40" s="146"/>
      <c r="K40" s="395"/>
    </row>
    <row r="41" spans="1:14">
      <c r="A41" s="139" t="s">
        <v>342</v>
      </c>
      <c r="B41" s="140">
        <v>3604319</v>
      </c>
      <c r="C41" s="394">
        <f>B41/$J$53*100</f>
        <v>0.17432819098512967</v>
      </c>
      <c r="D41" s="140">
        <v>18645331</v>
      </c>
      <c r="E41" s="394">
        <f>D41/$J$53*100</f>
        <v>0.90180886418459583</v>
      </c>
      <c r="F41" s="140">
        <v>20296032</v>
      </c>
      <c r="G41" s="394">
        <f>F41/$J$53*100</f>
        <v>0.98164744650412561</v>
      </c>
      <c r="H41" s="140"/>
      <c r="I41" s="394"/>
      <c r="J41" s="140">
        <f>SUM(F41,D41,B41,'- 12 -'!J41,'- 12 -'!H41,'- 12 -'!F41,'- 12 -'!D41,'- 12 -'!B41)</f>
        <v>77164279</v>
      </c>
      <c r="K41" s="394">
        <f>J41/$J$53*100</f>
        <v>3.73216387526793</v>
      </c>
    </row>
    <row r="42" spans="1:14">
      <c r="A42" s="139" t="s">
        <v>343</v>
      </c>
      <c r="B42" s="140">
        <v>2980658</v>
      </c>
      <c r="C42" s="394">
        <f>B42/$J$53*100</f>
        <v>0.14416390921151945</v>
      </c>
      <c r="D42" s="140">
        <v>5870</v>
      </c>
      <c r="E42" s="394">
        <f>D42/$J$53*100</f>
        <v>2.8391118574208087E-4</v>
      </c>
      <c r="F42" s="140">
        <v>22734</v>
      </c>
      <c r="G42" s="394">
        <f>F42/$J$53*100</f>
        <v>1.0995633554787847E-3</v>
      </c>
      <c r="H42" s="140"/>
      <c r="I42" s="394"/>
      <c r="J42" s="140">
        <f>SUM(F42,D42,B42,'- 12 -'!J42,'- 12 -'!H42,'- 12 -'!F42,'- 12 -'!D42,'- 12 -'!B42)</f>
        <v>14328610</v>
      </c>
      <c r="K42" s="394">
        <f>J42/$J$53*100</f>
        <v>0.6930243024081495</v>
      </c>
    </row>
    <row r="43" spans="1:14">
      <c r="A43" s="139" t="s">
        <v>344</v>
      </c>
      <c r="B43" s="140">
        <v>210848</v>
      </c>
      <c r="C43" s="394">
        <f>B43/$J$53*100</f>
        <v>1.0197973712324747E-2</v>
      </c>
      <c r="D43" s="140">
        <v>289346</v>
      </c>
      <c r="E43" s="394">
        <f>D43/$J$53*100</f>
        <v>1.3994644965882133E-2</v>
      </c>
      <c r="F43" s="140">
        <v>3425975</v>
      </c>
      <c r="G43" s="394">
        <f>F43/$J$53*100</f>
        <v>0.16570232105157162</v>
      </c>
      <c r="H43" s="140"/>
      <c r="I43" s="394"/>
      <c r="J43" s="140">
        <f>SUM(F43,D43,B43,'- 12 -'!J43,'- 12 -'!H43,'- 12 -'!F43,'- 12 -'!D43,'- 12 -'!B43)</f>
        <v>16431266</v>
      </c>
      <c r="K43" s="394">
        <f>J43/$J$53*100</f>
        <v>0.7947223532033284</v>
      </c>
    </row>
    <row r="44" spans="1:14">
      <c r="A44" s="145" t="s">
        <v>345</v>
      </c>
      <c r="B44" s="140">
        <v>519380</v>
      </c>
      <c r="C44" s="394">
        <f>B44/$J$53*100</f>
        <v>2.5120577793990108E-2</v>
      </c>
      <c r="D44" s="140">
        <v>69055</v>
      </c>
      <c r="E44" s="394">
        <f>D44/$J$53*100</f>
        <v>3.3399466663406123E-3</v>
      </c>
      <c r="F44" s="140">
        <v>69326</v>
      </c>
      <c r="G44" s="394">
        <f>F44/$J$53*100</f>
        <v>3.3530539800264905E-3</v>
      </c>
      <c r="H44" s="140"/>
      <c r="I44" s="394"/>
      <c r="J44" s="140">
        <f>SUM(F44,D44,B44,'- 12 -'!J44,'- 12 -'!H44,'- 12 -'!F44,'- 12 -'!D44,'- 12 -'!B44)</f>
        <v>20733078</v>
      </c>
      <c r="K44" s="394">
        <f>J44/$J$53*100</f>
        <v>1.0027858192611669</v>
      </c>
    </row>
    <row r="45" spans="1:14">
      <c r="A45" s="143" t="s">
        <v>346</v>
      </c>
      <c r="B45" s="396">
        <f>SUM(B41:B44)</f>
        <v>7315205</v>
      </c>
      <c r="C45" s="397">
        <f>B45/$J$53*100</f>
        <v>0.35381065170296394</v>
      </c>
      <c r="D45" s="396">
        <f>SUM(D41:D44)</f>
        <v>19009602</v>
      </c>
      <c r="E45" s="397">
        <f>D45/$J$53*100</f>
        <v>0.91942736700256078</v>
      </c>
      <c r="F45" s="396">
        <f>SUM(F41:F44)</f>
        <v>23814067</v>
      </c>
      <c r="G45" s="397">
        <f>F45/$J$53*100</f>
        <v>1.1518023848912025</v>
      </c>
      <c r="H45" s="396"/>
      <c r="I45" s="397"/>
      <c r="J45" s="396">
        <f>SUM(F45,D45,B45,'- 12 -'!J45,'- 12 -'!H45,'- 12 -'!F45,'- 12 -'!D45,'- 12 -'!B45)</f>
        <v>128657233</v>
      </c>
      <c r="K45" s="397">
        <f>J45/$J$53*100</f>
        <v>6.2226963501405743</v>
      </c>
    </row>
    <row r="46" spans="1:14">
      <c r="A46" s="359" t="s">
        <v>107</v>
      </c>
      <c r="B46" s="146"/>
      <c r="C46" s="395"/>
      <c r="D46" s="146"/>
      <c r="E46" s="395"/>
      <c r="F46" s="146"/>
      <c r="G46" s="395"/>
      <c r="H46" s="146"/>
      <c r="I46" s="395"/>
      <c r="J46" s="146"/>
      <c r="K46" s="395"/>
    </row>
    <row r="47" spans="1:14" ht="13.5">
      <c r="A47" s="288" t="s">
        <v>491</v>
      </c>
      <c r="B47" s="140"/>
      <c r="C47" s="533"/>
      <c r="D47" s="140">
        <v>0</v>
      </c>
      <c r="E47" s="533"/>
      <c r="F47" s="140">
        <v>0</v>
      </c>
      <c r="G47" s="533"/>
      <c r="H47" s="140">
        <f>'- 10 -'!G21</f>
        <v>0</v>
      </c>
      <c r="I47" s="533"/>
      <c r="J47" s="140"/>
      <c r="K47" s="533"/>
    </row>
    <row r="48" spans="1:14">
      <c r="A48" s="139" t="s">
        <v>347</v>
      </c>
      <c r="B48" s="140"/>
      <c r="C48" s="394"/>
      <c r="D48" s="140"/>
      <c r="E48" s="394"/>
      <c r="F48" s="140"/>
      <c r="G48" s="394"/>
      <c r="H48" s="140">
        <f>'- 10 -'!G22</f>
        <v>1764226</v>
      </c>
      <c r="I48" s="394">
        <f>H48/$J$53*100</f>
        <v>8.5329385958604495E-2</v>
      </c>
      <c r="J48" s="140">
        <f>H48</f>
        <v>1764226</v>
      </c>
      <c r="K48" s="394">
        <f>J48/$J$53*100</f>
        <v>8.5329385958604495E-2</v>
      </c>
    </row>
    <row r="49" spans="1:11">
      <c r="A49" s="144" t="s">
        <v>492</v>
      </c>
      <c r="B49" s="140"/>
      <c r="C49" s="394"/>
      <c r="D49" s="140"/>
      <c r="E49" s="394"/>
      <c r="F49" s="140"/>
      <c r="G49" s="394"/>
      <c r="H49" s="140">
        <f>'- 10 -'!H22</f>
        <v>-60509</v>
      </c>
      <c r="I49" s="394">
        <f>H49/$J$53*100</f>
        <v>-2.9266068037593815E-3</v>
      </c>
      <c r="J49" s="140">
        <f>H49</f>
        <v>-60509</v>
      </c>
      <c r="K49" s="394">
        <f>J49/$J$53*100</f>
        <v>-2.9266068037593815E-3</v>
      </c>
    </row>
    <row r="50" spans="1:11">
      <c r="A50" s="139" t="s">
        <v>348</v>
      </c>
      <c r="B50" s="140"/>
      <c r="C50" s="394"/>
      <c r="D50" s="140"/>
      <c r="E50" s="394"/>
      <c r="F50" s="140"/>
      <c r="G50" s="394"/>
      <c r="H50" s="140">
        <f>'- 10 -'!I22</f>
        <v>33981828</v>
      </c>
      <c r="I50" s="394">
        <f>H50/$J$53*100</f>
        <v>1.6435811041164299</v>
      </c>
      <c r="J50" s="140">
        <f>H50</f>
        <v>33981828</v>
      </c>
      <c r="K50" s="394">
        <f>J50/$J$53*100</f>
        <v>1.6435811041164299</v>
      </c>
    </row>
    <row r="51" spans="1:11">
      <c r="A51" s="143" t="s">
        <v>349</v>
      </c>
      <c r="B51" s="396"/>
      <c r="C51" s="397"/>
      <c r="D51" s="396"/>
      <c r="E51" s="397"/>
      <c r="F51" s="396">
        <f>SUM(F47:F50)</f>
        <v>0</v>
      </c>
      <c r="G51" s="397"/>
      <c r="H51" s="396">
        <f>SUM(H48:H50)</f>
        <v>35685545</v>
      </c>
      <c r="I51" s="397">
        <f>H51/$J$53*100</f>
        <v>1.7259838832712753</v>
      </c>
      <c r="J51" s="396">
        <f>SUM(J47:J50)</f>
        <v>35685545</v>
      </c>
      <c r="K51" s="397">
        <f>J51/$J$53*100</f>
        <v>1.7259838832712753</v>
      </c>
    </row>
    <row r="52" spans="1:11" ht="5.0999999999999996" customHeight="1">
      <c r="A52" s="30"/>
      <c r="B52" s="39"/>
      <c r="C52" s="147"/>
      <c r="D52" s="65"/>
      <c r="E52" s="147"/>
      <c r="F52" s="65"/>
      <c r="G52" s="147"/>
      <c r="H52" s="65"/>
      <c r="I52" s="147"/>
      <c r="J52" s="65"/>
      <c r="K52" s="147"/>
    </row>
    <row r="53" spans="1:11">
      <c r="A53" s="361" t="s">
        <v>350</v>
      </c>
      <c r="B53" s="398">
        <f>SUM(B51,B45,B39,B22,B21)</f>
        <v>72158355</v>
      </c>
      <c r="C53" s="399">
        <f>B53/$J$53*100</f>
        <v>3.4900449964647375</v>
      </c>
      <c r="D53" s="398">
        <f>SUM(D51,D45,D39,D22,D21)</f>
        <v>90297210</v>
      </c>
      <c r="E53" s="399">
        <f>D53/$J$53*100</f>
        <v>4.3673574037992644</v>
      </c>
      <c r="F53" s="398">
        <f>SUM(F51,F45,F39,F22,F21)</f>
        <v>240154583</v>
      </c>
      <c r="G53" s="399">
        <f>F53/$J$53*100</f>
        <v>11.615429713956555</v>
      </c>
      <c r="H53" s="398">
        <f>SUM(H51,H45,H39,H22,H21)</f>
        <v>35685545</v>
      </c>
      <c r="I53" s="399">
        <f>H53/$J$53*100</f>
        <v>1.7259838832712753</v>
      </c>
      <c r="J53" s="398">
        <f>SUM(J51,J45,J39,J22,J21)</f>
        <v>2067547985</v>
      </c>
      <c r="K53" s="399">
        <f>J53/$J$53*100</f>
        <v>100</v>
      </c>
    </row>
    <row r="54" spans="1:11" ht="20.100000000000001" customHeight="1">
      <c r="A54" s="150"/>
      <c r="B54" s="1">
        <f>+B53-'- 16 -'!G48</f>
        <v>0</v>
      </c>
      <c r="D54" s="1">
        <f>+D53-'- 17 -'!B48</f>
        <v>0</v>
      </c>
      <c r="F54" s="1">
        <f>+F53-'- 17 -'!E48</f>
        <v>0</v>
      </c>
      <c r="H54" s="1">
        <f>+H53-'- 17 -'!H48</f>
        <v>0</v>
      </c>
      <c r="J54" s="1">
        <f>+J53-'- 3 -'!D48</f>
        <v>0</v>
      </c>
    </row>
  </sheetData>
  <mergeCells count="1">
    <mergeCell ref="L26:L28"/>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pageSetUpPr fitToPage="1"/>
  </sheetPr>
  <dimension ref="A1:I52"/>
  <sheetViews>
    <sheetView showGridLines="0" showZeros="0" workbookViewId="0"/>
  </sheetViews>
  <sheetFormatPr defaultColWidth="15.83203125" defaultRowHeight="12"/>
  <cols>
    <col min="1" max="1" width="32.83203125" style="1" customWidth="1"/>
    <col min="2" max="2" width="17.83203125" style="1" customWidth="1"/>
    <col min="3" max="3" width="8.83203125" style="1" customWidth="1"/>
    <col min="4" max="4" width="9.83203125" style="1" customWidth="1"/>
    <col min="5" max="5" width="17.83203125" style="1" customWidth="1"/>
    <col min="6" max="6" width="8.83203125" style="1" customWidth="1"/>
    <col min="7" max="7" width="9.83203125" style="1" customWidth="1"/>
    <col min="8" max="8" width="17.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52"/>
      <c r="B2" s="8" t="s">
        <v>476</v>
      </c>
      <c r="C2" s="9"/>
      <c r="D2" s="9"/>
      <c r="E2" s="9"/>
      <c r="F2" s="9"/>
      <c r="G2" s="9"/>
      <c r="H2" s="82"/>
      <c r="I2" s="153" t="s">
        <v>15</v>
      </c>
    </row>
    <row r="3" spans="1:9" ht="15.95" customHeight="1">
      <c r="A3" s="697"/>
      <c r="B3" s="10" t="str">
        <f>OPYEAR</f>
        <v>OPERATING FUND 2013/2014 ACTUAL</v>
      </c>
      <c r="C3" s="11"/>
      <c r="D3" s="11"/>
      <c r="E3" s="11"/>
      <c r="F3" s="11"/>
      <c r="G3" s="11"/>
      <c r="H3" s="84"/>
      <c r="I3" s="74"/>
    </row>
    <row r="4" spans="1:9" ht="15.95" customHeight="1">
      <c r="B4" s="7"/>
      <c r="C4" s="7"/>
      <c r="D4" s="7"/>
      <c r="E4" s="7"/>
      <c r="F4" s="7"/>
      <c r="G4" s="7"/>
      <c r="H4" s="7"/>
      <c r="I4" s="7"/>
    </row>
    <row r="5" spans="1:9" ht="15.95" customHeight="1">
      <c r="B5" s="7"/>
      <c r="C5" s="7"/>
      <c r="D5" s="7"/>
      <c r="E5" s="7"/>
      <c r="F5" s="7"/>
      <c r="G5" s="7"/>
      <c r="H5" s="7"/>
      <c r="I5" s="7"/>
    </row>
    <row r="6" spans="1:9" ht="15.95" customHeight="1">
      <c r="B6" s="364"/>
      <c r="C6" s="358"/>
      <c r="D6" s="356"/>
      <c r="E6" s="355" t="s">
        <v>429</v>
      </c>
      <c r="F6" s="358"/>
      <c r="G6" s="356"/>
      <c r="H6" s="355" t="s">
        <v>217</v>
      </c>
      <c r="I6" s="356"/>
    </row>
    <row r="7" spans="1:9" ht="15.95" customHeight="1">
      <c r="B7" s="342" t="s">
        <v>61</v>
      </c>
      <c r="C7" s="343"/>
      <c r="D7" s="344"/>
      <c r="E7" s="342" t="s">
        <v>152</v>
      </c>
      <c r="F7" s="343"/>
      <c r="G7" s="344"/>
      <c r="H7" s="342" t="s">
        <v>317</v>
      </c>
      <c r="I7" s="344"/>
    </row>
    <row r="8" spans="1:9" ht="15.95" customHeight="1">
      <c r="A8" s="75"/>
      <c r="B8" s="155" t="s">
        <v>16</v>
      </c>
      <c r="C8" s="156"/>
      <c r="D8" s="157" t="s">
        <v>73</v>
      </c>
      <c r="E8" s="155"/>
      <c r="F8" s="157"/>
      <c r="G8" s="157" t="s">
        <v>73</v>
      </c>
      <c r="H8" s="155"/>
      <c r="I8" s="157"/>
    </row>
    <row r="9" spans="1:9" ht="15.95" customHeight="1">
      <c r="A9" s="42" t="s">
        <v>93</v>
      </c>
      <c r="B9" s="87" t="s">
        <v>94</v>
      </c>
      <c r="C9" s="87" t="s">
        <v>95</v>
      </c>
      <c r="D9" s="87" t="s">
        <v>96</v>
      </c>
      <c r="E9" s="87" t="s">
        <v>94</v>
      </c>
      <c r="F9" s="87" t="s">
        <v>95</v>
      </c>
      <c r="G9" s="87" t="s">
        <v>96</v>
      </c>
      <c r="H9" s="87" t="s">
        <v>94</v>
      </c>
      <c r="I9" s="87" t="s">
        <v>95</v>
      </c>
    </row>
    <row r="10" spans="1:9" ht="5.0999999999999996" customHeight="1">
      <c r="A10" s="5"/>
    </row>
    <row r="11" spans="1:9" ht="14.1" customHeight="1">
      <c r="A11" s="328" t="s">
        <v>235</v>
      </c>
      <c r="B11" s="329">
        <f>SUM('- 18 -'!B11,'- 18 -'!E11,'- 19 -'!B11,'- 19 -'!E11,'- 19 -'!H11,'- 20 -'!B11)</f>
        <v>10236068</v>
      </c>
      <c r="C11" s="335">
        <f>B11/'- 3 -'!D11*100</f>
        <v>61.437012745334528</v>
      </c>
      <c r="D11" s="329">
        <f>B11/'- 7 -'!C11</f>
        <v>6902.2710721510448</v>
      </c>
      <c r="E11" s="329">
        <f>SUM('- 21 -'!B11,'- 21 -'!E11,'- 21 -'!H11,'- 22 -'!B11,'- 22 -'!D11,'- 22 -'!G11,'- 23 -'!B11)</f>
        <v>2188747</v>
      </c>
      <c r="F11" s="335">
        <f>E11/'- 3 -'!D11*100</f>
        <v>13.136887849446948</v>
      </c>
      <c r="G11" s="329">
        <f>E11/'- 7 -'!E11</f>
        <v>1475.8914362778153</v>
      </c>
      <c r="H11" s="329">
        <f>SUM('- 24 -'!D11,'- 24 -'!B11)</f>
        <v>0</v>
      </c>
      <c r="I11" s="335">
        <f>H11/'- 3 -'!D11*100</f>
        <v>0</v>
      </c>
    </row>
    <row r="12" spans="1:9" ht="14.1" customHeight="1">
      <c r="A12" s="26" t="s">
        <v>236</v>
      </c>
      <c r="B12" s="27">
        <f>SUM('- 18 -'!B12,'- 18 -'!E12,'- 19 -'!B12,'- 19 -'!E12,'- 19 -'!H12,'- 20 -'!B12)</f>
        <v>17063436</v>
      </c>
      <c r="C12" s="79">
        <f>B12/'- 3 -'!D12*100</f>
        <v>57.308183532501303</v>
      </c>
      <c r="D12" s="27">
        <f>B12/'- 7 -'!C12</f>
        <v>7797.9325472991486</v>
      </c>
      <c r="E12" s="27">
        <f>SUM('- 21 -'!B12,'- 21 -'!E12,'- 21 -'!H12,'- 22 -'!B12,'- 22 -'!D12,'- 22 -'!G12,'- 23 -'!B12)</f>
        <v>4587860</v>
      </c>
      <c r="F12" s="79">
        <f>E12/'- 3 -'!D12*100</f>
        <v>15.408498200562972</v>
      </c>
      <c r="G12" s="27">
        <f>E12/'- 7 -'!E12</f>
        <v>2096.6365048898638</v>
      </c>
      <c r="H12" s="27">
        <f>SUM('- 24 -'!D12,'- 24 -'!B12)</f>
        <v>515865</v>
      </c>
      <c r="I12" s="79">
        <f>H12/'- 3 -'!D12*100</f>
        <v>1.7325517614385395</v>
      </c>
    </row>
    <row r="13" spans="1:9" ht="14.1" customHeight="1">
      <c r="A13" s="328" t="s">
        <v>237</v>
      </c>
      <c r="B13" s="329">
        <f>SUM('- 18 -'!B13,'- 18 -'!E13,'- 19 -'!B13,'- 19 -'!E13,'- 19 -'!H13,'- 20 -'!B13)</f>
        <v>50114518</v>
      </c>
      <c r="C13" s="335">
        <f>B13/'- 3 -'!D13*100</f>
        <v>59.753613623063075</v>
      </c>
      <c r="D13" s="329">
        <f>B13/'- 7 -'!C13</f>
        <v>6263.9232547965748</v>
      </c>
      <c r="E13" s="329">
        <f>SUM('- 21 -'!B13,'- 21 -'!E13,'- 21 -'!H13,'- 22 -'!B13,'- 22 -'!D13,'- 22 -'!G13,'- 23 -'!B13)</f>
        <v>18010847</v>
      </c>
      <c r="F13" s="335">
        <f>E13/'- 3 -'!D13*100</f>
        <v>21.475078193151624</v>
      </c>
      <c r="G13" s="329">
        <f>E13/'- 7 -'!E13</f>
        <v>2251.2151740516219</v>
      </c>
      <c r="H13" s="329">
        <f>SUM('- 24 -'!D13,'- 24 -'!B13)</f>
        <v>0</v>
      </c>
      <c r="I13" s="335">
        <f>H13/'- 3 -'!D13*100</f>
        <v>0</v>
      </c>
    </row>
    <row r="14" spans="1:9" ht="14.1" customHeight="1">
      <c r="A14" s="26" t="s">
        <v>636</v>
      </c>
      <c r="B14" s="27">
        <f>SUM('- 18 -'!B14,'- 18 -'!E14,'- 19 -'!B14,'- 19 -'!E14,'- 19 -'!H14,'- 20 -'!B14)</f>
        <v>41155765</v>
      </c>
      <c r="C14" s="79">
        <f>B14/'- 3 -'!D14*100</f>
        <v>56.371163303450665</v>
      </c>
      <c r="D14" s="27">
        <f>B14/'- 7 -'!C14</f>
        <v>7913.0484522207271</v>
      </c>
      <c r="E14" s="27">
        <f>SUM('- 21 -'!B14,'- 21 -'!E14,'- 21 -'!H14,'- 22 -'!B14,'- 22 -'!D14,'- 22 -'!G14,'- 23 -'!B14)</f>
        <v>9032830</v>
      </c>
      <c r="F14" s="79">
        <f>E14/'- 3 -'!D14*100</f>
        <v>12.372291828916515</v>
      </c>
      <c r="G14" s="27">
        <f>E14/'- 7 -'!E14</f>
        <v>1736.748702172659</v>
      </c>
      <c r="H14" s="27">
        <f>SUM('- 24 -'!D14,'- 24 -'!B14)</f>
        <v>241512</v>
      </c>
      <c r="I14" s="79">
        <f>H14/'- 3 -'!D14*100</f>
        <v>0.33079964354308505</v>
      </c>
    </row>
    <row r="15" spans="1:9" ht="14.1" customHeight="1">
      <c r="A15" s="328" t="s">
        <v>238</v>
      </c>
      <c r="B15" s="329">
        <f>SUM('- 18 -'!B15,'- 18 -'!E15,'- 19 -'!B15,'- 19 -'!E15,'- 19 -'!H15,'- 20 -'!B15)</f>
        <v>9968424</v>
      </c>
      <c r="C15" s="335">
        <f>B15/'- 3 -'!D15*100</f>
        <v>52.534641190698018</v>
      </c>
      <c r="D15" s="329">
        <f>B15/'- 7 -'!C15</f>
        <v>6683.4891049279249</v>
      </c>
      <c r="E15" s="329">
        <f>SUM('- 21 -'!B15,'- 21 -'!E15,'- 21 -'!H15,'- 22 -'!B15,'- 22 -'!D15,'- 22 -'!G15,'- 23 -'!B15)</f>
        <v>3434855</v>
      </c>
      <c r="F15" s="335">
        <f>E15/'- 3 -'!D15*100</f>
        <v>18.102046518795252</v>
      </c>
      <c r="G15" s="329">
        <f>E15/'- 7 -'!E15</f>
        <v>2302.9534026148172</v>
      </c>
      <c r="H15" s="329">
        <f>SUM('- 24 -'!D15,'- 24 -'!B15)</f>
        <v>0</v>
      </c>
      <c r="I15" s="335">
        <f>H15/'- 3 -'!D15*100</f>
        <v>0</v>
      </c>
    </row>
    <row r="16" spans="1:9" ht="14.1" customHeight="1">
      <c r="A16" s="26" t="s">
        <v>239</v>
      </c>
      <c r="B16" s="27">
        <f>SUM('- 18 -'!B16,'- 18 -'!E16,'- 19 -'!B16,'- 19 -'!E16,'- 19 -'!H16,'- 20 -'!B16)</f>
        <v>7001470</v>
      </c>
      <c r="C16" s="79">
        <f>B16/'- 3 -'!D16*100</f>
        <v>53.713970863066727</v>
      </c>
      <c r="D16" s="27">
        <f>B16/'- 7 -'!C16</f>
        <v>7278.0353430353434</v>
      </c>
      <c r="E16" s="27">
        <f>SUM('- 21 -'!B16,'- 21 -'!E16,'- 21 -'!H16,'- 22 -'!B16,'- 22 -'!D16,'- 22 -'!G16,'- 23 -'!B16)</f>
        <v>2305777</v>
      </c>
      <c r="F16" s="79">
        <f>E16/'- 3 -'!D16*100</f>
        <v>17.689490720481473</v>
      </c>
      <c r="G16" s="27">
        <f>E16/'- 7 -'!E16</f>
        <v>2396.8575883575882</v>
      </c>
      <c r="H16" s="27">
        <f>SUM('- 24 -'!D16,'- 24 -'!B16)</f>
        <v>92300</v>
      </c>
      <c r="I16" s="79">
        <f>H16/'- 3 -'!D16*100</f>
        <v>0.7081083701938391</v>
      </c>
    </row>
    <row r="17" spans="1:9" ht="14.1" customHeight="1">
      <c r="A17" s="328" t="s">
        <v>240</v>
      </c>
      <c r="B17" s="329">
        <f>SUM('- 18 -'!B17,'- 18 -'!E17,'- 19 -'!B17,'- 19 -'!E17,'- 19 -'!H17,'- 20 -'!B17)</f>
        <v>9460653</v>
      </c>
      <c r="C17" s="335">
        <f>B17/'- 3 -'!D17*100</f>
        <v>57.670504091366695</v>
      </c>
      <c r="D17" s="329">
        <f>B17/'- 7 -'!C17</f>
        <v>7351.1795264577577</v>
      </c>
      <c r="E17" s="329">
        <f>SUM('- 21 -'!B17,'- 21 -'!E17,'- 21 -'!H17,'- 22 -'!B17,'- 22 -'!D17,'- 22 -'!G17,'- 23 -'!B17)</f>
        <v>1985521</v>
      </c>
      <c r="F17" s="335">
        <f>E17/'- 3 -'!D17*100</f>
        <v>12.103392541085112</v>
      </c>
      <c r="G17" s="329">
        <f>E17/'- 7 -'!E17</f>
        <v>1542.8027351338151</v>
      </c>
      <c r="H17" s="329">
        <f>SUM('- 24 -'!D17,'- 24 -'!B17)</f>
        <v>0</v>
      </c>
      <c r="I17" s="335">
        <f>H17/'- 3 -'!D17*100</f>
        <v>0</v>
      </c>
    </row>
    <row r="18" spans="1:9" ht="14.1" customHeight="1">
      <c r="A18" s="26" t="s">
        <v>241</v>
      </c>
      <c r="B18" s="27">
        <f>SUM('- 18 -'!B18,'- 18 -'!E18,'- 19 -'!B18,'- 19 -'!E18,'- 19 -'!H18,'- 20 -'!B18)</f>
        <v>51374710</v>
      </c>
      <c r="C18" s="79">
        <f>B18/'- 3 -'!D18*100</f>
        <v>43.239759020832551</v>
      </c>
      <c r="D18" s="27">
        <f>B18/'- 7 -'!C18</f>
        <v>8469.5687295987336</v>
      </c>
      <c r="E18" s="27">
        <f>SUM('- 21 -'!B18,'- 21 -'!E18,'- 21 -'!H18,'- 22 -'!B18,'- 22 -'!D18,'- 22 -'!G18,'- 23 -'!B18)</f>
        <v>17639162</v>
      </c>
      <c r="F18" s="79">
        <f>E18/'- 3 -'!D18*100</f>
        <v>14.846081159571057</v>
      </c>
      <c r="G18" s="27">
        <f>E18/'- 7 -'!E18</f>
        <v>2907.9696000527547</v>
      </c>
      <c r="H18" s="27">
        <f>SUM('- 24 -'!D18,'- 24 -'!B18)</f>
        <v>1969837</v>
      </c>
      <c r="I18" s="79">
        <f>H18/'- 3 -'!D18*100</f>
        <v>1.6579222965992357</v>
      </c>
    </row>
    <row r="19" spans="1:9" ht="14.1" customHeight="1">
      <c r="A19" s="328" t="s">
        <v>242</v>
      </c>
      <c r="B19" s="329">
        <f>SUM('- 18 -'!B19,'- 18 -'!E19,'- 19 -'!B19,'- 19 -'!E19,'- 19 -'!H19,'- 20 -'!B19)</f>
        <v>26326742</v>
      </c>
      <c r="C19" s="335">
        <f>B19/'- 3 -'!D19*100</f>
        <v>60.799677751852663</v>
      </c>
      <c r="D19" s="329">
        <f>B19/'- 7 -'!C19</f>
        <v>6278.4369932271302</v>
      </c>
      <c r="E19" s="329">
        <f>SUM('- 21 -'!B19,'- 21 -'!E19,'- 21 -'!H19,'- 22 -'!B19,'- 22 -'!D19,'- 22 -'!G19,'- 23 -'!B19)</f>
        <v>7301751</v>
      </c>
      <c r="F19" s="335">
        <f>E19/'- 3 -'!D19*100</f>
        <v>16.862857843339217</v>
      </c>
      <c r="G19" s="329">
        <f>E19/'- 7 -'!E19</f>
        <v>1741.3314413812841</v>
      </c>
      <c r="H19" s="329">
        <f>SUM('- 24 -'!D19,'- 24 -'!B19)</f>
        <v>0</v>
      </c>
      <c r="I19" s="335">
        <f>H19/'- 3 -'!D19*100</f>
        <v>0</v>
      </c>
    </row>
    <row r="20" spans="1:9" ht="14.1" customHeight="1">
      <c r="A20" s="26" t="s">
        <v>243</v>
      </c>
      <c r="B20" s="27">
        <f>SUM('- 18 -'!B20,'- 18 -'!E20,'- 19 -'!B20,'- 19 -'!E20,'- 19 -'!H20,'- 20 -'!B20)</f>
        <v>43737685</v>
      </c>
      <c r="C20" s="79">
        <f>B20/'- 3 -'!D20*100</f>
        <v>61.905875951382605</v>
      </c>
      <c r="D20" s="27">
        <f>B20/'- 7 -'!C20</f>
        <v>5927.318742377016</v>
      </c>
      <c r="E20" s="27">
        <f>SUM('- 21 -'!B20,'- 21 -'!E20,'- 21 -'!H20,'- 22 -'!B20,'- 22 -'!D20,'- 22 -'!G20,'- 23 -'!B20)</f>
        <v>10112604</v>
      </c>
      <c r="F20" s="79">
        <f>E20/'- 3 -'!D20*100</f>
        <v>14.313277183496464</v>
      </c>
      <c r="G20" s="27">
        <f>E20/'- 7 -'!E20</f>
        <v>1370.4572435289335</v>
      </c>
      <c r="H20" s="27">
        <f>SUM('- 24 -'!D20,'- 24 -'!B20)</f>
        <v>0</v>
      </c>
      <c r="I20" s="79">
        <f>H20/'- 3 -'!D20*100</f>
        <v>0</v>
      </c>
    </row>
    <row r="21" spans="1:9" ht="14.1" customHeight="1">
      <c r="A21" s="328" t="s">
        <v>244</v>
      </c>
      <c r="B21" s="329">
        <f>SUM('- 18 -'!B21,'- 18 -'!E21,'- 19 -'!B21,'- 19 -'!E21,'- 19 -'!H21,'- 20 -'!B21)</f>
        <v>18965702</v>
      </c>
      <c r="C21" s="335">
        <f>B21/'- 3 -'!D21*100</f>
        <v>54.745956699615014</v>
      </c>
      <c r="D21" s="329">
        <f>B21/'- 7 -'!C21</f>
        <v>7016.5379208287086</v>
      </c>
      <c r="E21" s="329">
        <f>SUM('- 21 -'!B21,'- 21 -'!E21,'- 21 -'!H21,'- 22 -'!B21,'- 22 -'!D21,'- 22 -'!G21,'- 23 -'!B21)</f>
        <v>5666231</v>
      </c>
      <c r="F21" s="335">
        <f>E21/'- 3 -'!D21*100</f>
        <v>16.356011339628573</v>
      </c>
      <c r="G21" s="329">
        <f>E21/'- 7 -'!E21</f>
        <v>2096.2748797632262</v>
      </c>
      <c r="H21" s="329">
        <f>SUM('- 24 -'!D21,'- 24 -'!B21)</f>
        <v>0</v>
      </c>
      <c r="I21" s="335">
        <f>H21/'- 3 -'!D21*100</f>
        <v>0</v>
      </c>
    </row>
    <row r="22" spans="1:9" ht="14.1" customHeight="1">
      <c r="A22" s="26" t="s">
        <v>245</v>
      </c>
      <c r="B22" s="27">
        <f>SUM('- 18 -'!B22,'- 18 -'!E22,'- 19 -'!B22,'- 19 -'!E22,'- 19 -'!H22,'- 20 -'!B22)</f>
        <v>9721012</v>
      </c>
      <c r="C22" s="79">
        <f>B22/'- 3 -'!D22*100</f>
        <v>50.446974902959361</v>
      </c>
      <c r="D22" s="27">
        <f>B22/'- 7 -'!C22</f>
        <v>6198.8343323555664</v>
      </c>
      <c r="E22" s="27">
        <f>SUM('- 21 -'!B22,'- 21 -'!E22,'- 21 -'!H22,'- 22 -'!B22,'- 22 -'!D22,'- 22 -'!G22,'- 23 -'!B22)</f>
        <v>4396393</v>
      </c>
      <c r="F22" s="79">
        <f>E22/'- 3 -'!D22*100</f>
        <v>22.814983392114545</v>
      </c>
      <c r="G22" s="27">
        <f>E22/'- 7 -'!E22</f>
        <v>2803.4644815712281</v>
      </c>
      <c r="H22" s="27">
        <f>SUM('- 24 -'!D22,'- 24 -'!B22)</f>
        <v>594324</v>
      </c>
      <c r="I22" s="79">
        <f>H22/'- 3 -'!D22*100</f>
        <v>3.0842311389211763</v>
      </c>
    </row>
    <row r="23" spans="1:9" ht="14.1" customHeight="1">
      <c r="A23" s="328" t="s">
        <v>246</v>
      </c>
      <c r="B23" s="329">
        <f>SUM('- 18 -'!B23,'- 18 -'!E23,'- 19 -'!B23,'- 19 -'!E23,'- 19 -'!H23,'- 20 -'!B23)</f>
        <v>8499655</v>
      </c>
      <c r="C23" s="335">
        <f>B23/'- 3 -'!D23*100</f>
        <v>52.364652671183144</v>
      </c>
      <c r="D23" s="329">
        <f>B23/'- 7 -'!C23</f>
        <v>7350.0994465582835</v>
      </c>
      <c r="E23" s="329">
        <f>SUM('- 21 -'!B23,'- 21 -'!E23,'- 21 -'!H23,'- 22 -'!B23,'- 22 -'!D23,'- 22 -'!G23,'- 23 -'!B23)</f>
        <v>2779292</v>
      </c>
      <c r="F23" s="335">
        <f>E23/'- 3 -'!D23*100</f>
        <v>17.122655007973613</v>
      </c>
      <c r="G23" s="329">
        <f>E23/'- 7 -'!E23</f>
        <v>2403.4002075406434</v>
      </c>
      <c r="H23" s="329">
        <f>SUM('- 24 -'!D23,'- 24 -'!B23)</f>
        <v>283944</v>
      </c>
      <c r="I23" s="335">
        <f>H23/'- 3 -'!D23*100</f>
        <v>1.7493214651731661</v>
      </c>
    </row>
    <row r="24" spans="1:9" ht="14.1" customHeight="1">
      <c r="A24" s="26" t="s">
        <v>247</v>
      </c>
      <c r="B24" s="27">
        <f>SUM('- 18 -'!B24,'- 18 -'!E24,'- 19 -'!B24,'- 19 -'!E24,'- 19 -'!H24,'- 20 -'!B24)</f>
        <v>30201049</v>
      </c>
      <c r="C24" s="79">
        <f>B24/'- 3 -'!D24*100</f>
        <v>57.821882088199587</v>
      </c>
      <c r="D24" s="27">
        <f>B24/'- 7 -'!C24</f>
        <v>7323.4193360653753</v>
      </c>
      <c r="E24" s="27">
        <f>SUM('- 21 -'!B24,'- 21 -'!E24,'- 21 -'!H24,'- 22 -'!B24,'- 22 -'!D24,'- 22 -'!G24,'- 23 -'!B24)</f>
        <v>9077563</v>
      </c>
      <c r="F24" s="79">
        <f>E24/'- 3 -'!D24*100</f>
        <v>17.379587624065749</v>
      </c>
      <c r="G24" s="27">
        <f>E24/'- 7 -'!E24</f>
        <v>2201.2083222192587</v>
      </c>
      <c r="H24" s="27">
        <f>SUM('- 24 -'!D24,'- 24 -'!B24)</f>
        <v>342519</v>
      </c>
      <c r="I24" s="79">
        <f>H24/'- 3 -'!D24*100</f>
        <v>0.65577501069476207</v>
      </c>
    </row>
    <row r="25" spans="1:9" ht="14.1" customHeight="1">
      <c r="A25" s="328" t="s">
        <v>248</v>
      </c>
      <c r="B25" s="329">
        <f>SUM('- 18 -'!B25,'- 18 -'!E25,'- 19 -'!B25,'- 19 -'!E25,'- 19 -'!H25,'- 20 -'!B25)</f>
        <v>85756533</v>
      </c>
      <c r="C25" s="335">
        <f>B25/'- 3 -'!D25*100</f>
        <v>55.64772091664301</v>
      </c>
      <c r="D25" s="329">
        <f>B25/'- 7 -'!C25</f>
        <v>6203.0041952983729</v>
      </c>
      <c r="E25" s="329">
        <f>SUM('- 21 -'!B25,'- 21 -'!E25,'- 21 -'!H25,'- 22 -'!B25,'- 22 -'!D25,'- 22 -'!G25,'- 23 -'!B25)</f>
        <v>32037793</v>
      </c>
      <c r="F25" s="335">
        <f>E25/'- 3 -'!D25*100</f>
        <v>20.789438440208151</v>
      </c>
      <c r="G25" s="329">
        <f>E25/'- 7 -'!E25</f>
        <v>2317.3810488245931</v>
      </c>
      <c r="H25" s="329">
        <f>SUM('- 24 -'!D25,'- 24 -'!B25)</f>
        <v>0</v>
      </c>
      <c r="I25" s="335">
        <f>H25/'- 3 -'!D25*100</f>
        <v>0</v>
      </c>
    </row>
    <row r="26" spans="1:9" ht="14.1" customHeight="1">
      <c r="A26" s="26" t="s">
        <v>249</v>
      </c>
      <c r="B26" s="27">
        <f>SUM('- 18 -'!B26,'- 18 -'!E26,'- 19 -'!B26,'- 19 -'!E26,'- 19 -'!H26,'- 20 -'!B26)</f>
        <v>21135228</v>
      </c>
      <c r="C26" s="79">
        <f>B26/'- 3 -'!D26*100</f>
        <v>56.210899637299327</v>
      </c>
      <c r="D26" s="27">
        <f>B26/'- 7 -'!C26</f>
        <v>6782.8074454428752</v>
      </c>
      <c r="E26" s="27">
        <f>SUM('- 21 -'!B26,'- 21 -'!E26,'- 21 -'!H26,'- 22 -'!B26,'- 22 -'!D26,'- 22 -'!G26,'- 23 -'!B26)</f>
        <v>5386101</v>
      </c>
      <c r="F26" s="79">
        <f>E26/'- 3 -'!D26*100</f>
        <v>14.324784324415972</v>
      </c>
      <c r="G26" s="27">
        <f>E26/'- 7 -'!E26</f>
        <v>1728.530487804878</v>
      </c>
      <c r="H26" s="27">
        <f>SUM('- 24 -'!D26,'- 24 -'!B26)</f>
        <v>0</v>
      </c>
      <c r="I26" s="79">
        <f>H26/'- 3 -'!D26*100</f>
        <v>0</v>
      </c>
    </row>
    <row r="27" spans="1:9" ht="14.1" customHeight="1">
      <c r="A27" s="328" t="s">
        <v>250</v>
      </c>
      <c r="B27" s="329">
        <f>SUM('- 18 -'!B27,'- 18 -'!E27,'- 19 -'!B27,'- 19 -'!E27,'- 19 -'!H27,'- 20 -'!B27)</f>
        <v>21307403</v>
      </c>
      <c r="C27" s="335">
        <f>B27/'- 3 -'!D27*100</f>
        <v>57.909230146854881</v>
      </c>
      <c r="D27" s="329">
        <f>B27/'- 7 -'!C27</f>
        <v>7676.4070324602799</v>
      </c>
      <c r="E27" s="329">
        <f>SUM('- 21 -'!B27,'- 21 -'!E27,'- 21 -'!H27,'- 22 -'!B27,'- 22 -'!D27,'- 22 -'!G27,'- 23 -'!B27)</f>
        <v>7091777</v>
      </c>
      <c r="F27" s="335">
        <f>E27/'- 3 -'!D27*100</f>
        <v>19.274021636666475</v>
      </c>
      <c r="G27" s="329">
        <f>E27/'- 7 -'!E27</f>
        <v>2554.950823215765</v>
      </c>
      <c r="H27" s="329">
        <f>SUM('- 24 -'!D27,'- 24 -'!B27)</f>
        <v>0</v>
      </c>
      <c r="I27" s="335">
        <f>H27/'- 3 -'!D27*100</f>
        <v>0</v>
      </c>
    </row>
    <row r="28" spans="1:9" ht="14.1" customHeight="1">
      <c r="A28" s="26" t="s">
        <v>251</v>
      </c>
      <c r="B28" s="27">
        <f>SUM('- 18 -'!B28,'- 18 -'!E28,'- 19 -'!B28,'- 19 -'!E28,'- 19 -'!H28,'- 20 -'!B28)</f>
        <v>15700140</v>
      </c>
      <c r="C28" s="79">
        <f>B28/'- 3 -'!D28*100</f>
        <v>58.16405859995173</v>
      </c>
      <c r="D28" s="27">
        <f>B28/'- 7 -'!C28</f>
        <v>7816.8483943241226</v>
      </c>
      <c r="E28" s="27">
        <f>SUM('- 21 -'!B28,'- 21 -'!E28,'- 21 -'!H28,'- 22 -'!B28,'- 22 -'!D28,'- 22 -'!G28,'- 23 -'!B28)</f>
        <v>3395937</v>
      </c>
      <c r="F28" s="79">
        <f>E28/'- 3 -'!D28*100</f>
        <v>12.580873716396432</v>
      </c>
      <c r="G28" s="27">
        <f>E28/'- 7 -'!E28</f>
        <v>1690.7826736370425</v>
      </c>
      <c r="H28" s="27">
        <f>SUM('- 24 -'!D28,'- 24 -'!B28)</f>
        <v>120942</v>
      </c>
      <c r="I28" s="79">
        <f>H28/'- 3 -'!D28*100</f>
        <v>0.44805190114198745</v>
      </c>
    </row>
    <row r="29" spans="1:9" ht="14.1" customHeight="1">
      <c r="A29" s="328" t="s">
        <v>252</v>
      </c>
      <c r="B29" s="329">
        <f>SUM('- 18 -'!B29,'- 18 -'!E29,'- 19 -'!B29,'- 19 -'!E29,'- 19 -'!H29,'- 20 -'!B29)</f>
        <v>77653164</v>
      </c>
      <c r="C29" s="335">
        <f>B29/'- 3 -'!D29*100</f>
        <v>55.16029457678907</v>
      </c>
      <c r="D29" s="329">
        <f>B29/'- 7 -'!C29</f>
        <v>6363.6051037885054</v>
      </c>
      <c r="E29" s="329">
        <f>SUM('- 21 -'!B29,'- 21 -'!E29,'- 21 -'!H29,'- 22 -'!B29,'- 22 -'!D29,'- 22 -'!G29,'- 23 -'!B29)</f>
        <v>29174256</v>
      </c>
      <c r="F29" s="335">
        <f>E29/'- 3 -'!D29*100</f>
        <v>20.72369588209768</v>
      </c>
      <c r="G29" s="329">
        <f>E29/'- 7 -'!E29</f>
        <v>2390.8033468002982</v>
      </c>
      <c r="H29" s="329">
        <f>SUM('- 24 -'!D29,'- 24 -'!B29)</f>
        <v>0</v>
      </c>
      <c r="I29" s="335">
        <f>H29/'- 3 -'!D29*100</f>
        <v>0</v>
      </c>
    </row>
    <row r="30" spans="1:9" ht="14.1" customHeight="1">
      <c r="A30" s="26" t="s">
        <v>253</v>
      </c>
      <c r="B30" s="27">
        <f>SUM('- 18 -'!B30,'- 18 -'!E30,'- 19 -'!B30,'- 19 -'!E30,'- 19 -'!H30,'- 20 -'!B30)</f>
        <v>8022180</v>
      </c>
      <c r="C30" s="79">
        <f>B30/'- 3 -'!D30*100</f>
        <v>59.631962639205952</v>
      </c>
      <c r="D30" s="27">
        <f>B30/'- 7 -'!C30</f>
        <v>7571.3800328444404</v>
      </c>
      <c r="E30" s="27">
        <f>SUM('- 21 -'!B30,'- 21 -'!E30,'- 21 -'!H30,'- 22 -'!B30,'- 22 -'!D30,'- 22 -'!G30,'- 23 -'!B30)</f>
        <v>1423252</v>
      </c>
      <c r="F30" s="79">
        <f>E30/'- 3 -'!D30*100</f>
        <v>10.579581870535835</v>
      </c>
      <c r="G30" s="27">
        <f>E30/'- 7 -'!E30</f>
        <v>1343.2734960454534</v>
      </c>
      <c r="H30" s="27">
        <f>SUM('- 24 -'!D30,'- 24 -'!B30)</f>
        <v>0</v>
      </c>
      <c r="I30" s="79">
        <f>H30/'- 3 -'!D30*100</f>
        <v>0</v>
      </c>
    </row>
    <row r="31" spans="1:9" ht="14.1" customHeight="1">
      <c r="A31" s="328" t="s">
        <v>254</v>
      </c>
      <c r="B31" s="329">
        <f>SUM('- 18 -'!B31,'- 18 -'!E31,'- 19 -'!B31,'- 19 -'!E31,'- 19 -'!H31,'- 20 -'!B31)</f>
        <v>19563510</v>
      </c>
      <c r="C31" s="335">
        <f>B31/'- 3 -'!D31*100</f>
        <v>58.034503331579558</v>
      </c>
      <c r="D31" s="329">
        <f>B31/'- 7 -'!C31</f>
        <v>6149.1466289486088</v>
      </c>
      <c r="E31" s="329">
        <f>SUM('- 21 -'!B31,'- 21 -'!E31,'- 21 -'!H31,'- 22 -'!B31,'- 22 -'!D31,'- 22 -'!G31,'- 23 -'!B31)</f>
        <v>6380842</v>
      </c>
      <c r="F31" s="335">
        <f>E31/'- 3 -'!D31*100</f>
        <v>18.928556087700152</v>
      </c>
      <c r="G31" s="329">
        <f>E31/'- 7 -'!E31</f>
        <v>2005.6080465189375</v>
      </c>
      <c r="H31" s="329">
        <f>SUM('- 24 -'!D31,'- 24 -'!B31)</f>
        <v>0</v>
      </c>
      <c r="I31" s="335">
        <f>H31/'- 3 -'!D31*100</f>
        <v>0</v>
      </c>
    </row>
    <row r="32" spans="1:9" ht="14.1" customHeight="1">
      <c r="A32" s="26" t="s">
        <v>255</v>
      </c>
      <c r="B32" s="27">
        <f>SUM('- 18 -'!B32,'- 18 -'!E32,'- 19 -'!B32,'- 19 -'!E32,'- 19 -'!H32,'- 20 -'!B32)</f>
        <v>14745728</v>
      </c>
      <c r="C32" s="79">
        <f>B32/'- 3 -'!D32*100</f>
        <v>56.654689789296455</v>
      </c>
      <c r="D32" s="27">
        <f>B32/'- 7 -'!C32</f>
        <v>7292.6449060336299</v>
      </c>
      <c r="E32" s="27">
        <f>SUM('- 21 -'!B32,'- 21 -'!E32,'- 21 -'!H32,'- 22 -'!B32,'- 22 -'!D32,'- 22 -'!G32,'- 23 -'!B32)</f>
        <v>3721514</v>
      </c>
      <c r="F32" s="79">
        <f>E32/'- 3 -'!D32*100</f>
        <v>14.298461304624894</v>
      </c>
      <c r="G32" s="27">
        <f>E32/'- 7 -'!E32</f>
        <v>1840.5113748763602</v>
      </c>
      <c r="H32" s="27">
        <f>SUM('- 24 -'!D32,'- 24 -'!B32)</f>
        <v>258110</v>
      </c>
      <c r="I32" s="79">
        <f>H32/'- 3 -'!D32*100</f>
        <v>0.99168667572840807</v>
      </c>
    </row>
    <row r="33" spans="1:9" ht="14.1" customHeight="1">
      <c r="A33" s="328" t="s">
        <v>256</v>
      </c>
      <c r="B33" s="329">
        <f>SUM('- 18 -'!B33,'- 18 -'!E33,'- 19 -'!B33,'- 19 -'!E33,'- 19 -'!H33,'- 20 -'!B33)</f>
        <v>14758289</v>
      </c>
      <c r="C33" s="335">
        <f>B33/'- 3 -'!D33*100</f>
        <v>56.371046841940597</v>
      </c>
      <c r="D33" s="329">
        <f>B33/'- 7 -'!C33</f>
        <v>7379.8824882488243</v>
      </c>
      <c r="E33" s="329">
        <f>SUM('- 21 -'!B33,'- 21 -'!E33,'- 21 -'!H33,'- 22 -'!B33,'- 22 -'!D33,'- 22 -'!G33,'- 23 -'!B33)</f>
        <v>3437364</v>
      </c>
      <c r="F33" s="335">
        <f>E33/'- 3 -'!D33*100</f>
        <v>13.129422188222517</v>
      </c>
      <c r="G33" s="329">
        <f>E33/'- 7 -'!E33</f>
        <v>1718.8538853885386</v>
      </c>
      <c r="H33" s="329">
        <f>SUM('- 24 -'!D33,'- 24 -'!B33)</f>
        <v>0</v>
      </c>
      <c r="I33" s="335">
        <f>H33/'- 3 -'!D33*100</f>
        <v>0</v>
      </c>
    </row>
    <row r="34" spans="1:9" ht="14.1" customHeight="1">
      <c r="A34" s="26" t="s">
        <v>257</v>
      </c>
      <c r="B34" s="27">
        <f>SUM('- 18 -'!B34,'- 18 -'!E34,'- 19 -'!B34,'- 19 -'!E34,'- 19 -'!H34,'- 20 -'!B34)</f>
        <v>14350165</v>
      </c>
      <c r="C34" s="79">
        <f>B34/'- 3 -'!D34*100</f>
        <v>56.888912375392422</v>
      </c>
      <c r="D34" s="27">
        <f>B34/'- 7 -'!C34</f>
        <v>7284.3477157360403</v>
      </c>
      <c r="E34" s="27">
        <f>SUM('- 21 -'!B34,'- 21 -'!E34,'- 21 -'!H34,'- 22 -'!B34,'- 22 -'!D34,'- 22 -'!G34,'- 23 -'!B34)</f>
        <v>3637303</v>
      </c>
      <c r="F34" s="79">
        <f>E34/'- 3 -'!D34*100</f>
        <v>14.41950051792101</v>
      </c>
      <c r="G34" s="27">
        <f>E34/'- 7 -'!E34</f>
        <v>1846.3467005076143</v>
      </c>
      <c r="H34" s="27">
        <f>SUM('- 24 -'!D34,'- 24 -'!B34)</f>
        <v>0</v>
      </c>
      <c r="I34" s="79">
        <f>H34/'- 3 -'!D34*100</f>
        <v>0</v>
      </c>
    </row>
    <row r="35" spans="1:9" ht="14.1" customHeight="1">
      <c r="A35" s="328" t="s">
        <v>258</v>
      </c>
      <c r="B35" s="329">
        <f>SUM('- 18 -'!B35,'- 18 -'!E35,'- 19 -'!B35,'- 19 -'!E35,'- 19 -'!H35,'- 20 -'!B35)</f>
        <v>96110782</v>
      </c>
      <c r="C35" s="335">
        <f>B35/'- 3 -'!D35*100</f>
        <v>56.101973329849052</v>
      </c>
      <c r="D35" s="329">
        <f>B35/'- 7 -'!C35</f>
        <v>6175.3964082629227</v>
      </c>
      <c r="E35" s="329">
        <f>SUM('- 21 -'!B35,'- 21 -'!E35,'- 21 -'!H35,'- 22 -'!B35,'- 22 -'!D35,'- 22 -'!G35,'- 23 -'!B35)</f>
        <v>32357156</v>
      </c>
      <c r="F35" s="335">
        <f>E35/'- 3 -'!D35*100</f>
        <v>18.88758227918451</v>
      </c>
      <c r="G35" s="329">
        <f>E35/'- 7 -'!E35</f>
        <v>2079.041089729174</v>
      </c>
      <c r="H35" s="329">
        <f>SUM('- 24 -'!D35,'- 24 -'!B35)</f>
        <v>980623</v>
      </c>
      <c r="I35" s="335">
        <f>H35/'- 3 -'!D35*100</f>
        <v>0.57241117227239469</v>
      </c>
    </row>
    <row r="36" spans="1:9" ht="14.1" customHeight="1">
      <c r="A36" s="26" t="s">
        <v>259</v>
      </c>
      <c r="B36" s="27">
        <f>SUM('- 18 -'!B36,'- 18 -'!E36,'- 19 -'!B36,'- 19 -'!E36,'- 19 -'!H36,'- 20 -'!B36)</f>
        <v>12544013</v>
      </c>
      <c r="C36" s="79">
        <f>B36/'- 3 -'!D36*100</f>
        <v>58.636057716443915</v>
      </c>
      <c r="D36" s="27">
        <f>B36/'- 7 -'!C36</f>
        <v>7707.5348694316435</v>
      </c>
      <c r="E36" s="27">
        <f>SUM('- 21 -'!B36,'- 21 -'!E36,'- 21 -'!H36,'- 22 -'!B36,'- 22 -'!D36,'- 22 -'!G36,'- 23 -'!B36)</f>
        <v>2762483</v>
      </c>
      <c r="F36" s="79">
        <f>E36/'- 3 -'!D36*100</f>
        <v>12.913021744213365</v>
      </c>
      <c r="G36" s="27">
        <f>E36/'- 7 -'!E36</f>
        <v>1697.3781874039939</v>
      </c>
      <c r="H36" s="27">
        <f>SUM('- 24 -'!D36,'- 24 -'!B36)</f>
        <v>115224</v>
      </c>
      <c r="I36" s="79">
        <f>H36/'- 3 -'!D36*100</f>
        <v>0.53860603574944743</v>
      </c>
    </row>
    <row r="37" spans="1:9" ht="14.1" customHeight="1">
      <c r="A37" s="328" t="s">
        <v>260</v>
      </c>
      <c r="B37" s="329">
        <f>SUM('- 18 -'!B37,'- 18 -'!E37,'- 19 -'!B37,'- 19 -'!E37,'- 19 -'!H37,'- 20 -'!B37)</f>
        <v>23417228</v>
      </c>
      <c r="C37" s="335">
        <f>B37/'- 3 -'!D37*100</f>
        <v>55.272318137917175</v>
      </c>
      <c r="D37" s="329">
        <f>B37/'- 7 -'!C37</f>
        <v>5983.7046122396832</v>
      </c>
      <c r="E37" s="329">
        <f>SUM('- 21 -'!B37,'- 21 -'!E37,'- 21 -'!H37,'- 22 -'!B37,'- 22 -'!D37,'- 22 -'!G37,'- 23 -'!B37)</f>
        <v>7596586</v>
      </c>
      <c r="F37" s="335">
        <f>E37/'- 3 -'!D37*100</f>
        <v>17.930427894968936</v>
      </c>
      <c r="G37" s="329">
        <f>E37/'- 7 -'!E37</f>
        <v>1941.1232911715856</v>
      </c>
      <c r="H37" s="329">
        <f>SUM('- 24 -'!D37,'- 24 -'!B37)</f>
        <v>293136</v>
      </c>
      <c r="I37" s="335">
        <f>H37/'- 3 -'!D37*100</f>
        <v>0.69189684832365672</v>
      </c>
    </row>
    <row r="38" spans="1:9" ht="14.1" customHeight="1">
      <c r="A38" s="26" t="s">
        <v>261</v>
      </c>
      <c r="B38" s="27">
        <f>SUM('- 18 -'!B38,'- 18 -'!E38,'- 19 -'!B38,'- 19 -'!E38,'- 19 -'!H38,'- 20 -'!B38)</f>
        <v>68133640</v>
      </c>
      <c r="C38" s="79">
        <f>B38/'- 3 -'!D38*100</f>
        <v>59.230587353650755</v>
      </c>
      <c r="D38" s="27">
        <f>B38/'- 7 -'!C38</f>
        <v>6518.8426873839908</v>
      </c>
      <c r="E38" s="27">
        <f>SUM('- 21 -'!B38,'- 21 -'!E38,'- 21 -'!H38,'- 22 -'!B38,'- 22 -'!D38,'- 22 -'!G38,'- 23 -'!B38)</f>
        <v>20512724</v>
      </c>
      <c r="F38" s="79">
        <f>E38/'- 3 -'!D38*100</f>
        <v>17.832317350773106</v>
      </c>
      <c r="G38" s="27">
        <f>E38/'- 7 -'!E38</f>
        <v>1962.6020398400274</v>
      </c>
      <c r="H38" s="27">
        <f>SUM('- 24 -'!D38,'- 24 -'!B38)</f>
        <v>820718</v>
      </c>
      <c r="I38" s="79">
        <f>H38/'- 3 -'!D38*100</f>
        <v>0.71347441868236516</v>
      </c>
    </row>
    <row r="39" spans="1:9" ht="14.1" customHeight="1">
      <c r="A39" s="328" t="s">
        <v>262</v>
      </c>
      <c r="B39" s="329">
        <f>SUM('- 18 -'!B39,'- 18 -'!E39,'- 19 -'!B39,'- 19 -'!E39,'- 19 -'!H39,'- 20 -'!B39)</f>
        <v>11219663</v>
      </c>
      <c r="C39" s="335">
        <f>B39/'- 3 -'!D39*100</f>
        <v>55.418093918906472</v>
      </c>
      <c r="D39" s="329">
        <f>B39/'- 7 -'!C39</f>
        <v>7212.8981035036968</v>
      </c>
      <c r="E39" s="329">
        <f>SUM('- 21 -'!B39,'- 21 -'!E39,'- 21 -'!H39,'- 22 -'!B39,'- 22 -'!D39,'- 22 -'!G39,'- 23 -'!B39)</f>
        <v>2620034</v>
      </c>
      <c r="F39" s="335">
        <f>E39/'- 3 -'!D39*100</f>
        <v>12.941323663886179</v>
      </c>
      <c r="G39" s="329">
        <f>E39/'- 7 -'!E39</f>
        <v>1684.3677274188365</v>
      </c>
      <c r="H39" s="329">
        <f>SUM('- 24 -'!D39,'- 24 -'!B39)</f>
        <v>0</v>
      </c>
      <c r="I39" s="335">
        <f>H39/'- 3 -'!D39*100</f>
        <v>0</v>
      </c>
    </row>
    <row r="40" spans="1:9" ht="14.1" customHeight="1">
      <c r="A40" s="26" t="s">
        <v>263</v>
      </c>
      <c r="B40" s="27">
        <f>SUM('- 18 -'!B40,'- 18 -'!E40,'- 19 -'!B40,'- 19 -'!E40,'- 19 -'!H40,'- 20 -'!B40)</f>
        <v>54188618</v>
      </c>
      <c r="C40" s="79">
        <f>B40/'- 3 -'!D40*100</f>
        <v>56.949124291612172</v>
      </c>
      <c r="D40" s="27">
        <f>B40/'- 7 -'!C40</f>
        <v>6821.6270857855015</v>
      </c>
      <c r="E40" s="27">
        <f>SUM('- 21 -'!B40,'- 21 -'!E40,'- 21 -'!H40,'- 22 -'!B40,'- 22 -'!D40,'- 22 -'!G40,'- 23 -'!B40)</f>
        <v>19841412</v>
      </c>
      <c r="F40" s="79">
        <f>E40/'- 3 -'!D40*100</f>
        <v>20.852184089822799</v>
      </c>
      <c r="G40" s="27">
        <f>E40/'- 7 -'!E40</f>
        <v>2497.7701686252544</v>
      </c>
      <c r="H40" s="27">
        <f>SUM('- 24 -'!D40,'- 24 -'!B40)</f>
        <v>0</v>
      </c>
      <c r="I40" s="79">
        <f>H40/'- 3 -'!D40*100</f>
        <v>0</v>
      </c>
    </row>
    <row r="41" spans="1:9" ht="14.1" customHeight="1">
      <c r="A41" s="328" t="s">
        <v>264</v>
      </c>
      <c r="B41" s="329">
        <f>SUM('- 18 -'!B41,'- 18 -'!E41,'- 19 -'!B41,'- 19 -'!E41,'- 19 -'!H41,'- 20 -'!B41)</f>
        <v>30530894</v>
      </c>
      <c r="C41" s="335">
        <f>B41/'- 3 -'!D41*100</f>
        <v>52.094541948648057</v>
      </c>
      <c r="D41" s="329">
        <f>B41/'- 7 -'!C41</f>
        <v>6927.8180167914679</v>
      </c>
      <c r="E41" s="329">
        <f>SUM('- 21 -'!B41,'- 21 -'!E41,'- 21 -'!H41,'- 22 -'!B41,'- 22 -'!D41,'- 22 -'!G41,'- 23 -'!B41)</f>
        <v>11229008</v>
      </c>
      <c r="F41" s="335">
        <f>E41/'- 3 -'!D41*100</f>
        <v>19.15993774364107</v>
      </c>
      <c r="G41" s="329">
        <f>E41/'- 7 -'!E41</f>
        <v>2547.9936464715224</v>
      </c>
      <c r="H41" s="329">
        <f>SUM('- 24 -'!D41,'- 24 -'!B41)</f>
        <v>943773</v>
      </c>
      <c r="I41" s="335">
        <f>H41/'- 3 -'!D41*100</f>
        <v>1.610349901267268</v>
      </c>
    </row>
    <row r="42" spans="1:9" ht="14.1" customHeight="1">
      <c r="A42" s="26" t="s">
        <v>265</v>
      </c>
      <c r="B42" s="27">
        <f>SUM('- 18 -'!B42,'- 18 -'!E42,'- 19 -'!B42,'- 19 -'!E42,'- 19 -'!H42,'- 20 -'!B42)</f>
        <v>11362028</v>
      </c>
      <c r="C42" s="79">
        <f>B42/'- 3 -'!D42*100</f>
        <v>56.395567722337937</v>
      </c>
      <c r="D42" s="27">
        <f>B42/'- 7 -'!C42</f>
        <v>7828.8623992282783</v>
      </c>
      <c r="E42" s="27">
        <f>SUM('- 21 -'!B42,'- 21 -'!E42,'- 21 -'!H42,'- 22 -'!B42,'- 22 -'!D42,'- 22 -'!G42,'- 23 -'!B42)</f>
        <v>3110584</v>
      </c>
      <c r="F42" s="79">
        <f>E42/'- 3 -'!D42*100</f>
        <v>15.439422489367288</v>
      </c>
      <c r="G42" s="27">
        <f>E42/'- 7 -'!E42</f>
        <v>2143.3087576655412</v>
      </c>
      <c r="H42" s="27">
        <f>SUM('- 24 -'!D42,'- 24 -'!B42)</f>
        <v>0</v>
      </c>
      <c r="I42" s="79">
        <f>H42/'- 3 -'!D42*100</f>
        <v>0</v>
      </c>
    </row>
    <row r="43" spans="1:9" ht="14.1" customHeight="1">
      <c r="A43" s="328" t="s">
        <v>266</v>
      </c>
      <c r="B43" s="329">
        <f>SUM('- 18 -'!B43,'- 18 -'!E43,'- 19 -'!B43,'- 19 -'!E43,'- 19 -'!H43,'- 20 -'!B43)</f>
        <v>6654648</v>
      </c>
      <c r="C43" s="335">
        <f>B43/'- 3 -'!D43*100</f>
        <v>53.935969794907656</v>
      </c>
      <c r="D43" s="329">
        <f>B43/'- 7 -'!C43</f>
        <v>6798.7821822639971</v>
      </c>
      <c r="E43" s="329">
        <f>SUM('- 21 -'!B43,'- 21 -'!E43,'- 21 -'!H43,'- 22 -'!B43,'- 22 -'!D43,'- 22 -'!G43,'- 23 -'!B43)</f>
        <v>2055924</v>
      </c>
      <c r="F43" s="335">
        <f>E43/'- 3 -'!D43*100</f>
        <v>16.663278773667027</v>
      </c>
      <c r="G43" s="329">
        <f>E43/'- 7 -'!E43</f>
        <v>2100.4536166734779</v>
      </c>
      <c r="H43" s="329">
        <f>SUM('- 24 -'!D43,'- 24 -'!B43)</f>
        <v>208707</v>
      </c>
      <c r="I43" s="335">
        <f>H43/'- 3 -'!D43*100</f>
        <v>1.6915717327176121</v>
      </c>
    </row>
    <row r="44" spans="1:9" ht="14.1" customHeight="1">
      <c r="A44" s="26" t="s">
        <v>267</v>
      </c>
      <c r="B44" s="27">
        <f>SUM('- 18 -'!B44,'- 18 -'!E44,'- 19 -'!B44,'- 19 -'!E44,'- 19 -'!H44,'- 20 -'!B44)</f>
        <v>5718875</v>
      </c>
      <c r="C44" s="79">
        <f>B44/'- 3 -'!D44*100</f>
        <v>55.605310924003703</v>
      </c>
      <c r="D44" s="27">
        <f>B44/'- 7 -'!C44</f>
        <v>8152.3521026372064</v>
      </c>
      <c r="E44" s="27">
        <f>SUM('- 21 -'!B44,'- 21 -'!E44,'- 21 -'!H44,'- 22 -'!B44,'- 22 -'!D44,'- 22 -'!G44,'- 23 -'!B44)</f>
        <v>1637737</v>
      </c>
      <c r="F44" s="79">
        <f>E44/'- 3 -'!D44*100</f>
        <v>15.923914248299717</v>
      </c>
      <c r="G44" s="27">
        <f>E44/'- 7 -'!E44</f>
        <v>2334.6215253029222</v>
      </c>
      <c r="H44" s="27">
        <f>SUM('- 24 -'!D44,'- 24 -'!B44)</f>
        <v>0</v>
      </c>
      <c r="I44" s="79">
        <f>H44/'- 3 -'!D44*100</f>
        <v>0</v>
      </c>
    </row>
    <row r="45" spans="1:9" ht="14.1" customHeight="1">
      <c r="A45" s="328" t="s">
        <v>268</v>
      </c>
      <c r="B45" s="329">
        <f>SUM('- 18 -'!B45,'- 18 -'!E45,'- 19 -'!B45,'- 19 -'!E45,'- 19 -'!H45,'- 20 -'!B45)</f>
        <v>10058663</v>
      </c>
      <c r="C45" s="335">
        <f>B45/'- 3 -'!D45*100</f>
        <v>59.582568040815808</v>
      </c>
      <c r="D45" s="329">
        <f>B45/'- 7 -'!C45</f>
        <v>6218.6479134466772</v>
      </c>
      <c r="E45" s="329">
        <f>SUM('- 21 -'!B45,'- 21 -'!E45,'- 21 -'!H45,'- 22 -'!B45,'- 22 -'!D45,'- 22 -'!G45,'- 23 -'!B45)</f>
        <v>2576865</v>
      </c>
      <c r="F45" s="335">
        <f>E45/'- 3 -'!D45*100</f>
        <v>15.264079748421519</v>
      </c>
      <c r="G45" s="329">
        <f>E45/'- 7 -'!E45</f>
        <v>1593.1159196290571</v>
      </c>
      <c r="H45" s="329">
        <f>SUM('- 24 -'!D45,'- 24 -'!B45)</f>
        <v>361890</v>
      </c>
      <c r="I45" s="335">
        <f>H45/'- 3 -'!D45*100</f>
        <v>2.1436582126561783</v>
      </c>
    </row>
    <row r="46" spans="1:9" ht="14.1" customHeight="1">
      <c r="A46" s="26" t="s">
        <v>269</v>
      </c>
      <c r="B46" s="27">
        <f>SUM('- 18 -'!B46,'- 18 -'!E46,'- 19 -'!B46,'- 19 -'!E46,'- 19 -'!H46,'- 20 -'!B46)</f>
        <v>188734422</v>
      </c>
      <c r="C46" s="79">
        <f>B46/'- 3 -'!D46*100</f>
        <v>53.007859426798746</v>
      </c>
      <c r="D46" s="27">
        <f>B46/'- 7 -'!C46</f>
        <v>6323.1001326704281</v>
      </c>
      <c r="E46" s="27">
        <f>SUM('- 21 -'!B46,'- 21 -'!E46,'- 21 -'!H46,'- 22 -'!B46,'- 22 -'!D46,'- 22 -'!G46,'- 23 -'!B46)</f>
        <v>84019201</v>
      </c>
      <c r="F46" s="79">
        <f>E46/'- 3 -'!D46*100</f>
        <v>23.597592577786095</v>
      </c>
      <c r="G46" s="27">
        <f>E46/'- 7 -'!E46</f>
        <v>2814.8644818482735</v>
      </c>
      <c r="H46" s="27">
        <f>SUM('- 24 -'!D46,'- 24 -'!B46)</f>
        <v>750992</v>
      </c>
      <c r="I46" s="79">
        <f>H46/'- 3 -'!D46*100</f>
        <v>0.21092325366408488</v>
      </c>
    </row>
    <row r="47" spans="1:9" ht="5.0999999999999996" customHeight="1">
      <c r="A47" s="28"/>
      <c r="B47" s="29"/>
      <c r="C47" s="80"/>
      <c r="D47" s="29"/>
      <c r="E47" s="29"/>
      <c r="F47" s="80"/>
      <c r="G47" s="29"/>
      <c r="H47" s="29"/>
      <c r="I47" s="80"/>
    </row>
    <row r="48" spans="1:9" ht="14.1" customHeight="1">
      <c r="A48" s="330" t="s">
        <v>270</v>
      </c>
      <c r="B48" s="331">
        <f>SUM(B11:B46)</f>
        <v>1145492703</v>
      </c>
      <c r="C48" s="338">
        <f>B48/'- 3 -'!D48*100</f>
        <v>55.403439790056431</v>
      </c>
      <c r="D48" s="331">
        <f>B48/'- 7 -'!C48</f>
        <v>6658.9374176560077</v>
      </c>
      <c r="E48" s="331">
        <f>SUM(E11:E46)</f>
        <v>384525286</v>
      </c>
      <c r="F48" s="338">
        <f>E48/'- 3 -'!D48*100</f>
        <v>18.598131157763671</v>
      </c>
      <c r="G48" s="331">
        <f>E48/'- 7 -'!E48</f>
        <v>2235.3087088851389</v>
      </c>
      <c r="H48" s="331">
        <f>SUM(H11:H46)</f>
        <v>8894416</v>
      </c>
      <c r="I48" s="338">
        <f>H48/'- 3 -'!D48*100</f>
        <v>0.43019151499886471</v>
      </c>
    </row>
    <row r="49" spans="1:9" ht="5.0999999999999996" customHeight="1">
      <c r="A49" s="28" t="s">
        <v>16</v>
      </c>
      <c r="B49" s="29"/>
      <c r="C49" s="80"/>
      <c r="D49" s="29"/>
      <c r="E49" s="29"/>
      <c r="F49" s="80"/>
      <c r="H49" s="29"/>
      <c r="I49" s="80"/>
    </row>
    <row r="50" spans="1:9" ht="14.1" customHeight="1">
      <c r="A50" s="328" t="s">
        <v>271</v>
      </c>
      <c r="B50" s="329">
        <f>SUM('- 18 -'!B50,'- 18 -'!E50,'- 19 -'!B50,'- 19 -'!E50,'- 19 -'!H50,'- 20 -'!B50)</f>
        <v>1822643</v>
      </c>
      <c r="C50" s="335">
        <f>B50/'- 3 -'!D50*100</f>
        <v>57.246653571376967</v>
      </c>
      <c r="D50" s="329">
        <f>B50/'- 7 -'!C50</f>
        <v>10326.589235127478</v>
      </c>
      <c r="E50" s="329">
        <f>SUM('- 21 -'!B50,'- 21 -'!E50,'- 21 -'!H50,'- 22 -'!B50,'- 22 -'!D50,'- 22 -'!G50,'- 23 -'!B50)</f>
        <v>459624</v>
      </c>
      <c r="F50" s="335">
        <f>E50/'- 3 -'!D50*100</f>
        <v>14.436143502095897</v>
      </c>
      <c r="G50" s="329">
        <f>E50/'- 7 -'!E50</f>
        <v>2604.1019830028326</v>
      </c>
      <c r="H50" s="329">
        <f>SUM('- 24 -'!D50,'- 24 -'!B50)</f>
        <v>0</v>
      </c>
      <c r="I50" s="335">
        <f>H50/'- 3 -'!D50*100</f>
        <v>0</v>
      </c>
    </row>
    <row r="51" spans="1:9" ht="14.1" customHeight="1">
      <c r="A51" s="26" t="s">
        <v>272</v>
      </c>
      <c r="B51" s="27">
        <f>SUM('- 18 -'!B51,'- 18 -'!E51,'- 19 -'!B51,'- 19 -'!E51,'- 19 -'!H51,'- 20 -'!B51)</f>
        <v>4643142</v>
      </c>
      <c r="C51" s="79">
        <f>B51/'- 3 -'!D51*100</f>
        <v>23.582244103654279</v>
      </c>
      <c r="D51" s="27">
        <f>B51/'- 7 -'!C51</f>
        <v>6422.9381657213999</v>
      </c>
      <c r="E51" s="27">
        <f>SUM('- 21 -'!B51,'- 21 -'!E51,'- 21 -'!H51,'- 22 -'!B51,'- 22 -'!D51,'- 22 -'!G51,'- 23 -'!B51)</f>
        <v>592997</v>
      </c>
      <c r="F51" s="79">
        <f>E51/'- 3 -'!D51*100</f>
        <v>3.0117967545973556</v>
      </c>
      <c r="G51" s="27">
        <f>E51/'- 7 -'!E51</f>
        <v>820.30294646562459</v>
      </c>
      <c r="H51" s="27">
        <f>SUM('- 24 -'!D51,'- 24 -'!B51)</f>
        <v>2810812</v>
      </c>
      <c r="I51" s="79">
        <f>H51/'- 3 -'!D51*100</f>
        <v>14.275948207804259</v>
      </c>
    </row>
    <row r="52" spans="1:9" ht="50.1" customHeight="1"/>
  </sheetData>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sheetPr codeName="Sheet11">
    <pageSetUpPr fitToPage="1"/>
  </sheetPr>
  <dimension ref="A1:I52"/>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6.83203125" style="1" customWidth="1"/>
    <col min="5" max="5" width="8.83203125" style="1" customWidth="1"/>
    <col min="6" max="6" width="9.83203125" style="1" customWidth="1"/>
    <col min="7" max="7" width="16.83203125" style="1" customWidth="1"/>
    <col min="8" max="8" width="8.83203125" style="1" customWidth="1"/>
    <col min="9" max="9" width="9.83203125" style="1" customWidth="1"/>
    <col min="10" max="16384" width="15.83203125" style="1"/>
  </cols>
  <sheetData>
    <row r="1" spans="1:9" ht="6.95" customHeight="1">
      <c r="A1" s="6"/>
      <c r="B1" s="7"/>
      <c r="C1" s="7"/>
      <c r="D1" s="7"/>
      <c r="E1" s="7"/>
      <c r="F1" s="7"/>
      <c r="G1" s="7"/>
      <c r="H1" s="7"/>
      <c r="I1" s="7"/>
    </row>
    <row r="2" spans="1:9" ht="15.95" customHeight="1">
      <c r="A2" s="152"/>
      <c r="B2" s="8" t="s">
        <v>476</v>
      </c>
      <c r="C2" s="9"/>
      <c r="D2" s="9"/>
      <c r="E2" s="9"/>
      <c r="F2" s="9"/>
      <c r="G2" s="82"/>
      <c r="H2" s="92"/>
      <c r="I2" s="153" t="s">
        <v>17</v>
      </c>
    </row>
    <row r="3" spans="1:9" ht="15.95" customHeight="1">
      <c r="A3" s="697"/>
      <c r="B3" s="10" t="str">
        <f>OPYEAR</f>
        <v>OPERATING FUND 2013/2014 ACTUAL</v>
      </c>
      <c r="C3" s="11"/>
      <c r="D3" s="11"/>
      <c r="E3" s="11"/>
      <c r="F3" s="11"/>
      <c r="G3" s="84"/>
      <c r="H3" s="74"/>
      <c r="I3" s="74"/>
    </row>
    <row r="4" spans="1:9" ht="15.95" customHeight="1">
      <c r="B4" s="7"/>
      <c r="C4" s="7"/>
      <c r="D4" s="7"/>
      <c r="E4" s="7"/>
      <c r="F4" s="7"/>
      <c r="G4" s="7"/>
      <c r="H4" s="7"/>
      <c r="I4" s="7"/>
    </row>
    <row r="5" spans="1:9" ht="15.95" customHeight="1">
      <c r="B5" s="7"/>
      <c r="C5" s="7"/>
      <c r="D5" s="7"/>
      <c r="E5" s="7"/>
      <c r="F5" s="7"/>
      <c r="G5" s="7"/>
      <c r="H5" s="7"/>
      <c r="I5" s="7"/>
    </row>
    <row r="6" spans="1:9" ht="15.95" customHeight="1">
      <c r="B6" s="355" t="s">
        <v>63</v>
      </c>
      <c r="C6" s="358"/>
      <c r="D6" s="355" t="s">
        <v>191</v>
      </c>
      <c r="E6" s="358"/>
      <c r="F6" s="356"/>
      <c r="G6" s="355" t="s">
        <v>430</v>
      </c>
      <c r="H6" s="358"/>
      <c r="I6" s="356"/>
    </row>
    <row r="7" spans="1:9" ht="15.95" customHeight="1">
      <c r="B7" s="342" t="s">
        <v>216</v>
      </c>
      <c r="C7" s="343"/>
      <c r="D7" s="342" t="s">
        <v>43</v>
      </c>
      <c r="E7" s="343"/>
      <c r="F7" s="344"/>
      <c r="G7" s="342" t="s">
        <v>49</v>
      </c>
      <c r="H7" s="343"/>
      <c r="I7" s="344"/>
    </row>
    <row r="8" spans="1:9" ht="15.95" customHeight="1">
      <c r="A8" s="75"/>
      <c r="B8" s="13" t="s">
        <v>16</v>
      </c>
      <c r="C8" s="156"/>
      <c r="D8" s="155"/>
      <c r="E8" s="157"/>
      <c r="F8" s="157" t="s">
        <v>73</v>
      </c>
      <c r="G8" s="155"/>
      <c r="H8" s="157"/>
      <c r="I8" s="157" t="s">
        <v>73</v>
      </c>
    </row>
    <row r="9" spans="1:9" ht="15.95" customHeight="1">
      <c r="A9" s="42" t="s">
        <v>93</v>
      </c>
      <c r="B9" s="87" t="s">
        <v>94</v>
      </c>
      <c r="C9" s="87" t="s">
        <v>95</v>
      </c>
      <c r="D9" s="87" t="s">
        <v>94</v>
      </c>
      <c r="E9" s="87" t="s">
        <v>95</v>
      </c>
      <c r="F9" s="87" t="s">
        <v>96</v>
      </c>
      <c r="G9" s="87" t="s">
        <v>94</v>
      </c>
      <c r="H9" s="87" t="s">
        <v>95</v>
      </c>
      <c r="I9" s="87" t="s">
        <v>96</v>
      </c>
    </row>
    <row r="10" spans="1:9" ht="5.0999999999999996" customHeight="1">
      <c r="A10" s="5"/>
    </row>
    <row r="11" spans="1:9" ht="14.1" customHeight="1">
      <c r="A11" s="328" t="s">
        <v>235</v>
      </c>
      <c r="B11" s="329">
        <f>SUM('- 25 -'!H11,'- 25 -'!F11,'- 25 -'!D11,'- 25 -'!B11)</f>
        <v>22633</v>
      </c>
      <c r="C11" s="335">
        <f>B11/'- 3 -'!D11*100</f>
        <v>0.13584355921288882</v>
      </c>
      <c r="D11" s="329">
        <f>SUM('- 26 -'!B11,'- 26 -'!E11,'- 26 -'!H11,'- 27 -'!B11)</f>
        <v>601227</v>
      </c>
      <c r="E11" s="335">
        <f>D11/'- 3 -'!D11*100</f>
        <v>3.6085722429588434</v>
      </c>
      <c r="F11" s="329">
        <f>D11/'- 7 -'!E11</f>
        <v>405.4126770060688</v>
      </c>
      <c r="G11" s="329">
        <f>SUM('- 28 -'!B11,'- 28 -'!E11,'- 28 -'!H11,'- 29 -'!B11,'- 29 -'!E11)</f>
        <v>354007</v>
      </c>
      <c r="H11" s="335">
        <f>G11/'- 3 -'!D11*100</f>
        <v>2.1247546001978144</v>
      </c>
      <c r="I11" s="329">
        <f>G11/'- 7 -'!E11</f>
        <v>238.71004720161835</v>
      </c>
    </row>
    <row r="12" spans="1:9" ht="14.1" customHeight="1">
      <c r="A12" s="26" t="s">
        <v>236</v>
      </c>
      <c r="B12" s="27">
        <f>SUM('- 25 -'!H12,'- 25 -'!F12,'- 25 -'!D12,'- 25 -'!B12)</f>
        <v>48038</v>
      </c>
      <c r="C12" s="79">
        <f>B12/'- 3 -'!D12*100</f>
        <v>0.16133740710454197</v>
      </c>
      <c r="D12" s="27">
        <f>SUM('- 26 -'!B12,'- 26 -'!E12,'- 26 -'!H12,'- 27 -'!B12)</f>
        <v>898006</v>
      </c>
      <c r="E12" s="79">
        <f>D12/'- 3 -'!D12*100</f>
        <v>3.015986502442261</v>
      </c>
      <c r="F12" s="27">
        <f>D12/'- 7 -'!E12</f>
        <v>410.38570514578186</v>
      </c>
      <c r="G12" s="27">
        <f>SUM('- 28 -'!B12,'- 28 -'!E12,'- 28 -'!H12,'- 29 -'!B12,'- 29 -'!E12)</f>
        <v>690184</v>
      </c>
      <c r="H12" s="79">
        <f>G12/'- 3 -'!D12*100</f>
        <v>2.3180085970490283</v>
      </c>
      <c r="I12" s="27">
        <f>G12/'- 7 -'!E12</f>
        <v>315.41175395302071</v>
      </c>
    </row>
    <row r="13" spans="1:9" ht="14.1" customHeight="1">
      <c r="A13" s="328" t="s">
        <v>237</v>
      </c>
      <c r="B13" s="329">
        <f>SUM('- 25 -'!H13,'- 25 -'!F13,'- 25 -'!D13,'- 25 -'!B13)</f>
        <v>245769</v>
      </c>
      <c r="C13" s="335">
        <f>B13/'- 3 -'!D13*100</f>
        <v>0.29304054897877274</v>
      </c>
      <c r="D13" s="329">
        <f>SUM('- 26 -'!B13,'- 26 -'!E13,'- 26 -'!H13,'- 27 -'!B13)</f>
        <v>2431661</v>
      </c>
      <c r="E13" s="335">
        <f>D13/'- 3 -'!D13*100</f>
        <v>2.8993700359698393</v>
      </c>
      <c r="F13" s="329">
        <f>D13/'- 7 -'!E13</f>
        <v>303.93862883569778</v>
      </c>
      <c r="G13" s="329">
        <f>SUM('- 28 -'!B13,'- 28 -'!E13,'- 28 -'!H13,'- 29 -'!B13,'- 29 -'!E13)</f>
        <v>2526743</v>
      </c>
      <c r="H13" s="335">
        <f>G13/'- 3 -'!D13*100</f>
        <v>3.0127402392013276</v>
      </c>
      <c r="I13" s="329">
        <f>G13/'- 7 -'!E13</f>
        <v>315.82313605399662</v>
      </c>
    </row>
    <row r="14" spans="1:9" ht="14.1" customHeight="1">
      <c r="A14" s="26" t="s">
        <v>636</v>
      </c>
      <c r="B14" s="27">
        <f>SUM('- 25 -'!H14,'- 25 -'!F14,'- 25 -'!D14,'- 25 -'!B14)</f>
        <v>875319</v>
      </c>
      <c r="C14" s="79">
        <f>B14/'- 3 -'!D14*100</f>
        <v>1.1989268160028888</v>
      </c>
      <c r="D14" s="27">
        <f>SUM('- 26 -'!B14,'- 26 -'!E14,'- 26 -'!H14,'- 27 -'!B14)</f>
        <v>3097560</v>
      </c>
      <c r="E14" s="79">
        <f>D14/'- 3 -'!D14*100</f>
        <v>4.2427363603188191</v>
      </c>
      <c r="F14" s="27">
        <f>D14/'- 7 -'!E14</f>
        <v>595.57008267640833</v>
      </c>
      <c r="G14" s="27">
        <f>SUM('- 28 -'!B14,'- 28 -'!E14,'- 28 -'!H14,'- 29 -'!B14,'- 29 -'!E14)</f>
        <v>2405052</v>
      </c>
      <c r="H14" s="79">
        <f>G14/'- 3 -'!D14*100</f>
        <v>3.2942062684362847</v>
      </c>
      <c r="I14" s="27">
        <f>G14/'- 7 -'!E14</f>
        <v>462.42107287060179</v>
      </c>
    </row>
    <row r="15" spans="1:9" ht="14.1" customHeight="1">
      <c r="A15" s="328" t="s">
        <v>238</v>
      </c>
      <c r="B15" s="329">
        <f>SUM('- 25 -'!H15,'- 25 -'!F15,'- 25 -'!D15,'- 25 -'!B15)</f>
        <v>60586</v>
      </c>
      <c r="C15" s="335">
        <f>B15/'- 3 -'!D15*100</f>
        <v>0.31929458168910446</v>
      </c>
      <c r="D15" s="329">
        <f>SUM('- 26 -'!B15,'- 26 -'!E15,'- 26 -'!H15,'- 27 -'!B15)</f>
        <v>770771</v>
      </c>
      <c r="E15" s="335">
        <f>D15/'- 3 -'!D15*100</f>
        <v>4.0620441029791161</v>
      </c>
      <c r="F15" s="329">
        <f>D15/'- 7 -'!E15</f>
        <v>516.77572913174652</v>
      </c>
      <c r="G15" s="329">
        <f>SUM('- 28 -'!B15,'- 28 -'!E15,'- 28 -'!H15,'- 29 -'!B15,'- 29 -'!E15)</f>
        <v>607595</v>
      </c>
      <c r="H15" s="335">
        <f>G15/'- 3 -'!D15*100</f>
        <v>3.2020894490706011</v>
      </c>
      <c r="I15" s="329">
        <f>G15/'- 7 -'!E15</f>
        <v>407.37177338250086</v>
      </c>
    </row>
    <row r="16" spans="1:9" ht="14.1" customHeight="1">
      <c r="A16" s="26" t="s">
        <v>239</v>
      </c>
      <c r="B16" s="27">
        <f>SUM('- 25 -'!H16,'- 25 -'!F16,'- 25 -'!D16,'- 25 -'!B16)</f>
        <v>16938</v>
      </c>
      <c r="C16" s="79">
        <f>B16/'- 3 -'!D16*100</f>
        <v>0.12994517415323129</v>
      </c>
      <c r="D16" s="27">
        <f>SUM('- 26 -'!B16,'- 26 -'!E16,'- 26 -'!H16,'- 27 -'!B16)</f>
        <v>629838</v>
      </c>
      <c r="E16" s="79">
        <f>D16/'- 3 -'!D16*100</f>
        <v>4.8319995630135129</v>
      </c>
      <c r="F16" s="27">
        <f>D16/'- 7 -'!E16</f>
        <v>654.71725571725574</v>
      </c>
      <c r="G16" s="27">
        <f>SUM('- 28 -'!B16,'- 28 -'!E16,'- 28 -'!H16,'- 29 -'!B16,'- 29 -'!E16)</f>
        <v>334187</v>
      </c>
      <c r="H16" s="79">
        <f>G16/'- 3 -'!D16*100</f>
        <v>2.5638202807147183</v>
      </c>
      <c r="I16" s="27">
        <f>G16/'- 7 -'!E16</f>
        <v>347.38773388773387</v>
      </c>
    </row>
    <row r="17" spans="1:9" ht="14.1" customHeight="1">
      <c r="A17" s="328" t="s">
        <v>240</v>
      </c>
      <c r="B17" s="329">
        <f>SUM('- 25 -'!H17,'- 25 -'!F17,'- 25 -'!D17,'- 25 -'!B17)</f>
        <v>311299</v>
      </c>
      <c r="C17" s="335">
        <f>B17/'- 3 -'!D17*100</f>
        <v>1.8976248524428874</v>
      </c>
      <c r="D17" s="329">
        <f>SUM('- 26 -'!B17,'- 26 -'!E17,'- 26 -'!H17,'- 27 -'!B17)</f>
        <v>694150</v>
      </c>
      <c r="E17" s="335">
        <f>D17/'- 3 -'!D17*100</f>
        <v>4.2314183191183723</v>
      </c>
      <c r="F17" s="329">
        <f>D17/'- 7 -'!E17</f>
        <v>539.37305049563201</v>
      </c>
      <c r="G17" s="329">
        <f>SUM('- 28 -'!B17,'- 28 -'!E17,'- 28 -'!H17,'- 29 -'!B17,'- 29 -'!E17)</f>
        <v>410165</v>
      </c>
      <c r="H17" s="335">
        <f>G17/'- 3 -'!D17*100</f>
        <v>2.5002948856316176</v>
      </c>
      <c r="I17" s="329">
        <f>G17/'- 7 -'!E17</f>
        <v>318.70913672338963</v>
      </c>
    </row>
    <row r="18" spans="1:9" ht="14.1" customHeight="1">
      <c r="A18" s="26" t="s">
        <v>241</v>
      </c>
      <c r="B18" s="27">
        <f>SUM('- 25 -'!H18,'- 25 -'!F18,'- 25 -'!D18,'- 25 -'!B18)</f>
        <v>2533514</v>
      </c>
      <c r="C18" s="79">
        <f>B18/'- 3 -'!D18*100</f>
        <v>2.1323436149012922</v>
      </c>
      <c r="D18" s="27">
        <f>SUM('- 26 -'!B18,'- 26 -'!E18,'- 26 -'!H18,'- 27 -'!B18)</f>
        <v>6257123</v>
      </c>
      <c r="E18" s="79">
        <f>D18/'- 3 -'!D18*100</f>
        <v>5.2663361152541555</v>
      </c>
      <c r="F18" s="27">
        <f>D18/'- 7 -'!E18</f>
        <v>1031.5412641366349</v>
      </c>
      <c r="G18" s="27">
        <f>SUM('- 28 -'!B18,'- 28 -'!E18,'- 28 -'!H18,'- 29 -'!B18,'- 29 -'!E18)</f>
        <v>6496731</v>
      </c>
      <c r="H18" s="79">
        <f>G18/'- 3 -'!D18*100</f>
        <v>5.4680032814428046</v>
      </c>
      <c r="I18" s="27">
        <f>G18/'- 7 -'!E18</f>
        <v>1071.0427313792079</v>
      </c>
    </row>
    <row r="19" spans="1:9" ht="14.1" customHeight="1">
      <c r="A19" s="328" t="s">
        <v>242</v>
      </c>
      <c r="B19" s="329">
        <f>SUM('- 25 -'!H19,'- 25 -'!F19,'- 25 -'!D19,'- 25 -'!B19)</f>
        <v>64003</v>
      </c>
      <c r="C19" s="335">
        <f>B19/'- 3 -'!D19*100</f>
        <v>0.14781022942952177</v>
      </c>
      <c r="D19" s="329">
        <f>SUM('- 26 -'!B19,'- 26 -'!E19,'- 26 -'!H19,'- 27 -'!B19)</f>
        <v>1281346</v>
      </c>
      <c r="E19" s="335">
        <f>D19/'- 3 -'!D19*100</f>
        <v>2.9591745111729137</v>
      </c>
      <c r="F19" s="329">
        <f>D19/'- 7 -'!E19</f>
        <v>305.57712486883526</v>
      </c>
      <c r="G19" s="329">
        <f>SUM('- 28 -'!B19,'- 28 -'!E19,'- 28 -'!H19,'- 29 -'!B19,'- 29 -'!E19)</f>
        <v>1257358</v>
      </c>
      <c r="H19" s="335">
        <f>G19/'- 3 -'!D19*100</f>
        <v>2.9037759863607113</v>
      </c>
      <c r="I19" s="329">
        <f>G19/'- 7 -'!E19</f>
        <v>299.85643422684348</v>
      </c>
    </row>
    <row r="20" spans="1:9" ht="14.1" customHeight="1">
      <c r="A20" s="26" t="s">
        <v>243</v>
      </c>
      <c r="B20" s="27">
        <f>SUM('- 25 -'!H20,'- 25 -'!F20,'- 25 -'!D20,'- 25 -'!B20)</f>
        <v>164509</v>
      </c>
      <c r="C20" s="79">
        <f>B20/'- 3 -'!D20*100</f>
        <v>0.23284437086430157</v>
      </c>
      <c r="D20" s="27">
        <f>SUM('- 26 -'!B20,'- 26 -'!E20,'- 26 -'!H20,'- 27 -'!B20)</f>
        <v>2005406</v>
      </c>
      <c r="E20" s="79">
        <f>D20/'- 3 -'!D20*100</f>
        <v>2.8384313222832525</v>
      </c>
      <c r="F20" s="27">
        <f>D20/'- 7 -'!E20</f>
        <v>271.77205583412388</v>
      </c>
      <c r="G20" s="27">
        <f>SUM('- 28 -'!B20,'- 28 -'!E20,'- 28 -'!H20,'- 29 -'!B20,'- 29 -'!E20)</f>
        <v>2134031</v>
      </c>
      <c r="H20" s="79">
        <f>G20/'- 3 -'!D20*100</f>
        <v>3.0204858433272124</v>
      </c>
      <c r="I20" s="27">
        <f>G20/'- 7 -'!E20</f>
        <v>289.20327957717848</v>
      </c>
    </row>
    <row r="21" spans="1:9" ht="14.1" customHeight="1">
      <c r="A21" s="328" t="s">
        <v>244</v>
      </c>
      <c r="B21" s="329">
        <f>SUM('- 25 -'!H21,'- 25 -'!F21,'- 25 -'!D21,'- 25 -'!B21)</f>
        <v>257328</v>
      </c>
      <c r="C21" s="335">
        <f>B21/'- 3 -'!D21*100</f>
        <v>0.74279705257409046</v>
      </c>
      <c r="D21" s="329">
        <f>SUM('- 26 -'!B21,'- 26 -'!E21,'- 26 -'!H21,'- 27 -'!B21)</f>
        <v>1350863</v>
      </c>
      <c r="E21" s="335">
        <f>D21/'- 3 -'!D21*100</f>
        <v>3.8993698891352424</v>
      </c>
      <c r="F21" s="329">
        <f>D21/'- 7 -'!E21</f>
        <v>499.76433592304846</v>
      </c>
      <c r="G21" s="329">
        <f>SUM('- 28 -'!B21,'- 28 -'!E21,'- 28 -'!H21,'- 29 -'!B21,'- 29 -'!E21)</f>
        <v>1569681</v>
      </c>
      <c r="H21" s="335">
        <f>G21/'- 3 -'!D21*100</f>
        <v>4.531004866479944</v>
      </c>
      <c r="I21" s="329">
        <f>G21/'- 7 -'!E21</f>
        <v>580.71809100998894</v>
      </c>
    </row>
    <row r="22" spans="1:9" ht="14.1" customHeight="1">
      <c r="A22" s="26" t="s">
        <v>245</v>
      </c>
      <c r="B22" s="27">
        <f>SUM('- 25 -'!H22,'- 25 -'!F22,'- 25 -'!D22,'- 25 -'!B22)</f>
        <v>54545</v>
      </c>
      <c r="C22" s="79">
        <f>B22/'- 3 -'!D22*100</f>
        <v>0.28306006062762995</v>
      </c>
      <c r="D22" s="27">
        <f>SUM('- 26 -'!B22,'- 26 -'!E22,'- 26 -'!H22,'- 27 -'!B22)</f>
        <v>747395</v>
      </c>
      <c r="E22" s="79">
        <f>D22/'- 3 -'!D22*100</f>
        <v>3.8785896784817577</v>
      </c>
      <c r="F22" s="27">
        <f>D22/'- 7 -'!E22</f>
        <v>476.59418441525315</v>
      </c>
      <c r="G22" s="27">
        <f>SUM('- 28 -'!B22,'- 28 -'!E22,'- 28 -'!H22,'- 29 -'!B22,'- 29 -'!E22)</f>
        <v>445105</v>
      </c>
      <c r="H22" s="79">
        <f>G22/'- 3 -'!D22*100</f>
        <v>2.3098624674243515</v>
      </c>
      <c r="I22" s="27">
        <f>G22/'- 7 -'!E22</f>
        <v>283.83178166050249</v>
      </c>
    </row>
    <row r="23" spans="1:9" ht="14.1" customHeight="1">
      <c r="A23" s="328" t="s">
        <v>246</v>
      </c>
      <c r="B23" s="329">
        <f>SUM('- 25 -'!H23,'- 25 -'!F23,'- 25 -'!D23,'- 25 -'!B23)</f>
        <v>271801</v>
      </c>
      <c r="C23" s="335">
        <f>B23/'- 3 -'!D23*100</f>
        <v>1.6745109019931104</v>
      </c>
      <c r="D23" s="329">
        <f>SUM('- 26 -'!B23,'- 26 -'!E23,'- 26 -'!H23,'- 27 -'!B23)</f>
        <v>624982</v>
      </c>
      <c r="E23" s="335">
        <f>D23/'- 3 -'!D23*100</f>
        <v>3.8503874987562892</v>
      </c>
      <c r="F23" s="329">
        <f>D23/'- 7 -'!E23</f>
        <v>540.45485991006569</v>
      </c>
      <c r="G23" s="329">
        <f>SUM('- 28 -'!B23,'- 28 -'!E23,'- 28 -'!H23,'- 29 -'!B23,'- 29 -'!E23)</f>
        <v>455374</v>
      </c>
      <c r="H23" s="335">
        <f>G23/'- 3 -'!D23*100</f>
        <v>2.8054669684225249</v>
      </c>
      <c r="I23" s="329">
        <f>G23/'- 7 -'!E23</f>
        <v>393.7858872362504</v>
      </c>
    </row>
    <row r="24" spans="1:9" ht="14.1" customHeight="1">
      <c r="A24" s="26" t="s">
        <v>247</v>
      </c>
      <c r="B24" s="27">
        <f>SUM('- 25 -'!H24,'- 25 -'!F24,'- 25 -'!D24,'- 25 -'!B24)</f>
        <v>373178</v>
      </c>
      <c r="C24" s="79">
        <f>B24/'- 3 -'!D24*100</f>
        <v>0.71447366990166949</v>
      </c>
      <c r="D24" s="27">
        <f>SUM('- 26 -'!B24,'- 26 -'!E24,'- 26 -'!H24,'- 27 -'!B24)</f>
        <v>1849438</v>
      </c>
      <c r="E24" s="79">
        <f>D24/'- 3 -'!D24*100</f>
        <v>3.5408699202943468</v>
      </c>
      <c r="F24" s="27">
        <f>D24/'- 7 -'!E24</f>
        <v>448.46819757996076</v>
      </c>
      <c r="G24" s="27">
        <f>SUM('- 28 -'!B24,'- 28 -'!E24,'- 28 -'!H24,'- 29 -'!B24,'- 29 -'!E24)</f>
        <v>1436340</v>
      </c>
      <c r="H24" s="79">
        <f>G24/'- 3 -'!D24*100</f>
        <v>2.7499668014367513</v>
      </c>
      <c r="I24" s="27">
        <f>G24/'- 7 -'!E24</f>
        <v>348.29651543441889</v>
      </c>
    </row>
    <row r="25" spans="1:9" ht="14.1" customHeight="1">
      <c r="A25" s="328" t="s">
        <v>248</v>
      </c>
      <c r="B25" s="329">
        <f>SUM('- 25 -'!H25,'- 25 -'!F25,'- 25 -'!D25,'- 25 -'!B25)</f>
        <v>1158227</v>
      </c>
      <c r="C25" s="335">
        <f>B25/'- 3 -'!D25*100</f>
        <v>0.75157764195202115</v>
      </c>
      <c r="D25" s="329">
        <f>SUM('- 26 -'!B25,'- 26 -'!E25,'- 26 -'!H25,'- 27 -'!B25)</f>
        <v>5011857</v>
      </c>
      <c r="E25" s="335">
        <f>D25/'- 3 -'!D25*100</f>
        <v>3.2522119289748304</v>
      </c>
      <c r="F25" s="329">
        <f>D25/'- 7 -'!E25</f>
        <v>362.52130198915012</v>
      </c>
      <c r="G25" s="329">
        <f>SUM('- 28 -'!B25,'- 28 -'!E25,'- 28 -'!H25,'- 29 -'!B25,'- 29 -'!E25)</f>
        <v>6921146</v>
      </c>
      <c r="H25" s="335">
        <f>G25/'- 3 -'!D25*100</f>
        <v>4.4911563884157975</v>
      </c>
      <c r="I25" s="329">
        <f>G25/'- 7 -'!E25</f>
        <v>500.62538878842679</v>
      </c>
    </row>
    <row r="26" spans="1:9" ht="14.1" customHeight="1">
      <c r="A26" s="26" t="s">
        <v>249</v>
      </c>
      <c r="B26" s="27">
        <f>SUM('- 25 -'!H26,'- 25 -'!F26,'- 25 -'!D26,'- 25 -'!B26)</f>
        <v>95495</v>
      </c>
      <c r="C26" s="79">
        <f>B26/'- 3 -'!D26*100</f>
        <v>0.2539769081679128</v>
      </c>
      <c r="D26" s="27">
        <f>SUM('- 26 -'!B26,'- 26 -'!E26,'- 26 -'!H26,'- 27 -'!B26)</f>
        <v>1199383</v>
      </c>
      <c r="E26" s="79">
        <f>D26/'- 3 -'!D26*100</f>
        <v>3.1898590088397896</v>
      </c>
      <c r="F26" s="27">
        <f>D26/'- 7 -'!E26</f>
        <v>384.91110397946085</v>
      </c>
      <c r="G26" s="27">
        <f>SUM('- 28 -'!B26,'- 28 -'!E26,'- 28 -'!H26,'- 29 -'!B26,'- 29 -'!E26)</f>
        <v>1242372</v>
      </c>
      <c r="H26" s="79">
        <f>G26/'- 3 -'!D26*100</f>
        <v>3.3041918357441351</v>
      </c>
      <c r="I26" s="27">
        <f>G26/'- 7 -'!E26</f>
        <v>398.70731707317071</v>
      </c>
    </row>
    <row r="27" spans="1:9" ht="14.1" customHeight="1">
      <c r="A27" s="328" t="s">
        <v>250</v>
      </c>
      <c r="B27" s="329">
        <f>SUM('- 25 -'!H27,'- 25 -'!F27,'- 25 -'!D27,'- 25 -'!B27)</f>
        <v>29100</v>
      </c>
      <c r="C27" s="335">
        <f>B27/'- 3 -'!D27*100</f>
        <v>7.9087939401788071E-2</v>
      </c>
      <c r="D27" s="329">
        <f>SUM('- 26 -'!B27,'- 26 -'!E27,'- 26 -'!H27,'- 27 -'!B27)</f>
        <v>1599385</v>
      </c>
      <c r="E27" s="335">
        <f>D27/'- 3 -'!D27*100</f>
        <v>4.3468063216539106</v>
      </c>
      <c r="F27" s="329">
        <f>D27/'- 7 -'!E27</f>
        <v>576.20960478437871</v>
      </c>
      <c r="G27" s="329">
        <f>SUM('- 28 -'!B27,'- 28 -'!E27,'- 28 -'!H27,'- 29 -'!B27,'- 29 -'!E27)</f>
        <v>1822217</v>
      </c>
      <c r="H27" s="335">
        <f>G27/'- 3 -'!D27*100</f>
        <v>4.9524188203748469</v>
      </c>
      <c r="I27" s="329">
        <f>G27/'- 7 -'!E27</f>
        <v>656.48917390207873</v>
      </c>
    </row>
    <row r="28" spans="1:9" ht="14.1" customHeight="1">
      <c r="A28" s="26" t="s">
        <v>251</v>
      </c>
      <c r="B28" s="27">
        <f>SUM('- 25 -'!H28,'- 25 -'!F28,'- 25 -'!D28,'- 25 -'!B28)</f>
        <v>116719</v>
      </c>
      <c r="C28" s="79">
        <f>B28/'- 3 -'!D28*100</f>
        <v>0.43240702030222444</v>
      </c>
      <c r="D28" s="27">
        <f>SUM('- 26 -'!B28,'- 26 -'!E28,'- 26 -'!H28,'- 27 -'!B28)</f>
        <v>1024960</v>
      </c>
      <c r="E28" s="79">
        <f>D28/'- 3 -'!D28*100</f>
        <v>3.7971529873368342</v>
      </c>
      <c r="F28" s="27">
        <f>D28/'- 7 -'!E28</f>
        <v>510.31117749564351</v>
      </c>
      <c r="G28" s="27">
        <f>SUM('- 28 -'!B28,'- 28 -'!E28,'- 28 -'!H28,'- 29 -'!B28,'- 29 -'!E28)</f>
        <v>678573</v>
      </c>
      <c r="H28" s="79">
        <f>G28/'- 3 -'!D28*100</f>
        <v>2.5138985853849101</v>
      </c>
      <c r="I28" s="27">
        <f>G28/'- 7 -'!E28</f>
        <v>337.85063480209112</v>
      </c>
    </row>
    <row r="29" spans="1:9" ht="14.1" customHeight="1">
      <c r="A29" s="328" t="s">
        <v>252</v>
      </c>
      <c r="B29" s="329">
        <f>SUM('- 25 -'!H29,'- 25 -'!F29,'- 25 -'!D29,'- 25 -'!B29)</f>
        <v>1047738</v>
      </c>
      <c r="C29" s="335">
        <f>B29/'- 3 -'!D29*100</f>
        <v>0.7442521816534845</v>
      </c>
      <c r="D29" s="329">
        <f>SUM('- 26 -'!B29,'- 26 -'!E29,'- 26 -'!H29,'- 27 -'!B29)</f>
        <v>4462516</v>
      </c>
      <c r="E29" s="335">
        <f>D29/'- 3 -'!D29*100</f>
        <v>3.1699120091698321</v>
      </c>
      <c r="F29" s="329">
        <f>D29/'- 7 -'!E29</f>
        <v>365.6990666000147</v>
      </c>
      <c r="G29" s="329">
        <f>SUM('- 28 -'!B29,'- 28 -'!E29,'- 28 -'!H29,'- 29 -'!B29,'- 29 -'!E29)</f>
        <v>5936749</v>
      </c>
      <c r="H29" s="335">
        <f>G29/'- 3 -'!D29*100</f>
        <v>4.2171214513352986</v>
      </c>
      <c r="I29" s="329">
        <f>G29/'- 7 -'!E29</f>
        <v>486.51110000245842</v>
      </c>
    </row>
    <row r="30" spans="1:9" ht="14.1" customHeight="1">
      <c r="A30" s="26" t="s">
        <v>253</v>
      </c>
      <c r="B30" s="27">
        <f>SUM('- 25 -'!H30,'- 25 -'!F30,'- 25 -'!D30,'- 25 -'!B30)</f>
        <v>12341</v>
      </c>
      <c r="C30" s="79">
        <f>B30/'- 3 -'!D30*100</f>
        <v>9.1735419914591887E-2</v>
      </c>
      <c r="D30" s="27">
        <f>SUM('- 26 -'!B30,'- 26 -'!E30,'- 26 -'!H30,'- 27 -'!B30)</f>
        <v>550456</v>
      </c>
      <c r="E30" s="79">
        <f>D30/'- 3 -'!D30*100</f>
        <v>4.0917520706998287</v>
      </c>
      <c r="F30" s="27">
        <f>D30/'- 7 -'!E30</f>
        <v>519.52356683088874</v>
      </c>
      <c r="G30" s="27">
        <f>SUM('- 28 -'!B30,'- 28 -'!E30,'- 28 -'!H30,'- 29 -'!B30,'- 29 -'!E30)</f>
        <v>505507</v>
      </c>
      <c r="H30" s="79">
        <f>G30/'- 3 -'!D30*100</f>
        <v>3.7576287914079569</v>
      </c>
      <c r="I30" s="27">
        <f>G30/'- 7 -'!E30</f>
        <v>477.1004398135039</v>
      </c>
    </row>
    <row r="31" spans="1:9" ht="14.1" customHeight="1">
      <c r="A31" s="328" t="s">
        <v>254</v>
      </c>
      <c r="B31" s="329">
        <f>SUM('- 25 -'!H31,'- 25 -'!F31,'- 25 -'!D31,'- 25 -'!B31)</f>
        <v>48936</v>
      </c>
      <c r="C31" s="335">
        <f>B31/'- 3 -'!D31*100</f>
        <v>0.14516702038817048</v>
      </c>
      <c r="D31" s="329">
        <f>SUM('- 26 -'!B31,'- 26 -'!E31,'- 26 -'!H31,'- 27 -'!B31)</f>
        <v>1087814</v>
      </c>
      <c r="E31" s="335">
        <f>D31/'- 3 -'!D31*100</f>
        <v>3.2269641392132029</v>
      </c>
      <c r="F31" s="329">
        <f>D31/'- 7 -'!E31</f>
        <v>341.91859185918594</v>
      </c>
      <c r="G31" s="329">
        <f>SUM('- 28 -'!B31,'- 28 -'!E31,'- 28 -'!H31,'- 29 -'!B31,'- 29 -'!E31)</f>
        <v>1192545</v>
      </c>
      <c r="H31" s="335">
        <f>G31/'- 3 -'!D31*100</f>
        <v>3.5376451759197889</v>
      </c>
      <c r="I31" s="329">
        <f>G31/'- 7 -'!E31</f>
        <v>374.83734087694484</v>
      </c>
    </row>
    <row r="32" spans="1:9" ht="14.1" customHeight="1">
      <c r="A32" s="26" t="s">
        <v>255</v>
      </c>
      <c r="B32" s="27">
        <f>SUM('- 25 -'!H32,'- 25 -'!F32,'- 25 -'!D32,'- 25 -'!B32)</f>
        <v>30305</v>
      </c>
      <c r="C32" s="79">
        <f>B32/'- 3 -'!D32*100</f>
        <v>0.11643510405621406</v>
      </c>
      <c r="D32" s="27">
        <f>SUM('- 26 -'!B32,'- 26 -'!E32,'- 26 -'!H32,'- 27 -'!B32)</f>
        <v>1004800</v>
      </c>
      <c r="E32" s="79">
        <f>D32/'- 3 -'!D32*100</f>
        <v>3.8605508185343633</v>
      </c>
      <c r="F32" s="27">
        <f>D32/'- 7 -'!E32</f>
        <v>496.93372898120674</v>
      </c>
      <c r="G32" s="27">
        <f>SUM('- 28 -'!B32,'- 28 -'!E32,'- 28 -'!H32,'- 29 -'!B32,'- 29 -'!E32)</f>
        <v>713546</v>
      </c>
      <c r="H32" s="79">
        <f>G32/'- 3 -'!D32*100</f>
        <v>2.7415212921595549</v>
      </c>
      <c r="I32" s="27">
        <f>G32/'- 7 -'!E32</f>
        <v>352.89119683481704</v>
      </c>
    </row>
    <row r="33" spans="1:9" ht="14.1" customHeight="1">
      <c r="A33" s="328" t="s">
        <v>256</v>
      </c>
      <c r="B33" s="329">
        <f>SUM('- 25 -'!H33,'- 25 -'!F33,'- 25 -'!D33,'- 25 -'!B33)</f>
        <v>31800</v>
      </c>
      <c r="C33" s="335">
        <f>B33/'- 3 -'!D33*100</f>
        <v>0.12146389663284891</v>
      </c>
      <c r="D33" s="329">
        <f>SUM('- 26 -'!B33,'- 26 -'!E33,'- 26 -'!H33,'- 27 -'!B33)</f>
        <v>845998</v>
      </c>
      <c r="E33" s="335">
        <f>D33/'- 3 -'!D33*100</f>
        <v>3.2313903655219156</v>
      </c>
      <c r="F33" s="329">
        <f>D33/'- 7 -'!E33</f>
        <v>423.04130413041298</v>
      </c>
      <c r="G33" s="329">
        <f>SUM('- 28 -'!B33,'- 28 -'!E33,'- 28 -'!H33,'- 29 -'!B33,'- 29 -'!E33)</f>
        <v>698190</v>
      </c>
      <c r="H33" s="335">
        <f>G33/'- 3 -'!D33*100</f>
        <v>2.666820062581408</v>
      </c>
      <c r="I33" s="329">
        <f>G33/'- 7 -'!E33</f>
        <v>349.12991299129908</v>
      </c>
    </row>
    <row r="34" spans="1:9" ht="14.1" customHeight="1">
      <c r="A34" s="26" t="s">
        <v>257</v>
      </c>
      <c r="B34" s="27">
        <f>SUM('- 25 -'!H34,'- 25 -'!F34,'- 25 -'!D34,'- 25 -'!B34)</f>
        <v>36807</v>
      </c>
      <c r="C34" s="79">
        <f>B34/'- 3 -'!D34*100</f>
        <v>0.14591540918178073</v>
      </c>
      <c r="D34" s="27">
        <f>SUM('- 26 -'!B34,'- 26 -'!E34,'- 26 -'!H34,'- 27 -'!B34)</f>
        <v>967767</v>
      </c>
      <c r="E34" s="79">
        <f>D34/'- 3 -'!D34*100</f>
        <v>3.8365560300384272</v>
      </c>
      <c r="F34" s="27">
        <f>D34/'- 7 -'!E34</f>
        <v>491.25228426395938</v>
      </c>
      <c r="G34" s="27">
        <f>SUM('- 28 -'!B34,'- 28 -'!E34,'- 28 -'!H34,'- 29 -'!B34,'- 29 -'!E34)</f>
        <v>560912</v>
      </c>
      <c r="H34" s="79">
        <f>G34/'- 3 -'!D34*100</f>
        <v>2.2236450673776997</v>
      </c>
      <c r="I34" s="27">
        <f>G34/'- 7 -'!E34</f>
        <v>284.72690355329951</v>
      </c>
    </row>
    <row r="35" spans="1:9" ht="14.1" customHeight="1">
      <c r="A35" s="328" t="s">
        <v>258</v>
      </c>
      <c r="B35" s="329">
        <f>SUM('- 25 -'!H35,'- 25 -'!F35,'- 25 -'!D35,'- 25 -'!B35)</f>
        <v>1386702</v>
      </c>
      <c r="C35" s="335">
        <f>B35/'- 3 -'!D35*100</f>
        <v>0.80944839904068566</v>
      </c>
      <c r="D35" s="329">
        <f>SUM('- 26 -'!B35,'- 26 -'!E35,'- 26 -'!H35,'- 27 -'!B35)</f>
        <v>5075450</v>
      </c>
      <c r="E35" s="335">
        <f>D35/'- 3 -'!D35*100</f>
        <v>2.9626515840541425</v>
      </c>
      <c r="F35" s="329">
        <f>D35/'- 7 -'!E35</f>
        <v>326.11237832107173</v>
      </c>
      <c r="G35" s="329">
        <f>SUM('- 28 -'!B35,'- 28 -'!E35,'- 28 -'!H35,'- 29 -'!B35,'- 29 -'!E35)</f>
        <v>7016597</v>
      </c>
      <c r="H35" s="335">
        <f>G35/'- 3 -'!D35*100</f>
        <v>4.0957417010746919</v>
      </c>
      <c r="I35" s="329">
        <f>G35/'- 7 -'!E35</f>
        <v>450.83670125614418</v>
      </c>
    </row>
    <row r="36" spans="1:9" ht="14.1" customHeight="1">
      <c r="A36" s="26" t="s">
        <v>259</v>
      </c>
      <c r="B36" s="27">
        <f>SUM('- 25 -'!H36,'- 25 -'!F36,'- 25 -'!D36,'- 25 -'!B36)</f>
        <v>31932</v>
      </c>
      <c r="C36" s="79">
        <f>B36/'- 3 -'!D36*100</f>
        <v>0.14926376391681728</v>
      </c>
      <c r="D36" s="27">
        <f>SUM('- 26 -'!B36,'- 26 -'!E36,'- 26 -'!H36,'- 27 -'!B36)</f>
        <v>894874</v>
      </c>
      <c r="E36" s="79">
        <f>D36/'- 3 -'!D36*100</f>
        <v>4.183022092925528</v>
      </c>
      <c r="F36" s="27">
        <f>D36/'- 7 -'!E36</f>
        <v>549.84577572964668</v>
      </c>
      <c r="G36" s="27">
        <f>SUM('- 28 -'!B36,'- 28 -'!E36,'- 28 -'!H36,'- 29 -'!B36,'- 29 -'!E36)</f>
        <v>713650</v>
      </c>
      <c r="H36" s="79">
        <f>G36/'- 3 -'!D36*100</f>
        <v>3.3359039558823951</v>
      </c>
      <c r="I36" s="27">
        <f>G36/'- 7 -'!E36</f>
        <v>438.49462365591398</v>
      </c>
    </row>
    <row r="37" spans="1:9" ht="14.1" customHeight="1">
      <c r="A37" s="328" t="s">
        <v>260</v>
      </c>
      <c r="B37" s="329">
        <f>SUM('- 25 -'!H37,'- 25 -'!F37,'- 25 -'!D37,'- 25 -'!B37)</f>
        <v>179371</v>
      </c>
      <c r="C37" s="335">
        <f>B37/'- 3 -'!D37*100</f>
        <v>0.42337423441904992</v>
      </c>
      <c r="D37" s="329">
        <f>SUM('- 26 -'!B37,'- 26 -'!E37,'- 26 -'!H37,'- 27 -'!B37)</f>
        <v>1411835</v>
      </c>
      <c r="E37" s="335">
        <f>D37/'- 3 -'!D37*100</f>
        <v>3.3323924282688919</v>
      </c>
      <c r="F37" s="329">
        <f>D37/'- 7 -'!E37</f>
        <v>360.7601890890507</v>
      </c>
      <c r="G37" s="329">
        <f>SUM('- 28 -'!B37,'- 28 -'!E37,'- 28 -'!H37,'- 29 -'!B37,'- 29 -'!E37)</f>
        <v>1397465</v>
      </c>
      <c r="H37" s="335">
        <f>G37/'- 3 -'!D37*100</f>
        <v>3.2984745276684504</v>
      </c>
      <c r="I37" s="329">
        <f>G37/'- 7 -'!E37</f>
        <v>357.08828414462755</v>
      </c>
    </row>
    <row r="38" spans="1:9" ht="14.1" customHeight="1">
      <c r="A38" s="26" t="s">
        <v>261</v>
      </c>
      <c r="B38" s="27">
        <f>SUM('- 25 -'!H38,'- 25 -'!F38,'- 25 -'!D38,'- 25 -'!B38)</f>
        <v>1443237</v>
      </c>
      <c r="C38" s="79">
        <f>B38/'- 3 -'!D38*100</f>
        <v>1.2546485876950191</v>
      </c>
      <c r="D38" s="27">
        <f>SUM('- 26 -'!B38,'- 26 -'!E38,'- 26 -'!H38,'- 27 -'!B38)</f>
        <v>3249964</v>
      </c>
      <c r="E38" s="79">
        <f>D38/'- 3 -'!D38*100</f>
        <v>2.8252897775345667</v>
      </c>
      <c r="F38" s="27">
        <f>D38/'- 7 -'!E38</f>
        <v>310.94777932987614</v>
      </c>
      <c r="G38" s="27">
        <f>SUM('- 28 -'!B38,'- 28 -'!E38,'- 28 -'!H38,'- 29 -'!B38,'- 29 -'!E38)</f>
        <v>4478361</v>
      </c>
      <c r="H38" s="79">
        <f>G38/'- 3 -'!D38*100</f>
        <v>3.8931716023345118</v>
      </c>
      <c r="I38" s="27">
        <f>G38/'- 7 -'!E38</f>
        <v>428.47748713140317</v>
      </c>
    </row>
    <row r="39" spans="1:9" ht="14.1" customHeight="1">
      <c r="A39" s="328" t="s">
        <v>262</v>
      </c>
      <c r="B39" s="329">
        <f>SUM('- 25 -'!H39,'- 25 -'!F39,'- 25 -'!D39,'- 25 -'!B39)</f>
        <v>59767</v>
      </c>
      <c r="C39" s="335">
        <f>B39/'- 3 -'!D39*100</f>
        <v>0.29521147107994983</v>
      </c>
      <c r="D39" s="329">
        <f>SUM('- 26 -'!B39,'- 26 -'!E39,'- 26 -'!H39,'- 27 -'!B39)</f>
        <v>827273</v>
      </c>
      <c r="E39" s="335">
        <f>D39/'- 3 -'!D39*100</f>
        <v>4.0862094352188221</v>
      </c>
      <c r="F39" s="329">
        <f>D39/'- 7 -'!E39</f>
        <v>531.83735133397624</v>
      </c>
      <c r="G39" s="329">
        <f>SUM('- 28 -'!B39,'- 28 -'!E39,'- 28 -'!H39,'- 29 -'!B39,'- 29 -'!E39)</f>
        <v>696584</v>
      </c>
      <c r="H39" s="335">
        <f>G39/'- 3 -'!D39*100</f>
        <v>3.4406877937784359</v>
      </c>
      <c r="I39" s="329">
        <f>G39/'- 7 -'!E39</f>
        <v>447.81999357119895</v>
      </c>
    </row>
    <row r="40" spans="1:9" ht="14.1" customHeight="1">
      <c r="A40" s="26" t="s">
        <v>263</v>
      </c>
      <c r="B40" s="27">
        <f>SUM('- 25 -'!H40,'- 25 -'!F40,'- 25 -'!D40,'- 25 -'!B40)</f>
        <v>1094118</v>
      </c>
      <c r="C40" s="79">
        <f>B40/'- 3 -'!D40*100</f>
        <v>1.1498551590979886</v>
      </c>
      <c r="D40" s="27">
        <f>SUM('- 26 -'!B40,'- 26 -'!E40,'- 26 -'!H40,'- 27 -'!B40)</f>
        <v>3260459</v>
      </c>
      <c r="E40" s="79">
        <f>D40/'- 3 -'!D40*100</f>
        <v>3.4265550901981952</v>
      </c>
      <c r="F40" s="27">
        <f>D40/'- 7 -'!E40</f>
        <v>410.44847142056864</v>
      </c>
      <c r="G40" s="27">
        <f>SUM('- 28 -'!B40,'- 28 -'!E40,'- 28 -'!H40,'- 29 -'!B40,'- 29 -'!E40)</f>
        <v>3396556</v>
      </c>
      <c r="H40" s="79">
        <f>G40/'- 3 -'!D40*100</f>
        <v>3.5695852181987937</v>
      </c>
      <c r="I40" s="27">
        <f>G40/'- 7 -'!E40</f>
        <v>427.58127561007854</v>
      </c>
    </row>
    <row r="41" spans="1:9" ht="14.1" customHeight="1">
      <c r="A41" s="328" t="s">
        <v>264</v>
      </c>
      <c r="B41" s="329">
        <f>SUM('- 25 -'!H41,'- 25 -'!F41,'- 25 -'!D41,'- 25 -'!B41)</f>
        <v>315645</v>
      </c>
      <c r="C41" s="335">
        <f>B41/'- 3 -'!D41*100</f>
        <v>0.53858172948951366</v>
      </c>
      <c r="D41" s="329">
        <f>SUM('- 26 -'!B41,'- 26 -'!E41,'- 26 -'!H41,'- 27 -'!B41)</f>
        <v>2043754</v>
      </c>
      <c r="E41" s="335">
        <f>D41/'- 3 -'!D41*100</f>
        <v>3.4872358629825011</v>
      </c>
      <c r="F41" s="329">
        <f>D41/'- 7 -'!E41</f>
        <v>463.75175856591784</v>
      </c>
      <c r="G41" s="329">
        <f>SUM('- 28 -'!B41,'- 28 -'!E41,'- 28 -'!H41,'- 29 -'!B41,'- 29 -'!E41)</f>
        <v>1516410</v>
      </c>
      <c r="H41" s="335">
        <f>G41/'- 3 -'!D41*100</f>
        <v>2.5874343658704984</v>
      </c>
      <c r="I41" s="329">
        <f>G41/'- 7 -'!E41</f>
        <v>344.0912185159973</v>
      </c>
    </row>
    <row r="42" spans="1:9" ht="14.1" customHeight="1">
      <c r="A42" s="26" t="s">
        <v>265</v>
      </c>
      <c r="B42" s="27">
        <f>SUM('- 25 -'!H42,'- 25 -'!F42,'- 25 -'!D42,'- 25 -'!B42)</f>
        <v>205577</v>
      </c>
      <c r="C42" s="79">
        <f>B42/'- 3 -'!D42*100</f>
        <v>1.0203840041280541</v>
      </c>
      <c r="D42" s="27">
        <f>SUM('- 26 -'!B42,'- 26 -'!E42,'- 26 -'!H42,'- 27 -'!B42)</f>
        <v>800727</v>
      </c>
      <c r="E42" s="79">
        <f>D42/'- 3 -'!D42*100</f>
        <v>3.9744184537834695</v>
      </c>
      <c r="F42" s="27">
        <f>D42/'- 7 -'!E42</f>
        <v>551.73086198580586</v>
      </c>
      <c r="G42" s="27">
        <f>SUM('- 28 -'!B42,'- 28 -'!E42,'- 28 -'!H42,'- 29 -'!B42,'- 29 -'!E42)</f>
        <v>528911</v>
      </c>
      <c r="H42" s="79">
        <f>G42/'- 3 -'!D42*100</f>
        <v>2.625256346806176</v>
      </c>
      <c r="I42" s="27">
        <f>G42/'- 7 -'!E42</f>
        <v>364.43946806311584</v>
      </c>
    </row>
    <row r="43" spans="1:9" ht="14.1" customHeight="1">
      <c r="A43" s="328" t="s">
        <v>266</v>
      </c>
      <c r="B43" s="329">
        <f>SUM('- 25 -'!H43,'- 25 -'!F43,'- 25 -'!D43,'- 25 -'!B43)</f>
        <v>15447</v>
      </c>
      <c r="C43" s="335">
        <f>B43/'- 3 -'!D43*100</f>
        <v>0.1251980458503498</v>
      </c>
      <c r="D43" s="329">
        <f>SUM('- 26 -'!B43,'- 26 -'!E43,'- 26 -'!H43,'- 27 -'!B43)</f>
        <v>563267</v>
      </c>
      <c r="E43" s="335">
        <f>D43/'- 3 -'!D43*100</f>
        <v>4.5652830771016371</v>
      </c>
      <c r="F43" s="329">
        <f>D43/'- 7 -'!E43</f>
        <v>575.4668982427462</v>
      </c>
      <c r="G43" s="329">
        <f>SUM('- 28 -'!B43,'- 28 -'!E43,'- 28 -'!H43,'- 29 -'!B43,'- 29 -'!E43)</f>
        <v>477993</v>
      </c>
      <c r="H43" s="335">
        <f>G43/'- 3 -'!D43*100</f>
        <v>3.87413669516063</v>
      </c>
      <c r="I43" s="329">
        <f>G43/'- 7 -'!E43</f>
        <v>488.3459337964855</v>
      </c>
    </row>
    <row r="44" spans="1:9" ht="14.1" customHeight="1">
      <c r="A44" s="26" t="s">
        <v>267</v>
      </c>
      <c r="B44" s="27">
        <f>SUM('- 25 -'!H44,'- 25 -'!F44,'- 25 -'!D44,'- 25 -'!B44)</f>
        <v>10868</v>
      </c>
      <c r="C44" s="79">
        <f>B44/'- 3 -'!D44*100</f>
        <v>0.10567087392574102</v>
      </c>
      <c r="D44" s="27">
        <f>SUM('- 26 -'!B44,'- 26 -'!E44,'- 26 -'!H44,'- 27 -'!B44)</f>
        <v>356342</v>
      </c>
      <c r="E44" s="79">
        <f>D44/'- 3 -'!D44*100</f>
        <v>3.4647562160881864</v>
      </c>
      <c r="F44" s="27">
        <f>D44/'- 7 -'!E44</f>
        <v>507.97148966500356</v>
      </c>
      <c r="G44" s="27">
        <f>SUM('- 28 -'!B44,'- 28 -'!E44,'- 28 -'!H44,'- 29 -'!B44,'- 29 -'!E44)</f>
        <v>258044</v>
      </c>
      <c r="H44" s="79">
        <f>G44/'- 3 -'!D44*100</f>
        <v>2.5089929141786822</v>
      </c>
      <c r="I44" s="27">
        <f>G44/'- 7 -'!E44</f>
        <v>367.84604419101925</v>
      </c>
    </row>
    <row r="45" spans="1:9" ht="14.1" customHeight="1">
      <c r="A45" s="328" t="s">
        <v>268</v>
      </c>
      <c r="B45" s="329">
        <f>SUM('- 25 -'!H45,'- 25 -'!F45,'- 25 -'!D45,'- 25 -'!B45)</f>
        <v>39425</v>
      </c>
      <c r="C45" s="335">
        <f>B45/'- 3 -'!D45*100</f>
        <v>0.23353429228210187</v>
      </c>
      <c r="D45" s="329">
        <f>SUM('- 26 -'!B45,'- 26 -'!E45,'- 26 -'!H45,'- 27 -'!B45)</f>
        <v>644832</v>
      </c>
      <c r="E45" s="335">
        <f>D45/'- 3 -'!D45*100</f>
        <v>3.8196673369905469</v>
      </c>
      <c r="F45" s="329">
        <f>D45/'- 7 -'!E45</f>
        <v>398.65965996908812</v>
      </c>
      <c r="G45" s="329">
        <f>SUM('- 28 -'!B45,'- 28 -'!E45,'- 28 -'!H45,'- 29 -'!B45,'- 29 -'!E45)</f>
        <v>454647</v>
      </c>
      <c r="H45" s="335">
        <f>G45/'- 3 -'!D45*100</f>
        <v>2.693105019230964</v>
      </c>
      <c r="I45" s="329">
        <f>G45/'- 7 -'!E45</f>
        <v>281.08006182380217</v>
      </c>
    </row>
    <row r="46" spans="1:9" ht="14.1" customHeight="1">
      <c r="A46" s="26" t="s">
        <v>269</v>
      </c>
      <c r="B46" s="27">
        <f>SUM('- 25 -'!H46,'- 25 -'!F46,'- 25 -'!D46,'- 25 -'!B46)</f>
        <v>8397802</v>
      </c>
      <c r="C46" s="79">
        <f>B46/'- 3 -'!D46*100</f>
        <v>2.3586026501837032</v>
      </c>
      <c r="D46" s="27">
        <f>SUM('- 26 -'!B46,'- 26 -'!E46,'- 26 -'!H46,'- 27 -'!B46)</f>
        <v>9129589</v>
      </c>
      <c r="E46" s="79">
        <f>D46/'- 3 -'!D46*100</f>
        <v>2.5641319967400973</v>
      </c>
      <c r="F46" s="27">
        <f>D46/'- 7 -'!E46</f>
        <v>305.86527251041935</v>
      </c>
      <c r="G46" s="27">
        <f>SUM('- 28 -'!B46,'- 28 -'!E46,'- 28 -'!H46,'- 29 -'!B46,'- 29 -'!E46)</f>
        <v>9828827</v>
      </c>
      <c r="H46" s="79">
        <f>G46/'- 3 -'!D46*100</f>
        <v>2.7605196467357929</v>
      </c>
      <c r="I46" s="27">
        <f>G46/'- 7 -'!E46</f>
        <v>329.291586818724</v>
      </c>
    </row>
    <row r="47" spans="1:9" ht="5.0999999999999996" customHeight="1">
      <c r="A47"/>
      <c r="B47"/>
      <c r="C47"/>
      <c r="D47"/>
      <c r="E47"/>
      <c r="F47"/>
      <c r="G47"/>
      <c r="H47"/>
      <c r="I47"/>
    </row>
    <row r="48" spans="1:9" ht="14.1" customHeight="1">
      <c r="A48" s="330" t="s">
        <v>270</v>
      </c>
      <c r="B48" s="331">
        <f>SUM(B11:B46)</f>
        <v>21086819</v>
      </c>
      <c r="C48" s="338">
        <f>B48/'- 3 -'!D48*100</f>
        <v>1.0198950231377579</v>
      </c>
      <c r="D48" s="331">
        <f>SUM(D11:D46)</f>
        <v>69253068</v>
      </c>
      <c r="E48" s="338">
        <f>D48/'- 3 -'!D48*100</f>
        <v>3.3495265165514403</v>
      </c>
      <c r="F48" s="331">
        <f>D48/'- 7 -'!E48</f>
        <v>402.57947046274279</v>
      </c>
      <c r="G48" s="331">
        <f>SUM(G11:G46)</f>
        <v>72158355</v>
      </c>
      <c r="H48" s="338">
        <f>G48/'- 3 -'!D48*100</f>
        <v>3.4900449964647375</v>
      </c>
      <c r="I48" s="331">
        <f>G48/'- 7 -'!E48</f>
        <v>419.46838146380185</v>
      </c>
    </row>
    <row r="49" spans="1:9" ht="5.0999999999999996" customHeight="1">
      <c r="A49"/>
      <c r="B49"/>
      <c r="C49"/>
      <c r="D49"/>
      <c r="E49"/>
      <c r="F49"/>
      <c r="G49"/>
      <c r="H49"/>
      <c r="I49"/>
    </row>
    <row r="50" spans="1:9" ht="14.1" customHeight="1">
      <c r="A50" s="26" t="s">
        <v>271</v>
      </c>
      <c r="B50" s="27">
        <f>SUM('- 25 -'!H50,'- 25 -'!F50,'- 25 -'!D50,'- 25 -'!B50)</f>
        <v>7500</v>
      </c>
      <c r="C50" s="79">
        <f>B50/'- 3 -'!D50*100</f>
        <v>0.23556445326118569</v>
      </c>
      <c r="D50" s="27">
        <f>SUM('- 26 -'!B50,'- 26 -'!E50,'- 26 -'!H50,'- 27 -'!B50)</f>
        <v>283193</v>
      </c>
      <c r="E50" s="79">
        <f>D50/'- 3 -'!D50*100</f>
        <v>8.8946938949859948</v>
      </c>
      <c r="F50" s="27">
        <f>D50/'- 7 -'!E50</f>
        <v>1604.4929178470254</v>
      </c>
      <c r="G50" s="27">
        <f>SUM('- 28 -'!B50,'- 28 -'!E50,'- 28 -'!H50,'- 29 -'!B50,'- 29 -'!E50)</f>
        <v>56583</v>
      </c>
      <c r="H50" s="79">
        <f>G50/'- 3 -'!D50*100</f>
        <v>1.7771924611836896</v>
      </c>
      <c r="I50" s="27">
        <f>G50/'- 7 -'!E50</f>
        <v>320.58356940509913</v>
      </c>
    </row>
    <row r="51" spans="1:9" ht="14.1" customHeight="1">
      <c r="A51" s="328" t="s">
        <v>272</v>
      </c>
      <c r="B51" s="329">
        <f>SUM('- 25 -'!H51,'- 25 -'!F51,'- 25 -'!D51,'- 25 -'!B51)</f>
        <v>7041952</v>
      </c>
      <c r="C51" s="335">
        <f>B51/'- 3 -'!D51*100</f>
        <v>35.765658476569627</v>
      </c>
      <c r="D51" s="329">
        <f>SUM('- 26 -'!B51,'- 26 -'!E51,'- 26 -'!H51,'- 27 -'!B51)</f>
        <v>2233534</v>
      </c>
      <c r="E51" s="335">
        <f>D51/'- 3 -'!D51*100</f>
        <v>11.343987326213876</v>
      </c>
      <c r="F51" s="329">
        <f>D51/'- 7 -'!E51</f>
        <v>3089.6859869968184</v>
      </c>
      <c r="G51" s="329">
        <f>SUM('- 28 -'!B51,'- 28 -'!E51,'- 28 -'!H51,'- 29 -'!B51,'- 29 -'!E51)</f>
        <v>263538</v>
      </c>
      <c r="H51" s="335">
        <f>G51/'- 3 -'!D51*100</f>
        <v>1.3384939436676375</v>
      </c>
      <c r="I51" s="329">
        <f>G51/'- 7 -'!E51</f>
        <v>364.55664683912022</v>
      </c>
    </row>
    <row r="52" spans="1:9"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sheetPr codeName="Sheet12">
    <pageSetUpPr fitToPage="1"/>
  </sheetPr>
  <dimension ref="A1:J52"/>
  <sheetViews>
    <sheetView showGridLines="0" showZeros="0" workbookViewId="0"/>
  </sheetViews>
  <sheetFormatPr defaultColWidth="15.83203125" defaultRowHeight="12"/>
  <cols>
    <col min="1" max="1" width="32.83203125" style="1" customWidth="1"/>
    <col min="2" max="2" width="15.83203125" style="1"/>
    <col min="3" max="3" width="7.83203125" style="1" customWidth="1"/>
    <col min="4" max="4" width="9.83203125" style="1" customWidth="1"/>
    <col min="5" max="5" width="15.83203125" style="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476</v>
      </c>
      <c r="C2" s="9"/>
      <c r="D2" s="9"/>
      <c r="E2" s="9"/>
      <c r="F2" s="9"/>
      <c r="G2" s="9"/>
      <c r="H2" s="82"/>
      <c r="I2" s="82"/>
      <c r="J2" s="153" t="s">
        <v>18</v>
      </c>
    </row>
    <row r="3" spans="1:10" ht="15.95" customHeight="1">
      <c r="A3" s="697"/>
      <c r="B3" s="10" t="str">
        <f>OPYEAR</f>
        <v>OPERATING FUND 2013/2014 ACTUAL</v>
      </c>
      <c r="C3" s="11"/>
      <c r="D3" s="11"/>
      <c r="E3" s="11"/>
      <c r="F3" s="11"/>
      <c r="G3" s="11"/>
      <c r="H3" s="84"/>
      <c r="I3" s="84"/>
      <c r="J3" s="74"/>
    </row>
    <row r="4" spans="1:10" ht="15.95" customHeight="1">
      <c r="B4" s="7"/>
      <c r="C4" s="7"/>
      <c r="D4" s="7"/>
      <c r="E4" s="7"/>
      <c r="F4" s="7"/>
      <c r="G4" s="7"/>
      <c r="H4" s="7"/>
      <c r="I4" s="7"/>
      <c r="J4" s="7"/>
    </row>
    <row r="5" spans="1:10" ht="15.95" customHeight="1">
      <c r="B5" s="7"/>
      <c r="C5" s="7"/>
      <c r="D5" s="7"/>
      <c r="E5" s="7"/>
      <c r="F5" s="7"/>
      <c r="G5" s="7"/>
      <c r="H5" s="7"/>
      <c r="I5" s="7"/>
      <c r="J5" s="7"/>
    </row>
    <row r="6" spans="1:10" ht="15.95" customHeight="1">
      <c r="B6" s="355" t="s">
        <v>36</v>
      </c>
      <c r="C6" s="358"/>
      <c r="D6" s="356"/>
      <c r="E6" s="355" t="s">
        <v>37</v>
      </c>
      <c r="F6" s="358"/>
      <c r="G6" s="356"/>
      <c r="H6" s="355" t="s">
        <v>16</v>
      </c>
      <c r="I6" s="358"/>
      <c r="J6" s="356"/>
    </row>
    <row r="7" spans="1:10" ht="15.95" customHeight="1">
      <c r="B7" s="342" t="s">
        <v>64</v>
      </c>
      <c r="C7" s="343"/>
      <c r="D7" s="344"/>
      <c r="E7" s="342" t="s">
        <v>65</v>
      </c>
      <c r="F7" s="343"/>
      <c r="G7" s="344"/>
      <c r="H7" s="342" t="s">
        <v>66</v>
      </c>
      <c r="I7" s="343"/>
      <c r="J7" s="344"/>
    </row>
    <row r="8" spans="1:10" ht="15.95" customHeight="1">
      <c r="A8" s="75"/>
      <c r="B8" s="155"/>
      <c r="C8" s="156"/>
      <c r="D8" s="157" t="s">
        <v>73</v>
      </c>
      <c r="E8" s="155"/>
      <c r="F8" s="157"/>
      <c r="G8" s="157" t="s">
        <v>73</v>
      </c>
      <c r="H8" s="155"/>
      <c r="I8" s="157"/>
      <c r="J8" s="157" t="s">
        <v>73</v>
      </c>
    </row>
    <row r="9" spans="1:10" ht="15.95" customHeight="1">
      <c r="A9" s="42" t="s">
        <v>93</v>
      </c>
      <c r="B9" s="87" t="s">
        <v>94</v>
      </c>
      <c r="C9" s="87" t="s">
        <v>95</v>
      </c>
      <c r="D9" s="87" t="s">
        <v>96</v>
      </c>
      <c r="E9" s="87" t="s">
        <v>94</v>
      </c>
      <c r="F9" s="87" t="s">
        <v>95</v>
      </c>
      <c r="G9" s="87" t="s">
        <v>96</v>
      </c>
      <c r="H9" s="87" t="s">
        <v>94</v>
      </c>
      <c r="I9" s="87" t="s">
        <v>95</v>
      </c>
      <c r="J9" s="87" t="s">
        <v>96</v>
      </c>
    </row>
    <row r="10" spans="1:10" ht="5.0999999999999996" customHeight="1">
      <c r="A10" s="5"/>
    </row>
    <row r="11" spans="1:10" ht="14.1" customHeight="1">
      <c r="A11" s="328" t="s">
        <v>235</v>
      </c>
      <c r="B11" s="329">
        <f>SUM('- 31 -'!D11,'- 31 -'!B11,'- 30 -'!F11,'- 30 -'!D11,'- 30 -'!B11)</f>
        <v>1212890</v>
      </c>
      <c r="C11" s="335">
        <f>B11/'- 3 -'!D11*100</f>
        <v>7.2797814931171612</v>
      </c>
      <c r="D11" s="329">
        <f>B11/'- 7 -'!E11</f>
        <v>817.86244099797705</v>
      </c>
      <c r="E11" s="329">
        <f>SUM('- 33 -'!D11,'- 33 -'!B11,'- 32 -'!F11,'- 32 -'!D11,'- 32 -'!B11)</f>
        <v>1759627</v>
      </c>
      <c r="F11" s="335">
        <f>E11/'- 3 -'!D11*100</f>
        <v>10.561304050152339</v>
      </c>
      <c r="G11" s="329">
        <f>E11/'- 7 -'!E11</f>
        <v>1186.5320296695886</v>
      </c>
      <c r="H11" s="329">
        <f>SUM('- 34 -'!B11,'- 34 -'!D11,'- 34 -'!F11)</f>
        <v>285878</v>
      </c>
      <c r="I11" s="335">
        <f>H11/'- 3 -'!D11*100</f>
        <v>1.7158434595794736</v>
      </c>
      <c r="J11" s="329">
        <f>H11/'- 7 -'!E11</f>
        <v>192.77006068779502</v>
      </c>
    </row>
    <row r="12" spans="1:10" ht="14.1" customHeight="1">
      <c r="A12" s="26" t="s">
        <v>236</v>
      </c>
      <c r="B12" s="27">
        <f>SUM('- 31 -'!D12,'- 31 -'!B12,'- 30 -'!F12,'- 30 -'!D12,'- 30 -'!B12)</f>
        <v>2219680</v>
      </c>
      <c r="C12" s="79">
        <f>B12/'- 3 -'!D12*100</f>
        <v>7.4548777176778751</v>
      </c>
      <c r="D12" s="27">
        <f>B12/'- 7 -'!E12</f>
        <v>1014.3862535417237</v>
      </c>
      <c r="E12" s="27">
        <f>SUM('- 33 -'!D12,'- 33 -'!B12,'- 32 -'!F12,'- 32 -'!D12,'- 32 -'!B12)</f>
        <v>3276294</v>
      </c>
      <c r="F12" s="79">
        <f>E12/'- 3 -'!D12*100</f>
        <v>11.003555078732843</v>
      </c>
      <c r="G12" s="27">
        <f>E12/'- 7 -'!E12</f>
        <v>1497.2552783109404</v>
      </c>
      <c r="H12" s="27">
        <f>SUM('- 34 -'!B12,'- 34 -'!D12,'- 34 -'!F12)</f>
        <v>475505</v>
      </c>
      <c r="I12" s="79">
        <f>H12/'- 3 -'!D12*100</f>
        <v>1.5970012024906375</v>
      </c>
      <c r="J12" s="27">
        <f>H12/'- 7 -'!E12</f>
        <v>217.30417694909056</v>
      </c>
    </row>
    <row r="13" spans="1:10" ht="14.1" customHeight="1">
      <c r="A13" s="328" t="s">
        <v>237</v>
      </c>
      <c r="B13" s="329">
        <f>SUM('- 31 -'!D13,'- 31 -'!B13,'- 30 -'!F13,'- 30 -'!D13,'- 30 -'!B13)</f>
        <v>2041728</v>
      </c>
      <c r="C13" s="335">
        <f>B13/'- 3 -'!D13*100</f>
        <v>2.4344367840750123</v>
      </c>
      <c r="D13" s="329">
        <f>B13/'- 7 -'!E13</f>
        <v>255.20004999687521</v>
      </c>
      <c r="E13" s="329">
        <f>SUM('- 33 -'!D13,'- 33 -'!B13,'- 32 -'!F13,'- 32 -'!D13,'- 32 -'!B13)</f>
        <v>7030834</v>
      </c>
      <c r="F13" s="335">
        <f>E13/'- 3 -'!D13*100</f>
        <v>8.3831543243396069</v>
      </c>
      <c r="G13" s="329">
        <f>E13/'- 7 -'!E13</f>
        <v>878.79932504218482</v>
      </c>
      <c r="H13" s="329">
        <f>SUM('- 34 -'!B13,'- 34 -'!D13,'- 34 -'!F13)</f>
        <v>1466498</v>
      </c>
      <c r="I13" s="335">
        <f>H13/'- 3 -'!D13*100</f>
        <v>1.7485662512207492</v>
      </c>
      <c r="J13" s="329">
        <f>H13/'- 7 -'!E13</f>
        <v>183.30079370039371</v>
      </c>
    </row>
    <row r="14" spans="1:10" ht="14.1" customHeight="1">
      <c r="A14" s="26" t="s">
        <v>636</v>
      </c>
      <c r="B14" s="27">
        <f>SUM('- 31 -'!D14,'- 31 -'!B14,'- 30 -'!F14,'- 30 -'!D14,'- 30 -'!B14)</f>
        <v>7749772</v>
      </c>
      <c r="C14" s="79">
        <f>B14/'- 3 -'!D14*100</f>
        <v>10.614883795174491</v>
      </c>
      <c r="D14" s="27">
        <f>B14/'- 7 -'!E14</f>
        <v>1490.0542203422419</v>
      </c>
      <c r="E14" s="27">
        <f>SUM('- 33 -'!D14,'- 33 -'!B14,'- 32 -'!F14,'- 32 -'!D14,'- 32 -'!B14)</f>
        <v>7294374</v>
      </c>
      <c r="F14" s="79">
        <f>E14/'- 3 -'!D14*100</f>
        <v>9.9911239154574005</v>
      </c>
      <c r="G14" s="27">
        <f>E14/'- 7 -'!E14</f>
        <v>1402.4945202845606</v>
      </c>
      <c r="H14" s="27">
        <f>SUM('- 34 -'!B14,'- 34 -'!D14,'- 34 -'!F14)</f>
        <v>1156359</v>
      </c>
      <c r="I14" s="79">
        <f>H14/'- 3 -'!D14*100</f>
        <v>1.5838680686998508</v>
      </c>
      <c r="J14" s="27">
        <f>H14/'- 7 -'!E14</f>
        <v>222.3339742357239</v>
      </c>
    </row>
    <row r="15" spans="1:10" ht="14.1" customHeight="1">
      <c r="A15" s="328" t="s">
        <v>238</v>
      </c>
      <c r="B15" s="329">
        <f>SUM('- 31 -'!D15,'- 31 -'!B15,'- 30 -'!F15,'- 30 -'!D15,'- 30 -'!B15)</f>
        <v>1386236</v>
      </c>
      <c r="C15" s="335">
        <f>B15/'- 3 -'!D15*100</f>
        <v>7.3056092784203859</v>
      </c>
      <c r="D15" s="329">
        <f>B15/'- 7 -'!E15</f>
        <v>929.42406972846129</v>
      </c>
      <c r="E15" s="329">
        <f>SUM('- 33 -'!D15,'- 33 -'!B15,'- 32 -'!F15,'- 32 -'!D15,'- 32 -'!B15)</f>
        <v>2441103</v>
      </c>
      <c r="F15" s="335">
        <f>E15/'- 3 -'!D15*100</f>
        <v>12.864869132225564</v>
      </c>
      <c r="G15" s="329">
        <f>E15/'- 7 -'!E15</f>
        <v>1636.6765001676165</v>
      </c>
      <c r="H15" s="329">
        <f>SUM('- 34 -'!B15,'- 34 -'!D15,'- 34 -'!F15)</f>
        <v>305384</v>
      </c>
      <c r="I15" s="335">
        <f>H15/'- 3 -'!D15*100</f>
        <v>1.6094057461219669</v>
      </c>
      <c r="J15" s="329">
        <f>H15/'- 7 -'!E15</f>
        <v>204.74958095876633</v>
      </c>
    </row>
    <row r="16" spans="1:10" ht="14.1" customHeight="1">
      <c r="A16" s="26" t="s">
        <v>239</v>
      </c>
      <c r="B16" s="27">
        <f>SUM('- 31 -'!D16,'- 31 -'!B16,'- 30 -'!F16,'- 30 -'!D16,'- 30 -'!B16)</f>
        <v>436236</v>
      </c>
      <c r="C16" s="79">
        <f>B16/'- 3 -'!D16*100</f>
        <v>3.3467211590452828</v>
      </c>
      <c r="D16" s="27">
        <f>B16/'- 7 -'!E16</f>
        <v>453.46777546777548</v>
      </c>
      <c r="E16" s="27">
        <f>SUM('- 33 -'!D16,'- 33 -'!B16,'- 32 -'!F16,'- 32 -'!D16,'- 32 -'!B16)</f>
        <v>2000329</v>
      </c>
      <c r="F16" s="79">
        <f>E16/'- 3 -'!D16*100</f>
        <v>15.346150683006195</v>
      </c>
      <c r="G16" s="27">
        <f>E16/'- 7 -'!E16</f>
        <v>2079.3440748440748</v>
      </c>
      <c r="H16" s="27">
        <f>SUM('- 34 -'!B16,'- 34 -'!D16,'- 34 -'!F16)</f>
        <v>217653</v>
      </c>
      <c r="I16" s="79">
        <f>H16/'- 3 -'!D16*100</f>
        <v>1.6697931863250235</v>
      </c>
      <c r="J16" s="27">
        <f>H16/'- 7 -'!E16</f>
        <v>226.25051975051974</v>
      </c>
    </row>
    <row r="17" spans="1:10" ht="14.1" customHeight="1">
      <c r="A17" s="328" t="s">
        <v>240</v>
      </c>
      <c r="B17" s="329">
        <f>SUM('- 31 -'!D17,'- 31 -'!B17,'- 30 -'!F17,'- 30 -'!D17,'- 30 -'!B17)</f>
        <v>1385334</v>
      </c>
      <c r="C17" s="335">
        <f>B17/'- 3 -'!D17*100</f>
        <v>8.4447564153245427</v>
      </c>
      <c r="D17" s="329">
        <f>B17/'- 7 -'!E17</f>
        <v>1076.4414399413899</v>
      </c>
      <c r="E17" s="329">
        <f>SUM('- 33 -'!D17,'- 33 -'!B17,'- 32 -'!F17,'- 32 -'!D17,'- 32 -'!B17)</f>
        <v>1849853</v>
      </c>
      <c r="F17" s="335">
        <f>E17/'- 3 -'!D17*100</f>
        <v>11.276383882267634</v>
      </c>
      <c r="G17" s="329">
        <f>E17/'- 7 -'!E17</f>
        <v>1437.3850833083575</v>
      </c>
      <c r="H17" s="329">
        <f>SUM('- 34 -'!B17,'- 34 -'!D17,'- 34 -'!F17)</f>
        <v>307690</v>
      </c>
      <c r="I17" s="335">
        <f>H17/'- 3 -'!D17*100</f>
        <v>1.8756250127631375</v>
      </c>
      <c r="J17" s="329">
        <f>H17/'- 7 -'!E17</f>
        <v>239.08333055823815</v>
      </c>
    </row>
    <row r="18" spans="1:10" ht="14.1" customHeight="1">
      <c r="A18" s="26" t="s">
        <v>241</v>
      </c>
      <c r="B18" s="27">
        <f>SUM('- 31 -'!D18,'- 31 -'!B18,'- 30 -'!F18,'- 30 -'!D18,'- 30 -'!B18)</f>
        <v>10443110</v>
      </c>
      <c r="C18" s="79">
        <f>B18/'- 3 -'!D18*100</f>
        <v>8.7894911684766033</v>
      </c>
      <c r="D18" s="27">
        <f>B18/'- 7 -'!E18</f>
        <v>1721.6377064855419</v>
      </c>
      <c r="E18" s="27">
        <f>SUM('- 33 -'!D18,'- 33 -'!B18,'- 32 -'!F18,'- 32 -'!D18,'- 32 -'!B18)</f>
        <v>20199859</v>
      </c>
      <c r="F18" s="79">
        <f>E18/'- 3 -'!D18*100</f>
        <v>17.001303470419504</v>
      </c>
      <c r="G18" s="27">
        <f>E18/'- 7 -'!E18</f>
        <v>3330.1228197434798</v>
      </c>
      <c r="H18" s="27">
        <f>SUM('- 34 -'!B18,'- 34 -'!D18,'- 34 -'!F18)</f>
        <v>1899544</v>
      </c>
      <c r="I18" s="79">
        <f>H18/'- 3 -'!D18*100</f>
        <v>1.5987598725028005</v>
      </c>
      <c r="J18" s="27">
        <f>H18/'- 7 -'!E18</f>
        <v>313.15638497807379</v>
      </c>
    </row>
    <row r="19" spans="1:10" ht="14.1" customHeight="1">
      <c r="A19" s="328" t="s">
        <v>242</v>
      </c>
      <c r="B19" s="329">
        <f>SUM('- 31 -'!D19,'- 31 -'!B19,'- 30 -'!F19,'- 30 -'!D19,'- 30 -'!B19)</f>
        <v>2519411</v>
      </c>
      <c r="C19" s="335">
        <f>B19/'- 3 -'!D19*100</f>
        <v>5.8183947305167072</v>
      </c>
      <c r="D19" s="329">
        <f>B19/'- 7 -'!E19</f>
        <v>600.83253839549752</v>
      </c>
      <c r="E19" s="329">
        <f>SUM('- 33 -'!D19,'- 33 -'!B19,'- 32 -'!F19,'- 32 -'!D19,'- 32 -'!B19)</f>
        <v>3834434</v>
      </c>
      <c r="F19" s="335">
        <f>E19/'- 3 -'!D19*100</f>
        <v>8.8553438006399521</v>
      </c>
      <c r="G19" s="329">
        <f>E19/'- 7 -'!E19</f>
        <v>914.44099971382241</v>
      </c>
      <c r="H19" s="329">
        <f>SUM('- 34 -'!B19,'- 34 -'!D19,'- 34 -'!F19)</f>
        <v>715747</v>
      </c>
      <c r="I19" s="335">
        <f>H19/'- 3 -'!D19*100</f>
        <v>1.6529651466883102</v>
      </c>
      <c r="J19" s="329">
        <f>H19/'- 7 -'!E19</f>
        <v>170.69231136125157</v>
      </c>
    </row>
    <row r="20" spans="1:10" ht="14.1" customHeight="1">
      <c r="A20" s="26" t="s">
        <v>243</v>
      </c>
      <c r="B20" s="27">
        <f>SUM('- 31 -'!D20,'- 31 -'!B20,'- 30 -'!F20,'- 30 -'!D20,'- 30 -'!B20)</f>
        <v>3509401</v>
      </c>
      <c r="C20" s="79">
        <f>B20/'- 3 -'!D20*100</f>
        <v>4.9671705982988827</v>
      </c>
      <c r="D20" s="27">
        <f>B20/'- 7 -'!E20</f>
        <v>475.59303428648866</v>
      </c>
      <c r="E20" s="27">
        <f>SUM('- 33 -'!D20,'- 33 -'!B20,'- 32 -'!F20,'- 32 -'!D20,'- 32 -'!B20)</f>
        <v>7699731</v>
      </c>
      <c r="F20" s="79">
        <f>E20/'- 3 -'!D20*100</f>
        <v>10.898121200173607</v>
      </c>
      <c r="G20" s="27">
        <f>E20/'- 7 -'!E20</f>
        <v>1043.4653747120205</v>
      </c>
      <c r="H20" s="27">
        <f>SUM('- 34 -'!B20,'- 34 -'!D20,'- 34 -'!F20)</f>
        <v>1288545</v>
      </c>
      <c r="I20" s="79">
        <f>H20/'- 3 -'!D20*100</f>
        <v>1.8237935301736774</v>
      </c>
      <c r="J20" s="27">
        <f>H20/'- 7 -'!E20</f>
        <v>174.62325518362923</v>
      </c>
    </row>
    <row r="21" spans="1:10" ht="14.1" customHeight="1">
      <c r="A21" s="328" t="s">
        <v>244</v>
      </c>
      <c r="B21" s="329">
        <f>SUM('- 31 -'!D21,'- 31 -'!B21,'- 30 -'!F21,'- 30 -'!D21,'- 30 -'!B21)</f>
        <v>2215158</v>
      </c>
      <c r="C21" s="335">
        <f>B21/'- 3 -'!D21*100</f>
        <v>6.3942238442218384</v>
      </c>
      <c r="D21" s="329">
        <f>B21/'- 7 -'!E21</f>
        <v>819.51831298557158</v>
      </c>
      <c r="E21" s="329">
        <f>SUM('- 33 -'!D21,'- 33 -'!B21,'- 32 -'!F21,'- 32 -'!D21,'- 32 -'!B21)</f>
        <v>4029441</v>
      </c>
      <c r="F21" s="335">
        <f>E21/'- 3 -'!D21*100</f>
        <v>11.631291186039592</v>
      </c>
      <c r="G21" s="329">
        <f>E21/'- 7 -'!E21</f>
        <v>1490.7291897891232</v>
      </c>
      <c r="H21" s="329">
        <f>SUM('- 34 -'!B21,'- 34 -'!D21,'- 34 -'!F21)</f>
        <v>588706</v>
      </c>
      <c r="I21" s="335">
        <f>H21/'- 3 -'!D21*100</f>
        <v>1.6993451223057052</v>
      </c>
      <c r="J21" s="329">
        <f>H21/'- 7 -'!E21</f>
        <v>217.79726230114687</v>
      </c>
    </row>
    <row r="22" spans="1:10" ht="14.1" customHeight="1">
      <c r="A22" s="26" t="s">
        <v>245</v>
      </c>
      <c r="B22" s="27">
        <f>SUM('- 31 -'!D22,'- 31 -'!B22,'- 30 -'!F22,'- 30 -'!D22,'- 30 -'!B22)</f>
        <v>581452</v>
      </c>
      <c r="C22" s="79">
        <f>B22/'- 3 -'!D22*100</f>
        <v>3.0174321820892236</v>
      </c>
      <c r="D22" s="27">
        <f>B22/'- 7 -'!E22</f>
        <v>370.77668664711132</v>
      </c>
      <c r="E22" s="27">
        <f>SUM('- 33 -'!D22,'- 33 -'!B22,'- 32 -'!F22,'- 32 -'!D22,'- 32 -'!B22)</f>
        <v>2394267</v>
      </c>
      <c r="F22" s="79">
        <f>E22/'- 3 -'!D22*100</f>
        <v>12.424995181569965</v>
      </c>
      <c r="G22" s="27">
        <f>E22/'- 7 -'!E22</f>
        <v>1526.7612549419716</v>
      </c>
      <c r="H22" s="27">
        <f>SUM('- 34 -'!B22,'- 34 -'!D22,'- 34 -'!F22)</f>
        <v>335269</v>
      </c>
      <c r="I22" s="79">
        <f>H22/'- 3 -'!D22*100</f>
        <v>1.7398709958119878</v>
      </c>
      <c r="J22" s="27">
        <f>H22/'- 7 -'!E22</f>
        <v>213.79224588700421</v>
      </c>
    </row>
    <row r="23" spans="1:10" ht="14.1" customHeight="1">
      <c r="A23" s="328" t="s">
        <v>246</v>
      </c>
      <c r="B23" s="329">
        <f>SUM('- 31 -'!D23,'- 31 -'!B23,'- 30 -'!F23,'- 30 -'!D23,'- 30 -'!B23)</f>
        <v>1593577</v>
      </c>
      <c r="C23" s="335">
        <f>B23/'- 3 -'!D23*100</f>
        <v>9.817705084475314</v>
      </c>
      <c r="D23" s="329">
        <f>B23/'- 7 -'!E23</f>
        <v>1378.0499827049464</v>
      </c>
      <c r="E23" s="329">
        <f>SUM('- 33 -'!D23,'- 33 -'!B23,'- 32 -'!F23,'- 32 -'!D23,'- 32 -'!B23)</f>
        <v>1465326</v>
      </c>
      <c r="F23" s="335">
        <f>E23/'- 3 -'!D23*100</f>
        <v>9.0275766534117103</v>
      </c>
      <c r="G23" s="329">
        <f>E23/'- 7 -'!E23</f>
        <v>1267.1445866482186</v>
      </c>
      <c r="H23" s="329">
        <f>SUM('- 34 -'!B23,'- 34 -'!D23,'- 34 -'!F23)</f>
        <v>257714</v>
      </c>
      <c r="I23" s="335">
        <f>H23/'- 3 -'!D23*100</f>
        <v>1.5877237486111251</v>
      </c>
      <c r="J23" s="329">
        <f>H23/'- 7 -'!E23</f>
        <v>222.85887236250431</v>
      </c>
    </row>
    <row r="24" spans="1:10" ht="14.1" customHeight="1">
      <c r="A24" s="26" t="s">
        <v>247</v>
      </c>
      <c r="B24" s="27">
        <f>SUM('- 31 -'!D24,'- 31 -'!B24,'- 30 -'!F24,'- 30 -'!D24,'- 30 -'!B24)</f>
        <v>2390788</v>
      </c>
      <c r="C24" s="79">
        <f>B24/'- 3 -'!D24*100</f>
        <v>4.5773198750110469</v>
      </c>
      <c r="D24" s="27">
        <f>B24/'- 7 -'!E24</f>
        <v>579.73956691481374</v>
      </c>
      <c r="E24" s="27">
        <f>SUM('- 33 -'!D24,'- 33 -'!B24,'- 32 -'!F24,'- 32 -'!D24,'- 32 -'!B24)</f>
        <v>5629201</v>
      </c>
      <c r="F24" s="79">
        <f>E24/'- 3 -'!D24*100</f>
        <v>10.777473208721167</v>
      </c>
      <c r="G24" s="27">
        <f>E24/'- 7 -'!E24</f>
        <v>1365.0187928902253</v>
      </c>
      <c r="H24" s="27">
        <f>SUM('- 34 -'!B24,'- 34 -'!D24,'- 34 -'!F24)</f>
        <v>931100</v>
      </c>
      <c r="I24" s="79">
        <f>H24/'- 3 -'!D24*100</f>
        <v>1.7826518016749231</v>
      </c>
      <c r="J24" s="27">
        <f>H24/'- 7 -'!E24</f>
        <v>225.78142050001213</v>
      </c>
    </row>
    <row r="25" spans="1:10" ht="14.1" customHeight="1">
      <c r="A25" s="328" t="s">
        <v>248</v>
      </c>
      <c r="B25" s="329">
        <f>SUM('- 31 -'!D25,'- 31 -'!B25,'- 30 -'!F25,'- 30 -'!D25,'- 30 -'!B25)</f>
        <v>3332892</v>
      </c>
      <c r="C25" s="335">
        <f>B25/'- 3 -'!D25*100</f>
        <v>2.1627255367391327</v>
      </c>
      <c r="D25" s="329">
        <f>B25/'- 7 -'!E25</f>
        <v>241.07717902350814</v>
      </c>
      <c r="E25" s="329">
        <f>SUM('- 33 -'!D25,'- 33 -'!B25,'- 32 -'!F25,'- 32 -'!D25,'- 32 -'!B25)</f>
        <v>17183203</v>
      </c>
      <c r="F25" s="335">
        <f>E25/'- 3 -'!D25*100</f>
        <v>11.150241871345509</v>
      </c>
      <c r="G25" s="329">
        <f>E25/'- 7 -'!E25</f>
        <v>1242.9079927667269</v>
      </c>
      <c r="H25" s="329">
        <f>SUM('- 34 -'!B25,'- 34 -'!D25,'- 34 -'!F25)</f>
        <v>2704450</v>
      </c>
      <c r="I25" s="335">
        <f>H25/'- 3 -'!D25*100</f>
        <v>1.7549272757215497</v>
      </c>
      <c r="J25" s="329">
        <f>H25/'- 7 -'!E25</f>
        <v>195.62025316455697</v>
      </c>
    </row>
    <row r="26" spans="1:10" ht="14.1" customHeight="1">
      <c r="A26" s="26" t="s">
        <v>249</v>
      </c>
      <c r="B26" s="27">
        <f>SUM('- 31 -'!D26,'- 31 -'!B26,'- 30 -'!F26,'- 30 -'!D26,'- 30 -'!B26)</f>
        <v>3095633</v>
      </c>
      <c r="C26" s="79">
        <f>B26/'- 3 -'!D26*100</f>
        <v>8.2330938600194816</v>
      </c>
      <c r="D26" s="27">
        <f>B26/'- 7 -'!E26</f>
        <v>993.46373555840819</v>
      </c>
      <c r="E26" s="27">
        <f>SUM('- 33 -'!D26,'- 33 -'!B26,'- 32 -'!F26,'- 32 -'!D26,'- 32 -'!B26)</f>
        <v>4720240</v>
      </c>
      <c r="F26" s="79">
        <f>E26/'- 3 -'!D26*100</f>
        <v>12.553871522179264</v>
      </c>
      <c r="G26" s="27">
        <f>E26/'- 7 -'!E26</f>
        <v>1514.839537869063</v>
      </c>
      <c r="H26" s="27">
        <f>SUM('- 34 -'!B26,'- 34 -'!D26,'- 34 -'!F26)</f>
        <v>725423</v>
      </c>
      <c r="I26" s="79">
        <f>H26/'- 3 -'!D26*100</f>
        <v>1.9293229033341199</v>
      </c>
      <c r="J26" s="27">
        <f>H26/'- 7 -'!E26</f>
        <v>232.80584082156611</v>
      </c>
    </row>
    <row r="27" spans="1:10" ht="14.1" customHeight="1">
      <c r="A27" s="328" t="s">
        <v>250</v>
      </c>
      <c r="B27" s="329">
        <f>SUM('- 31 -'!D27,'- 31 -'!B27,'- 30 -'!F27,'- 30 -'!D27,'- 30 -'!B27)</f>
        <v>287301</v>
      </c>
      <c r="C27" s="335">
        <f>B27/'- 3 -'!D27*100</f>
        <v>0.78082625697845753</v>
      </c>
      <c r="D27" s="329">
        <f>B27/'- 7 -'!E27</f>
        <v>103.50578232517923</v>
      </c>
      <c r="E27" s="329">
        <f>SUM('- 33 -'!D27,'- 33 -'!B27,'- 32 -'!F27,'- 32 -'!D27,'- 32 -'!B27)</f>
        <v>4017882</v>
      </c>
      <c r="F27" s="335">
        <f>E27/'- 3 -'!D27*100</f>
        <v>10.919794094142098</v>
      </c>
      <c r="G27" s="329">
        <f>E27/'- 7 -'!E27</f>
        <v>1447.5202651583384</v>
      </c>
      <c r="H27" s="329">
        <f>SUM('- 34 -'!B27,'- 34 -'!D27,'- 34 -'!F27)</f>
        <v>639420</v>
      </c>
      <c r="I27" s="335">
        <f>H27/'- 3 -'!D27*100</f>
        <v>1.7378147839275369</v>
      </c>
      <c r="J27" s="329">
        <f>H27/'- 7 -'!E27</f>
        <v>230.36351190690635</v>
      </c>
    </row>
    <row r="28" spans="1:10" ht="14.1" customHeight="1">
      <c r="A28" s="26" t="s">
        <v>251</v>
      </c>
      <c r="B28" s="27">
        <f>SUM('- 31 -'!D28,'- 31 -'!B28,'- 30 -'!F28,'- 30 -'!D28,'- 30 -'!B28)</f>
        <v>2072684</v>
      </c>
      <c r="C28" s="79">
        <f>B28/'- 3 -'!D28*100</f>
        <v>7.6786394029086589</v>
      </c>
      <c r="D28" s="27">
        <f>B28/'- 7 -'!E28</f>
        <v>1031.9561862086134</v>
      </c>
      <c r="E28" s="27">
        <f>SUM('- 33 -'!D28,'- 33 -'!B28,'- 32 -'!F28,'- 32 -'!D28,'- 32 -'!B28)</f>
        <v>3436435</v>
      </c>
      <c r="F28" s="79">
        <f>E28/'- 3 -'!D28*100</f>
        <v>12.730906011979837</v>
      </c>
      <c r="G28" s="27">
        <f>E28/'- 7 -'!E28</f>
        <v>1710.9459795867563</v>
      </c>
      <c r="H28" s="27">
        <f>SUM('- 34 -'!B28,'- 34 -'!D28,'- 34 -'!F28)</f>
        <v>446465</v>
      </c>
      <c r="I28" s="79">
        <f>H28/'- 3 -'!D28*100</f>
        <v>1.6540117745973886</v>
      </c>
      <c r="J28" s="27">
        <f>H28/'- 7 -'!E28</f>
        <v>222.28777694797111</v>
      </c>
    </row>
    <row r="29" spans="1:10" ht="14.1" customHeight="1">
      <c r="A29" s="328" t="s">
        <v>252</v>
      </c>
      <c r="B29" s="329">
        <f>SUM('- 31 -'!D29,'- 31 -'!B29,'- 30 -'!F29,'- 30 -'!D29,'- 30 -'!B29)</f>
        <v>2554424</v>
      </c>
      <c r="C29" s="335">
        <f>B29/'- 3 -'!D29*100</f>
        <v>1.8145143488811331</v>
      </c>
      <c r="D29" s="329">
        <f>B29/'- 7 -'!E29</f>
        <v>209.33268866726215</v>
      </c>
      <c r="E29" s="329">
        <f>SUM('- 33 -'!D29,'- 33 -'!B29,'- 32 -'!F29,'- 32 -'!D29,'- 32 -'!B29)</f>
        <v>17455996</v>
      </c>
      <c r="F29" s="335">
        <f>E29/'- 3 -'!D29*100</f>
        <v>12.399725032340623</v>
      </c>
      <c r="G29" s="329">
        <f>E29/'- 7 -'!E29</f>
        <v>1430.5027575864358</v>
      </c>
      <c r="H29" s="329">
        <f>SUM('- 34 -'!B29,'- 34 -'!D29,'- 34 -'!F29)</f>
        <v>2492440</v>
      </c>
      <c r="I29" s="335">
        <f>H29/'- 3 -'!D29*100</f>
        <v>1.7704845177328787</v>
      </c>
      <c r="J29" s="329">
        <f>H29/'- 7 -'!E29</f>
        <v>204.25315708818539</v>
      </c>
    </row>
    <row r="30" spans="1:10" ht="14.1" customHeight="1">
      <c r="A30" s="26" t="s">
        <v>253</v>
      </c>
      <c r="B30" s="27">
        <f>SUM('- 31 -'!D30,'- 31 -'!B30,'- 30 -'!F30,'- 30 -'!D30,'- 30 -'!B30)</f>
        <v>1188734</v>
      </c>
      <c r="C30" s="79">
        <f>B30/'- 3 -'!D30*100</f>
        <v>8.8363189900941954</v>
      </c>
      <c r="D30" s="27">
        <f>B30/'- 7 -'!E30</f>
        <v>1121.9340468505197</v>
      </c>
      <c r="E30" s="27">
        <f>SUM('- 33 -'!D30,'- 33 -'!B30,'- 32 -'!F30,'- 32 -'!D30,'- 32 -'!B30)</f>
        <v>1563749</v>
      </c>
      <c r="F30" s="79">
        <f>E30/'- 3 -'!D30*100</f>
        <v>11.623950340817043</v>
      </c>
      <c r="G30" s="27">
        <f>E30/'- 7 -'!E30</f>
        <v>1475.8753798818352</v>
      </c>
      <c r="H30" s="27">
        <f>SUM('- 34 -'!B30,'- 34 -'!D30,'- 34 -'!F30)</f>
        <v>186600</v>
      </c>
      <c r="I30" s="79">
        <f>H30/'- 3 -'!D30*100</f>
        <v>1.3870698773245964</v>
      </c>
      <c r="J30" s="27">
        <f>H30/'- 7 -'!E30</f>
        <v>176.11416274987255</v>
      </c>
    </row>
    <row r="31" spans="1:10" ht="14.1" customHeight="1">
      <c r="A31" s="328" t="s">
        <v>254</v>
      </c>
      <c r="B31" s="329">
        <f>SUM('- 31 -'!D31,'- 31 -'!B31,'- 30 -'!F31,'- 30 -'!D31,'- 30 -'!B31)</f>
        <v>1125430</v>
      </c>
      <c r="C31" s="335">
        <f>B31/'- 3 -'!D31*100</f>
        <v>3.3385507551793916</v>
      </c>
      <c r="D31" s="329">
        <f>B31/'- 7 -'!E31</f>
        <v>353.74194562313374</v>
      </c>
      <c r="E31" s="329">
        <f>SUM('- 33 -'!D31,'- 33 -'!B31,'- 32 -'!F31,'- 32 -'!D31,'- 32 -'!B31)</f>
        <v>3702014</v>
      </c>
      <c r="F31" s="335">
        <f>E31/'- 3 -'!D31*100</f>
        <v>10.9819017045793</v>
      </c>
      <c r="G31" s="329">
        <f>E31/'- 7 -'!E31</f>
        <v>1163.6064749332077</v>
      </c>
      <c r="H31" s="329">
        <f>SUM('- 34 -'!B31,'- 34 -'!D31,'- 34 -'!F31)</f>
        <v>609045</v>
      </c>
      <c r="I31" s="335">
        <f>H31/'- 3 -'!D31*100</f>
        <v>1.8067117854404384</v>
      </c>
      <c r="J31" s="329">
        <f>H31/'- 7 -'!E31</f>
        <v>191.43328618576143</v>
      </c>
    </row>
    <row r="32" spans="1:10" ht="14.1" customHeight="1">
      <c r="A32" s="26" t="s">
        <v>255</v>
      </c>
      <c r="B32" s="27">
        <f>SUM('- 31 -'!D32,'- 31 -'!B32,'- 30 -'!F32,'- 30 -'!D32,'- 30 -'!B32)</f>
        <v>2073494</v>
      </c>
      <c r="C32" s="79">
        <f>B32/'- 3 -'!D32*100</f>
        <v>7.9665893301414119</v>
      </c>
      <c r="D32" s="27">
        <f>B32/'- 7 -'!E32</f>
        <v>1025.4668644906033</v>
      </c>
      <c r="E32" s="27">
        <f>SUM('- 33 -'!D32,'- 33 -'!B32,'- 32 -'!F32,'- 32 -'!D32,'- 32 -'!B32)</f>
        <v>3029419</v>
      </c>
      <c r="F32" s="79">
        <f>E32/'- 3 -'!D32*100</f>
        <v>11.639357086120175</v>
      </c>
      <c r="G32" s="27">
        <f>E32/'- 7 -'!E32</f>
        <v>1498.2289812067261</v>
      </c>
      <c r="H32" s="27">
        <f>SUM('- 34 -'!B32,'- 34 -'!D32,'- 34 -'!F32)</f>
        <v>450458</v>
      </c>
      <c r="I32" s="79">
        <f>H32/'- 3 -'!D32*100</f>
        <v>1.7307085993385274</v>
      </c>
      <c r="J32" s="27">
        <f>H32/'- 7 -'!E32</f>
        <v>222.77843719090009</v>
      </c>
    </row>
    <row r="33" spans="1:10" ht="14.1" customHeight="1">
      <c r="A33" s="328" t="s">
        <v>256</v>
      </c>
      <c r="B33" s="329">
        <f>SUM('- 31 -'!D33,'- 31 -'!B33,'- 30 -'!F33,'- 30 -'!D33,'- 30 -'!B33)</f>
        <v>2543941</v>
      </c>
      <c r="C33" s="335">
        <f>B33/'- 3 -'!D33*100</f>
        <v>9.7168863730838453</v>
      </c>
      <c r="D33" s="329">
        <f>B33/'- 7 -'!E33</f>
        <v>1272.097709770977</v>
      </c>
      <c r="E33" s="329">
        <f>SUM('- 33 -'!D33,'- 33 -'!B33,'- 32 -'!F33,'- 32 -'!D33,'- 32 -'!B33)</f>
        <v>3442232</v>
      </c>
      <c r="F33" s="335">
        <f>E33/'- 3 -'!D33*100</f>
        <v>13.148016095417759</v>
      </c>
      <c r="G33" s="329">
        <f>E33/'- 7 -'!E33</f>
        <v>1721.288128812881</v>
      </c>
      <c r="H33" s="329">
        <f>SUM('- 34 -'!B33,'- 34 -'!D33,'- 34 -'!F33)</f>
        <v>422805</v>
      </c>
      <c r="I33" s="335">
        <f>H33/'- 3 -'!D33*100</f>
        <v>1.6149541765991093</v>
      </c>
      <c r="J33" s="329">
        <f>H33/'- 7 -'!E33</f>
        <v>211.4236423642364</v>
      </c>
    </row>
    <row r="34" spans="1:10" ht="14.1" customHeight="1">
      <c r="A34" s="26" t="s">
        <v>257</v>
      </c>
      <c r="B34" s="27">
        <f>SUM('- 31 -'!D34,'- 31 -'!B34,'- 30 -'!F34,'- 30 -'!D34,'- 30 -'!B34)</f>
        <v>2455591</v>
      </c>
      <c r="C34" s="79">
        <f>B34/'- 3 -'!D34*100</f>
        <v>9.7347940758034657</v>
      </c>
      <c r="D34" s="27">
        <f>B34/'- 7 -'!E34</f>
        <v>1246.4928934010152</v>
      </c>
      <c r="E34" s="27">
        <f>SUM('- 33 -'!D34,'- 33 -'!B34,'- 32 -'!F34,'- 32 -'!D34,'- 32 -'!B34)</f>
        <v>2762930</v>
      </c>
      <c r="F34" s="79">
        <f>E34/'- 3 -'!D34*100</f>
        <v>10.95318992285754</v>
      </c>
      <c r="G34" s="27">
        <f>E34/'- 7 -'!E34</f>
        <v>1402.5025380710661</v>
      </c>
      <c r="H34" s="27">
        <f>SUM('- 34 -'!B34,'- 34 -'!D34,'- 34 -'!F34)</f>
        <v>453414</v>
      </c>
      <c r="I34" s="79">
        <f>H34/'- 3 -'!D34*100</f>
        <v>1.7974866014276614</v>
      </c>
      <c r="J34" s="27">
        <f>H34/'- 7 -'!E34</f>
        <v>230.15939086294415</v>
      </c>
    </row>
    <row r="35" spans="1:10" ht="14.1" customHeight="1">
      <c r="A35" s="328" t="s">
        <v>258</v>
      </c>
      <c r="B35" s="329">
        <f>SUM('- 31 -'!D35,'- 31 -'!B35,'- 30 -'!F35,'- 30 -'!D35,'- 30 -'!B35)</f>
        <v>3773808</v>
      </c>
      <c r="C35" s="335">
        <f>B35/'- 3 -'!D35*100</f>
        <v>2.2028545742970964</v>
      </c>
      <c r="D35" s="329">
        <f>B35/'- 7 -'!E35</f>
        <v>242.47810582452533</v>
      </c>
      <c r="E35" s="329">
        <f>SUM('- 33 -'!D35,'- 33 -'!B35,'- 32 -'!F35,'- 32 -'!D35,'- 32 -'!B35)</f>
        <v>21689487</v>
      </c>
      <c r="F35" s="335">
        <f>E35/'- 3 -'!D35*100</f>
        <v>12.660629701380516</v>
      </c>
      <c r="G35" s="329">
        <f>E35/'- 7 -'!E35</f>
        <v>1393.6124265107462</v>
      </c>
      <c r="H35" s="329">
        <f>SUM('- 34 -'!B35,'- 34 -'!D35,'- 34 -'!F35)</f>
        <v>2923836</v>
      </c>
      <c r="I35" s="335">
        <f>H35/'- 3 -'!D35*100</f>
        <v>1.7067072588469061</v>
      </c>
      <c r="J35" s="329">
        <f>H35/'- 7 -'!E35</f>
        <v>187.86494040543579</v>
      </c>
    </row>
    <row r="36" spans="1:10" ht="14.1" customHeight="1">
      <c r="A36" s="26" t="s">
        <v>259</v>
      </c>
      <c r="B36" s="27">
        <f>SUM('- 31 -'!D36,'- 31 -'!B36,'- 30 -'!F36,'- 30 -'!D36,'- 30 -'!B36)</f>
        <v>1530328</v>
      </c>
      <c r="C36" s="79">
        <f>B36/'- 3 -'!D36*100</f>
        <v>7.1534046507357871</v>
      </c>
      <c r="D36" s="27">
        <f>B36/'- 7 -'!E36</f>
        <v>940.29370199692778</v>
      </c>
      <c r="E36" s="27">
        <f>SUM('- 33 -'!D36,'- 33 -'!B36,'- 32 -'!F36,'- 32 -'!D36,'- 32 -'!B36)</f>
        <v>2414851</v>
      </c>
      <c r="F36" s="79">
        <f>E36/'- 3 -'!D36*100</f>
        <v>11.288041762441756</v>
      </c>
      <c r="G36" s="27">
        <f>E36/'- 7 -'!E36</f>
        <v>1483.7794162826422</v>
      </c>
      <c r="H36" s="27">
        <f>SUM('- 34 -'!B36,'- 34 -'!D36,'- 34 -'!F36)</f>
        <v>385647</v>
      </c>
      <c r="I36" s="79">
        <f>H36/'- 3 -'!D36*100</f>
        <v>1.8026782776909944</v>
      </c>
      <c r="J36" s="27">
        <f>H36/'- 7 -'!E36</f>
        <v>236.95668202764978</v>
      </c>
    </row>
    <row r="37" spans="1:10" ht="14.1" customHeight="1">
      <c r="A37" s="328" t="s">
        <v>260</v>
      </c>
      <c r="B37" s="329">
        <f>SUM('- 31 -'!D37,'- 31 -'!B37,'- 30 -'!F37,'- 30 -'!D37,'- 30 -'!B37)</f>
        <v>2967277</v>
      </c>
      <c r="C37" s="335">
        <f>B37/'- 3 -'!D37*100</f>
        <v>7.0037443521207736</v>
      </c>
      <c r="D37" s="329">
        <f>B37/'- 7 -'!E37</f>
        <v>758.2156637281206</v>
      </c>
      <c r="E37" s="329">
        <f>SUM('- 33 -'!D37,'- 33 -'!B37,'- 32 -'!F37,'- 32 -'!D37,'- 32 -'!B37)</f>
        <v>4359874</v>
      </c>
      <c r="F37" s="335">
        <f>E37/'- 3 -'!D37*100</f>
        <v>10.290728807407669</v>
      </c>
      <c r="G37" s="329">
        <f>E37/'- 7 -'!E37</f>
        <v>1114.0600485498915</v>
      </c>
      <c r="H37" s="329">
        <f>SUM('- 34 -'!B37,'- 34 -'!D37,'- 34 -'!F37)</f>
        <v>744237</v>
      </c>
      <c r="I37" s="335">
        <f>H37/'- 3 -'!D37*100</f>
        <v>1.7566427689054001</v>
      </c>
      <c r="J37" s="329">
        <f>H37/'- 7 -'!E37</f>
        <v>190.17171330011499</v>
      </c>
    </row>
    <row r="38" spans="1:10" ht="14.1" customHeight="1">
      <c r="A38" s="26" t="s">
        <v>261</v>
      </c>
      <c r="B38" s="27">
        <f>SUM('- 31 -'!D38,'- 31 -'!B38,'- 30 -'!F38,'- 30 -'!D38,'- 30 -'!B38)</f>
        <v>3560924</v>
      </c>
      <c r="C38" s="79">
        <f>B38/'- 3 -'!D38*100</f>
        <v>3.0956164978373604</v>
      </c>
      <c r="D38" s="27">
        <f>B38/'- 7 -'!E38</f>
        <v>340.69959241470366</v>
      </c>
      <c r="E38" s="27">
        <f>SUM('- 33 -'!D38,'- 33 -'!B38,'- 32 -'!F38,'- 32 -'!D38,'- 32 -'!B38)</f>
        <v>10869061</v>
      </c>
      <c r="F38" s="79">
        <f>E38/'- 3 -'!D38*100</f>
        <v>9.4487960281097365</v>
      </c>
      <c r="G38" s="27">
        <f>E38/'- 7 -'!E38</f>
        <v>1039.9224057100212</v>
      </c>
      <c r="H38" s="27">
        <f>SUM('- 34 -'!B38,'- 34 -'!D38,'- 34 -'!F38)</f>
        <v>1962545</v>
      </c>
      <c r="I38" s="79">
        <f>H38/'- 3 -'!D38*100</f>
        <v>1.7060983833825778</v>
      </c>
      <c r="J38" s="27">
        <f>H38/'- 7 -'!E38</f>
        <v>187.77100595112802</v>
      </c>
    </row>
    <row r="39" spans="1:10" ht="14.1" customHeight="1">
      <c r="A39" s="328" t="s">
        <v>262</v>
      </c>
      <c r="B39" s="329">
        <f>SUM('- 31 -'!D39,'- 31 -'!B39,'- 30 -'!F39,'- 30 -'!D39,'- 30 -'!B39)</f>
        <v>1998065</v>
      </c>
      <c r="C39" s="335">
        <f>B39/'- 3 -'!D39*100</f>
        <v>9.869187142793848</v>
      </c>
      <c r="D39" s="329">
        <f>B39/'- 7 -'!E39</f>
        <v>1284.5162327225971</v>
      </c>
      <c r="E39" s="329">
        <f>SUM('- 33 -'!D39,'- 33 -'!B39,'- 32 -'!F39,'- 32 -'!D39,'- 32 -'!B39)</f>
        <v>2407510</v>
      </c>
      <c r="F39" s="335">
        <f>E39/'- 3 -'!D39*100</f>
        <v>11.891588480929109</v>
      </c>
      <c r="G39" s="329">
        <f>E39/'- 7 -'!E39</f>
        <v>1547.7402764384442</v>
      </c>
      <c r="H39" s="329">
        <f>SUM('- 34 -'!B39,'- 34 -'!D39,'- 34 -'!F39)</f>
        <v>416591</v>
      </c>
      <c r="I39" s="335">
        <f>H39/'- 3 -'!D39*100</f>
        <v>2.0576980934071876</v>
      </c>
      <c r="J39" s="329">
        <f>H39/'- 7 -'!E39</f>
        <v>267.81806493089039</v>
      </c>
    </row>
    <row r="40" spans="1:10" ht="14.1" customHeight="1">
      <c r="A40" s="26" t="s">
        <v>263</v>
      </c>
      <c r="B40" s="27">
        <f>SUM('- 31 -'!D40,'- 31 -'!B40,'- 30 -'!F40,'- 30 -'!D40,'- 30 -'!B40)</f>
        <v>1861222</v>
      </c>
      <c r="C40" s="79">
        <f>B40/'- 3 -'!D40*100</f>
        <v>1.9560373916951157</v>
      </c>
      <c r="D40" s="27">
        <f>B40/'- 7 -'!E40</f>
        <v>234.30312261995431</v>
      </c>
      <c r="E40" s="27">
        <f>SUM('- 33 -'!D40,'- 33 -'!B40,'- 32 -'!F40,'- 32 -'!D40,'- 32 -'!B40)</f>
        <v>9885730</v>
      </c>
      <c r="F40" s="79">
        <f>E40/'- 3 -'!D40*100</f>
        <v>10.389334278340872</v>
      </c>
      <c r="G40" s="27">
        <f>E40/'- 7 -'!E40</f>
        <v>1244.482070584681</v>
      </c>
      <c r="H40" s="27">
        <f>SUM('- 34 -'!B40,'- 34 -'!D40,'- 34 -'!F40)</f>
        <v>1624565</v>
      </c>
      <c r="I40" s="79">
        <f>H40/'- 3 -'!D40*100</f>
        <v>1.7073244810340602</v>
      </c>
      <c r="J40" s="27">
        <f>H40/'- 7 -'!E40</f>
        <v>204.51115041574087</v>
      </c>
    </row>
    <row r="41" spans="1:10" ht="14.1" customHeight="1">
      <c r="A41" s="328" t="s">
        <v>264</v>
      </c>
      <c r="B41" s="329">
        <f>SUM('- 31 -'!D41,'- 31 -'!B41,'- 30 -'!F41,'- 30 -'!D41,'- 30 -'!B41)</f>
        <v>4765787</v>
      </c>
      <c r="C41" s="335">
        <f>B41/'- 3 -'!D41*100</f>
        <v>8.1318120193212025</v>
      </c>
      <c r="D41" s="329">
        <f>B41/'- 7 -'!E41</f>
        <v>1081.4129793510324</v>
      </c>
      <c r="E41" s="329">
        <f>SUM('- 33 -'!D41,'- 33 -'!B41,'- 32 -'!F41,'- 32 -'!D41,'- 32 -'!B41)</f>
        <v>6200602</v>
      </c>
      <c r="F41" s="335">
        <f>E41/'- 3 -'!D41*100</f>
        <v>10.580021698541518</v>
      </c>
      <c r="G41" s="329">
        <f>E41/'- 7 -'!E41</f>
        <v>1406.9893351486271</v>
      </c>
      <c r="H41" s="329">
        <f>SUM('- 34 -'!B41,'- 34 -'!D41,'- 34 -'!F41)</f>
        <v>1060831</v>
      </c>
      <c r="I41" s="335">
        <f>H41/'- 3 -'!D41*100</f>
        <v>1.81008473023837</v>
      </c>
      <c r="J41" s="329">
        <f>H41/'- 7 -'!E41</f>
        <v>240.71499886544134</v>
      </c>
    </row>
    <row r="42" spans="1:10" ht="14.1" customHeight="1">
      <c r="A42" s="26" t="s">
        <v>265</v>
      </c>
      <c r="B42" s="27">
        <f>SUM('- 31 -'!D42,'- 31 -'!B42,'- 30 -'!F42,'- 30 -'!D42,'- 30 -'!B42)</f>
        <v>1597820</v>
      </c>
      <c r="C42" s="79">
        <f>B42/'- 3 -'!D42*100</f>
        <v>7.9307995032318166</v>
      </c>
      <c r="D42" s="27">
        <f>B42/'- 7 -'!E42</f>
        <v>1100.957762006477</v>
      </c>
      <c r="E42" s="27">
        <f>SUM('- 33 -'!D42,'- 33 -'!B42,'- 32 -'!F42,'- 32 -'!D42,'- 32 -'!B42)</f>
        <v>2228444</v>
      </c>
      <c r="F42" s="79">
        <f>E42/'- 3 -'!D42*100</f>
        <v>11.06090959443487</v>
      </c>
      <c r="G42" s="27">
        <f>E42/'- 7 -'!E42</f>
        <v>1535.4812926341901</v>
      </c>
      <c r="H42" s="27">
        <f>SUM('- 34 -'!B42,'- 34 -'!D42,'- 34 -'!F42)</f>
        <v>312932</v>
      </c>
      <c r="I42" s="79">
        <f>H42/'- 3 -'!D42*100</f>
        <v>1.5532418859103898</v>
      </c>
      <c r="J42" s="27">
        <f>H42/'- 7 -'!E42</f>
        <v>215.62185626679531</v>
      </c>
    </row>
    <row r="43" spans="1:10" ht="14.1" customHeight="1">
      <c r="A43" s="328" t="s">
        <v>266</v>
      </c>
      <c r="B43" s="329">
        <f>SUM('- 31 -'!D43,'- 31 -'!B43,'- 30 -'!F43,'- 30 -'!D43,'- 30 -'!B43)</f>
        <v>1126614</v>
      </c>
      <c r="C43" s="335">
        <f>B43/'- 3 -'!D43*100</f>
        <v>9.1312145547773671</v>
      </c>
      <c r="D43" s="329">
        <f>B43/'- 7 -'!E43</f>
        <v>1151.0155292194524</v>
      </c>
      <c r="E43" s="329">
        <f>SUM('- 33 -'!D43,'- 33 -'!B43,'- 32 -'!F43,'- 32 -'!D43,'- 32 -'!B43)</f>
        <v>1009309</v>
      </c>
      <c r="F43" s="335">
        <f>E43/'- 3 -'!D43*100</f>
        <v>8.1804566879763527</v>
      </c>
      <c r="G43" s="329">
        <f>E43/'- 7 -'!E43</f>
        <v>1031.1697997548019</v>
      </c>
      <c r="H43" s="329">
        <f>SUM('- 34 -'!B43,'- 34 -'!D43,'- 34 -'!F43)</f>
        <v>226143</v>
      </c>
      <c r="I43" s="335">
        <f>H43/'- 3 -'!D43*100</f>
        <v>1.832890637841371</v>
      </c>
      <c r="J43" s="329">
        <f>H43/'- 7 -'!E43</f>
        <v>231.04107069881488</v>
      </c>
    </row>
    <row r="44" spans="1:10" ht="14.1" customHeight="1">
      <c r="A44" s="26" t="s">
        <v>267</v>
      </c>
      <c r="B44" s="27">
        <f>SUM('- 31 -'!D44,'- 31 -'!B44,'- 30 -'!F44,'- 30 -'!D44,'- 30 -'!B44)</f>
        <v>1088743</v>
      </c>
      <c r="C44" s="79">
        <f>B44/'- 3 -'!D44*100</f>
        <v>10.585979415764912</v>
      </c>
      <c r="D44" s="27">
        <f>B44/'- 7 -'!E44</f>
        <v>1552.0213827512473</v>
      </c>
      <c r="E44" s="27">
        <f>SUM('- 33 -'!D44,'- 33 -'!B44,'- 32 -'!F44,'- 32 -'!D44,'- 32 -'!B44)</f>
        <v>1055279</v>
      </c>
      <c r="F44" s="79">
        <f>E44/'- 3 -'!D44*100</f>
        <v>10.260604910331438</v>
      </c>
      <c r="G44" s="27">
        <f>E44/'- 7 -'!E44</f>
        <v>1504.3178902352104</v>
      </c>
      <c r="H44" s="27">
        <f>SUM('- 34 -'!B44,'- 34 -'!D44,'- 34 -'!F44)</f>
        <v>158876</v>
      </c>
      <c r="I44" s="79">
        <f>H44/'- 3 -'!D44*100</f>
        <v>1.5447704974076217</v>
      </c>
      <c r="J44" s="27">
        <f>H44/'- 7 -'!E44</f>
        <v>226.48039914468995</v>
      </c>
    </row>
    <row r="45" spans="1:10" ht="14.1" customHeight="1">
      <c r="A45" s="328" t="s">
        <v>268</v>
      </c>
      <c r="B45" s="329">
        <f>SUM('- 31 -'!D45,'- 31 -'!B45,'- 30 -'!F45,'- 30 -'!D45,'- 30 -'!B45)</f>
        <v>715405</v>
      </c>
      <c r="C45" s="335">
        <f>B45/'- 3 -'!D45*100</f>
        <v>4.2377070480679029</v>
      </c>
      <c r="D45" s="329">
        <f>B45/'- 7 -'!E45</f>
        <v>442.29057187017003</v>
      </c>
      <c r="E45" s="329">
        <f>SUM('- 33 -'!D45,'- 33 -'!B45,'- 32 -'!F45,'- 32 -'!D45,'- 32 -'!B45)</f>
        <v>1722978</v>
      </c>
      <c r="F45" s="335">
        <f>E45/'- 3 -'!D45*100</f>
        <v>10.206073502793437</v>
      </c>
      <c r="G45" s="329">
        <f>E45/'- 7 -'!E45</f>
        <v>1065.2105100463677</v>
      </c>
      <c r="H45" s="329">
        <f>SUM('- 34 -'!B45,'- 34 -'!D45,'- 34 -'!F45)</f>
        <v>307184</v>
      </c>
      <c r="I45" s="335">
        <f>H45/'- 3 -'!D45*100</f>
        <v>1.819606798741539</v>
      </c>
      <c r="J45" s="329">
        <f>H45/'- 7 -'!E45</f>
        <v>189.91282843894899</v>
      </c>
    </row>
    <row r="46" spans="1:10" ht="14.1" customHeight="1">
      <c r="A46" s="26" t="s">
        <v>269</v>
      </c>
      <c r="B46" s="27">
        <f>SUM('- 31 -'!D46,'- 31 -'!B46,'- 30 -'!F46,'- 30 -'!D46,'- 30 -'!B46)</f>
        <v>4896320</v>
      </c>
      <c r="C46" s="79">
        <f>B46/'- 3 -'!D46*100</f>
        <v>1.3751780916181959</v>
      </c>
      <c r="D46" s="27">
        <f>B46/'- 7 -'!E46</f>
        <v>164.03961351362219</v>
      </c>
      <c r="E46" s="27">
        <f>SUM('- 33 -'!D46,'- 33 -'!B46,'- 32 -'!F46,'- 32 -'!D46,'- 32 -'!B46)</f>
        <v>44092685</v>
      </c>
      <c r="F46" s="79">
        <f>E46/'- 3 -'!D46*100</f>
        <v>12.383850404512419</v>
      </c>
      <c r="G46" s="27">
        <f>E46/'- 7 -'!E46</f>
        <v>1477.2210570750863</v>
      </c>
      <c r="H46" s="27">
        <f>SUM('- 34 -'!B46,'- 34 -'!D46,'- 34 -'!F46)</f>
        <v>6200046</v>
      </c>
      <c r="I46" s="79">
        <f>H46/'- 3 -'!D46*100</f>
        <v>1.7413419519608662</v>
      </c>
      <c r="J46" s="27">
        <f>H46/'- 7 -'!E46</f>
        <v>207.7178676243953</v>
      </c>
    </row>
    <row r="47" spans="1:10" ht="5.0999999999999996" customHeight="1">
      <c r="A47" s="28"/>
      <c r="B47" s="29"/>
      <c r="C47"/>
      <c r="D47"/>
      <c r="E47"/>
      <c r="F47"/>
      <c r="G47"/>
      <c r="H47"/>
      <c r="I47"/>
      <c r="J47"/>
    </row>
    <row r="48" spans="1:10" ht="14.1" customHeight="1">
      <c r="A48" s="330" t="s">
        <v>270</v>
      </c>
      <c r="B48" s="331">
        <f>SUM(B11:B46)</f>
        <v>90297210</v>
      </c>
      <c r="C48" s="338">
        <f>B48/'- 3 -'!D48*100</f>
        <v>4.3673574037992644</v>
      </c>
      <c r="D48" s="331">
        <f>B48/'- 7 -'!E48</f>
        <v>524.91252786177051</v>
      </c>
      <c r="E48" s="331">
        <f>SUM(E11:E46)</f>
        <v>240154583</v>
      </c>
      <c r="F48" s="338">
        <f>E48/'- 3 -'!D48*100</f>
        <v>11.615429713956555</v>
      </c>
      <c r="G48" s="331">
        <f>E48/'- 7 -'!E48</f>
        <v>1396.0580757713262</v>
      </c>
      <c r="H48" s="331">
        <f>SUM(H11:H46)</f>
        <v>35685545</v>
      </c>
      <c r="I48" s="338">
        <f>H48/'- 3 -'!D48*100</f>
        <v>1.7259838832712753</v>
      </c>
      <c r="J48" s="331">
        <f>H48/'- 7 -'!E48</f>
        <v>207.44594029067969</v>
      </c>
    </row>
    <row r="49" spans="1:10" ht="5.0999999999999996" customHeight="1">
      <c r="A49" s="28" t="s">
        <v>16</v>
      </c>
      <c r="B49" s="29"/>
      <c r="C49"/>
      <c r="D49"/>
      <c r="E49"/>
      <c r="F49"/>
      <c r="G49"/>
      <c r="H49"/>
      <c r="I49"/>
      <c r="J49"/>
    </row>
    <row r="50" spans="1:10" ht="14.1" customHeight="1">
      <c r="A50" s="328" t="s">
        <v>271</v>
      </c>
      <c r="B50" s="329">
        <f>SUM('- 31 -'!D50,'- 31 -'!B50,'- 30 -'!F50,'- 30 -'!D50,'- 30 -'!B50)</f>
        <v>38923</v>
      </c>
      <c r="C50" s="335">
        <f>B50/'- 3 -'!D50*100</f>
        <v>1.2225166952380173</v>
      </c>
      <c r="D50" s="329">
        <f>B50/'- 7 -'!E50</f>
        <v>220.52691218130312</v>
      </c>
      <c r="E50" s="329">
        <f>SUM('- 33 -'!D50,'- 33 -'!B50,'- 32 -'!F50,'- 32 -'!D50,'- 32 -'!B50)</f>
        <v>460793</v>
      </c>
      <c r="F50" s="335">
        <f>E50/'- 3 -'!D50*100</f>
        <v>14.472860148210872</v>
      </c>
      <c r="G50" s="329">
        <f>E50/'- 7 -'!E50</f>
        <v>2610.7252124645893</v>
      </c>
      <c r="H50" s="329">
        <f>SUM('- 34 -'!B50,'- 34 -'!D50,'- 34 -'!F50)</f>
        <v>54583</v>
      </c>
      <c r="I50" s="335">
        <f>H50/'- 3 -'!D50*100</f>
        <v>1.7143752736473732</v>
      </c>
      <c r="J50" s="329">
        <f>H50/'- 7 -'!E50</f>
        <v>309.25212464589237</v>
      </c>
    </row>
    <row r="51" spans="1:10" ht="14.1" customHeight="1">
      <c r="A51" s="26" t="s">
        <v>272</v>
      </c>
      <c r="B51" s="27">
        <f>SUM('- 31 -'!D51,'- 31 -'!B51,'- 30 -'!F51,'- 30 -'!D51,'- 30 -'!B51)</f>
        <v>0</v>
      </c>
      <c r="C51" s="79">
        <f>B51/'- 3 -'!D51*100</f>
        <v>0</v>
      </c>
      <c r="D51" s="27">
        <f>B51/'- 7 -'!E51</f>
        <v>0</v>
      </c>
      <c r="E51" s="27">
        <f>SUM('- 33 -'!D51,'- 33 -'!B51,'- 32 -'!F51,'- 32 -'!D51,'- 32 -'!B51)</f>
        <v>1920797</v>
      </c>
      <c r="F51" s="79">
        <f>E51/'- 3 -'!D51*100</f>
        <v>9.7556145660776323</v>
      </c>
      <c r="G51" s="27">
        <f>E51/'- 7 -'!E51</f>
        <v>2657.0715174989627</v>
      </c>
      <c r="H51" s="27">
        <f>SUM('- 34 -'!B51,'- 34 -'!D51,'- 34 -'!F51)</f>
        <v>182372</v>
      </c>
      <c r="I51" s="79">
        <f>H51/'- 3 -'!D51*100</f>
        <v>0.92625662141533427</v>
      </c>
      <c r="J51" s="27">
        <f>H51/'- 7 -'!E51</f>
        <v>252.27832341956011</v>
      </c>
    </row>
    <row r="52" spans="1:10"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sheetPr codeName="Sheet13">
    <pageSetUpPr fitToPage="1"/>
  </sheetPr>
  <dimension ref="A1:G52"/>
  <sheetViews>
    <sheetView showGridLines="0" showZeros="0" workbookViewId="0"/>
  </sheetViews>
  <sheetFormatPr defaultColWidth="15.83203125" defaultRowHeight="12"/>
  <cols>
    <col min="1" max="1" width="33.83203125" style="1" customWidth="1"/>
    <col min="2" max="2" width="21.83203125" style="1" customWidth="1"/>
    <col min="3" max="3" width="12.83203125" style="1" customWidth="1"/>
    <col min="4" max="4" width="15.33203125" style="1" customWidth="1"/>
    <col min="5" max="5" width="20.83203125" style="1" customWidth="1"/>
    <col min="6" max="6" width="12.83203125" style="1" customWidth="1"/>
    <col min="7" max="7" width="15.33203125" style="1" customWidth="1"/>
    <col min="8" max="16384" width="15.83203125" style="1"/>
  </cols>
  <sheetData>
    <row r="1" spans="1:7" ht="6.95" customHeight="1">
      <c r="A1" s="6"/>
      <c r="B1" s="100"/>
      <c r="C1" s="100"/>
      <c r="D1" s="100"/>
      <c r="E1" s="100"/>
      <c r="F1" s="100"/>
      <c r="G1" s="100"/>
    </row>
    <row r="2" spans="1:7" ht="15.95" customHeight="1">
      <c r="A2" s="152"/>
      <c r="B2" s="101" t="s">
        <v>478</v>
      </c>
      <c r="C2" s="230"/>
      <c r="D2" s="102"/>
      <c r="E2" s="102"/>
      <c r="F2" s="102"/>
      <c r="G2" s="153" t="s">
        <v>438</v>
      </c>
    </row>
    <row r="3" spans="1:7" ht="15.95" customHeight="1">
      <c r="A3" s="697"/>
      <c r="B3" s="231" t="str">
        <f>OPYEAR</f>
        <v>OPERATING FUND 2013/2014 ACTUAL</v>
      </c>
      <c r="C3" s="105"/>
      <c r="D3" s="232"/>
      <c r="E3" s="105"/>
      <c r="F3" s="105"/>
      <c r="G3" s="107"/>
    </row>
    <row r="4" spans="1:7" ht="15.95" customHeight="1">
      <c r="B4" s="100"/>
      <c r="C4" s="100"/>
      <c r="D4" s="100"/>
      <c r="E4" s="100"/>
      <c r="F4" s="100"/>
      <c r="G4" s="100"/>
    </row>
    <row r="5" spans="1:7" ht="15.95" customHeight="1">
      <c r="B5" s="211" t="s">
        <v>22</v>
      </c>
      <c r="C5" s="196"/>
      <c r="D5" s="197"/>
      <c r="E5" s="197"/>
      <c r="F5" s="197"/>
      <c r="G5" s="198"/>
    </row>
    <row r="6" spans="1:7" ht="15.95" customHeight="1">
      <c r="B6" s="355"/>
      <c r="C6" s="358"/>
      <c r="D6" s="356"/>
      <c r="E6" s="355" t="s">
        <v>196</v>
      </c>
      <c r="F6" s="358"/>
      <c r="G6" s="356"/>
    </row>
    <row r="7" spans="1:7" ht="15.95" customHeight="1">
      <c r="B7" s="342" t="s">
        <v>43</v>
      </c>
      <c r="C7" s="343"/>
      <c r="D7" s="344"/>
      <c r="E7" s="342" t="s">
        <v>231</v>
      </c>
      <c r="F7" s="343"/>
      <c r="G7" s="344"/>
    </row>
    <row r="8" spans="1:7" ht="15.95" customHeight="1">
      <c r="A8" s="75"/>
      <c r="B8" s="155"/>
      <c r="C8" s="156"/>
      <c r="D8" s="157" t="s">
        <v>73</v>
      </c>
      <c r="E8" s="155"/>
      <c r="F8" s="157"/>
      <c r="G8" s="157" t="s">
        <v>73</v>
      </c>
    </row>
    <row r="9" spans="1:7" ht="15.95" customHeight="1">
      <c r="A9" s="42" t="s">
        <v>93</v>
      </c>
      <c r="B9" s="87" t="s">
        <v>94</v>
      </c>
      <c r="C9" s="87" t="s">
        <v>95</v>
      </c>
      <c r="D9" s="87" t="s">
        <v>96</v>
      </c>
      <c r="E9" s="87" t="s">
        <v>94</v>
      </c>
      <c r="F9" s="87" t="s">
        <v>95</v>
      </c>
      <c r="G9" s="87" t="s">
        <v>96</v>
      </c>
    </row>
    <row r="10" spans="1:7" ht="5.0999999999999996" customHeight="1">
      <c r="A10" s="5"/>
    </row>
    <row r="11" spans="1:7" ht="14.1" customHeight="1">
      <c r="A11" s="328" t="s">
        <v>235</v>
      </c>
      <c r="B11" s="329">
        <v>1077473</v>
      </c>
      <c r="C11" s="335">
        <f>B11/'- 3 -'!D11*100</f>
        <v>6.4670069047757242</v>
      </c>
      <c r="D11" s="329">
        <f>B11/'- 7 -'!C11</f>
        <v>726.54956169925822</v>
      </c>
      <c r="E11" s="329">
        <v>0</v>
      </c>
      <c r="F11" s="335">
        <f>E11/'- 3 -'!D11*100</f>
        <v>0</v>
      </c>
      <c r="G11" s="329" t="str">
        <f>IF('- 7 -'!B11=0,"",E11/'- 7 -'!B11)</f>
        <v/>
      </c>
    </row>
    <row r="12" spans="1:7" ht="14.1" customHeight="1">
      <c r="A12" s="26" t="s">
        <v>236</v>
      </c>
      <c r="B12" s="27">
        <v>2458451</v>
      </c>
      <c r="C12" s="79">
        <f>B12/'- 3 -'!D12*100</f>
        <v>8.2567989889997175</v>
      </c>
      <c r="D12" s="27">
        <f>B12/'- 7 -'!C12</f>
        <v>1123.5037930719311</v>
      </c>
      <c r="E12" s="27">
        <v>1191065</v>
      </c>
      <c r="F12" s="79">
        <f>E12/'- 3 -'!D12*100</f>
        <v>4.0002360379901596</v>
      </c>
      <c r="G12" s="27">
        <f>IF('- 7 -'!B12=0,"",E12/'- 7 -'!B12)</f>
        <v>5597.1099624060143</v>
      </c>
    </row>
    <row r="13" spans="1:7" ht="14.1" customHeight="1">
      <c r="A13" s="328" t="s">
        <v>237</v>
      </c>
      <c r="B13" s="329">
        <v>5711533</v>
      </c>
      <c r="C13" s="335">
        <f>B13/'- 3 -'!D13*100</f>
        <v>6.8100971474448642</v>
      </c>
      <c r="D13" s="329">
        <f>B13/'- 7 -'!C13</f>
        <v>713.89700643709773</v>
      </c>
      <c r="E13" s="329">
        <v>3246375</v>
      </c>
      <c r="F13" s="335">
        <f>E13/'- 3 -'!D13*100</f>
        <v>3.8707872522204321</v>
      </c>
      <c r="G13" s="329">
        <f>IF('- 7 -'!B13=0,"",E13/'- 7 -'!B13)</f>
        <v>8425.5774720996615</v>
      </c>
    </row>
    <row r="14" spans="1:7" ht="14.1" customHeight="1">
      <c r="A14" s="26" t="s">
        <v>636</v>
      </c>
      <c r="B14" s="27">
        <v>5385581</v>
      </c>
      <c r="C14" s="79">
        <f>B14/'- 3 -'!D14*100</f>
        <v>7.3766449496191155</v>
      </c>
      <c r="D14" s="27">
        <f>B14/'- 7 -'!C14</f>
        <v>1035.4895212459141</v>
      </c>
      <c r="E14" s="27">
        <v>0</v>
      </c>
      <c r="F14" s="79">
        <f>E14/'- 3 -'!D14*100</f>
        <v>0</v>
      </c>
      <c r="G14" s="27" t="str">
        <f>IF('- 7 -'!B14=0,"",E14/'- 7 -'!B14)</f>
        <v/>
      </c>
    </row>
    <row r="15" spans="1:7" ht="14.1" customHeight="1">
      <c r="A15" s="328" t="s">
        <v>238</v>
      </c>
      <c r="B15" s="329">
        <v>1500708</v>
      </c>
      <c r="C15" s="335">
        <f>B15/'- 3 -'!D15*100</f>
        <v>7.9088887382809991</v>
      </c>
      <c r="D15" s="329">
        <f>B15/'- 7 -'!C15</f>
        <v>1006.1736506872277</v>
      </c>
      <c r="E15" s="329">
        <v>116978</v>
      </c>
      <c r="F15" s="335">
        <f>E15/'- 3 -'!D15*100</f>
        <v>0.61648634299719518</v>
      </c>
      <c r="G15" s="329">
        <f>IF('- 7 -'!B15=0,"",E15/'- 7 -'!B15)</f>
        <v>5848.9</v>
      </c>
    </row>
    <row r="16" spans="1:7" ht="14.1" customHeight="1">
      <c r="A16" s="26" t="s">
        <v>239</v>
      </c>
      <c r="B16" s="27">
        <v>1044107</v>
      </c>
      <c r="C16" s="79">
        <f>B16/'- 3 -'!D16*100</f>
        <v>8.0101939986779929</v>
      </c>
      <c r="D16" s="27">
        <f>B16/'- 7 -'!C16</f>
        <v>1085.3503118503118</v>
      </c>
      <c r="E16" s="27">
        <v>23210</v>
      </c>
      <c r="F16" s="79">
        <f>E16/'- 3 -'!D16*100</f>
        <v>0.1780627873477682</v>
      </c>
      <c r="G16" s="27">
        <f>IF('- 7 -'!B16=0,"",E16/'- 7 -'!B16)</f>
        <v>4642</v>
      </c>
    </row>
    <row r="17" spans="1:7" ht="14.1" customHeight="1">
      <c r="A17" s="328" t="s">
        <v>240</v>
      </c>
      <c r="B17" s="329">
        <v>976424</v>
      </c>
      <c r="C17" s="335">
        <f>B17/'- 3 -'!D17*100</f>
        <v>5.9521117925907054</v>
      </c>
      <c r="D17" s="329">
        <f>B17/'- 7 -'!C17</f>
        <v>758.70747166627814</v>
      </c>
      <c r="E17" s="329">
        <v>169530</v>
      </c>
      <c r="F17" s="335">
        <f>E17/'- 3 -'!D17*100</f>
        <v>1.0334255530362857</v>
      </c>
      <c r="G17" s="329">
        <f>IF('- 7 -'!B17=0,"",E17/'- 7 -'!B17)</f>
        <v>5159.608695652174</v>
      </c>
    </row>
    <row r="18" spans="1:7" ht="14.1" customHeight="1">
      <c r="A18" s="26" t="s">
        <v>241</v>
      </c>
      <c r="B18" s="27">
        <v>6828051</v>
      </c>
      <c r="C18" s="79">
        <f>B18/'- 3 -'!D18*100</f>
        <v>5.7468602707821548</v>
      </c>
      <c r="D18" s="27">
        <f>B18/'- 7 -'!C18</f>
        <v>1125.6637211909394</v>
      </c>
      <c r="E18" s="27">
        <v>406290</v>
      </c>
      <c r="F18" s="79">
        <f>E18/'- 3 -'!D18*100</f>
        <v>0.3419558318202488</v>
      </c>
      <c r="G18" s="27">
        <f>IF('- 7 -'!B18=0,"",E18/'- 7 -'!B18)</f>
        <v>11509.631728045326</v>
      </c>
    </row>
    <row r="19" spans="1:7" ht="14.1" customHeight="1">
      <c r="A19" s="328" t="s">
        <v>242</v>
      </c>
      <c r="B19" s="329">
        <v>2666088</v>
      </c>
      <c r="C19" s="335">
        <f>B19/'- 3 -'!D19*100</f>
        <v>6.157134493059619</v>
      </c>
      <c r="D19" s="329">
        <f>B19/'- 7 -'!C19</f>
        <v>635.81226748068309</v>
      </c>
      <c r="E19" s="329">
        <v>1808459</v>
      </c>
      <c r="F19" s="335">
        <f>E19/'- 3 -'!D19*100</f>
        <v>4.1765032842817291</v>
      </c>
      <c r="G19" s="329">
        <f>IF('- 7 -'!B19=0,"",E19/'- 7 -'!B19)</f>
        <v>13455.79613095238</v>
      </c>
    </row>
    <row r="20" spans="1:7" ht="14.1" customHeight="1">
      <c r="A20" s="26" t="s">
        <v>243</v>
      </c>
      <c r="B20" s="27">
        <v>5250053</v>
      </c>
      <c r="C20" s="79">
        <f>B20/'- 3 -'!D20*100</f>
        <v>7.4308717929671877</v>
      </c>
      <c r="D20" s="27">
        <f>B20/'- 7 -'!C20</f>
        <v>711.48570266973843</v>
      </c>
      <c r="E20" s="27">
        <v>2915163</v>
      </c>
      <c r="F20" s="79">
        <f>E20/'- 3 -'!D20*100</f>
        <v>4.12609215727948</v>
      </c>
      <c r="G20" s="27">
        <f>IF('- 7 -'!B20=0,"",E20/'- 7 -'!B20)</f>
        <v>7480.5311778290998</v>
      </c>
    </row>
    <row r="21" spans="1:7" ht="14.1" customHeight="1">
      <c r="A21" s="328" t="s">
        <v>244</v>
      </c>
      <c r="B21" s="329">
        <v>2853023</v>
      </c>
      <c r="C21" s="335">
        <f>B21/'- 3 -'!D21*100</f>
        <v>8.2354701988360741</v>
      </c>
      <c r="D21" s="329">
        <f>B21/'- 7 -'!C21</f>
        <v>1055.5024047354791</v>
      </c>
      <c r="E21" s="329">
        <v>0</v>
      </c>
      <c r="F21" s="335">
        <f>E21/'- 3 -'!D21*100</f>
        <v>0</v>
      </c>
      <c r="G21" s="329" t="str">
        <f>IF('- 7 -'!B21=0,"",E21/'- 7 -'!B21)</f>
        <v/>
      </c>
    </row>
    <row r="22" spans="1:7" ht="14.1" customHeight="1">
      <c r="A22" s="26" t="s">
        <v>245</v>
      </c>
      <c r="B22" s="27">
        <v>1342782</v>
      </c>
      <c r="C22" s="79">
        <f>B22/'- 3 -'!D22*100</f>
        <v>6.9683372321879222</v>
      </c>
      <c r="D22" s="27">
        <f>B22/'- 7 -'!C22</f>
        <v>856.25685499298561</v>
      </c>
      <c r="E22" s="27">
        <v>0</v>
      </c>
      <c r="F22" s="79">
        <f>E22/'- 3 -'!D22*100</f>
        <v>0</v>
      </c>
      <c r="G22" s="27" t="str">
        <f>IF('- 7 -'!B22=0,"",E22/'- 7 -'!B22)</f>
        <v/>
      </c>
    </row>
    <row r="23" spans="1:7" ht="14.1" customHeight="1">
      <c r="A23" s="328" t="s">
        <v>246</v>
      </c>
      <c r="B23" s="329">
        <v>1008239</v>
      </c>
      <c r="C23" s="335">
        <f>B23/'- 3 -'!D23*100</f>
        <v>6.2115562389933503</v>
      </c>
      <c r="D23" s="329">
        <f>B23/'- 7 -'!C23</f>
        <v>871.87737806987195</v>
      </c>
      <c r="E23" s="329">
        <v>261149</v>
      </c>
      <c r="F23" s="335">
        <f>E23/'- 3 -'!D23*100</f>
        <v>1.6088860877796578</v>
      </c>
      <c r="G23" s="329">
        <f>IF('- 7 -'!B23=0,"",E23/'- 7 -'!B23)</f>
        <v>10881.208333333334</v>
      </c>
    </row>
    <row r="24" spans="1:7" ht="14.1" customHeight="1">
      <c r="A24" s="26" t="s">
        <v>247</v>
      </c>
      <c r="B24" s="27">
        <v>4158815</v>
      </c>
      <c r="C24" s="79">
        <f>B24/'- 3 -'!D24*100</f>
        <v>7.9623231152214533</v>
      </c>
      <c r="D24" s="27">
        <f>B24/'- 7 -'!C24</f>
        <v>1008.4665001576179</v>
      </c>
      <c r="E24" s="27">
        <v>1762868</v>
      </c>
      <c r="F24" s="79">
        <f>E24/'- 3 -'!D24*100</f>
        <v>3.3751259975459864</v>
      </c>
      <c r="G24" s="27">
        <f>IF('- 7 -'!B24=0,"",E24/'- 7 -'!B24)</f>
        <v>5154.5847953216371</v>
      </c>
    </row>
    <row r="25" spans="1:7" ht="14.1" customHeight="1">
      <c r="A25" s="328" t="s">
        <v>248</v>
      </c>
      <c r="B25" s="329">
        <v>12990666</v>
      </c>
      <c r="C25" s="335">
        <f>B25/'- 3 -'!D25*100</f>
        <v>8.4296896201403477</v>
      </c>
      <c r="D25" s="329">
        <f>B25/'- 7 -'!C25</f>
        <v>939.65034358047012</v>
      </c>
      <c r="E25" s="329">
        <v>1900430</v>
      </c>
      <c r="F25" s="335">
        <f>E25/'- 3 -'!D25*100</f>
        <v>1.2331958226624655</v>
      </c>
      <c r="G25" s="329">
        <f>IF('- 7 -'!B25=0,"",E25/'- 7 -'!B25)</f>
        <v>12340.454545454546</v>
      </c>
    </row>
    <row r="26" spans="1:7" ht="14.1" customHeight="1">
      <c r="A26" s="26" t="s">
        <v>249</v>
      </c>
      <c r="B26" s="27">
        <v>3040292</v>
      </c>
      <c r="C26" s="79">
        <f>B26/'- 3 -'!D26*100</f>
        <v>8.0859098600726735</v>
      </c>
      <c r="D26" s="27">
        <f>B26/'- 7 -'!C26</f>
        <v>975.70346598202821</v>
      </c>
      <c r="E26" s="27">
        <v>894733</v>
      </c>
      <c r="F26" s="79">
        <f>E26/'- 3 -'!D26*100</f>
        <v>2.3796169535138083</v>
      </c>
      <c r="G26" s="27">
        <f>IF('- 7 -'!B26=0,"",E26/'- 7 -'!B26)</f>
        <v>5964.8866666666663</v>
      </c>
    </row>
    <row r="27" spans="1:7" ht="14.1" customHeight="1">
      <c r="A27" s="328" t="s">
        <v>250</v>
      </c>
      <c r="B27" s="329">
        <v>2521958</v>
      </c>
      <c r="C27" s="335">
        <f>B27/'- 3 -'!D27*100</f>
        <v>6.8541739339468943</v>
      </c>
      <c r="D27" s="329">
        <f>B27/'- 7 -'!C27</f>
        <v>908.5845012069027</v>
      </c>
      <c r="E27" s="329">
        <v>845387</v>
      </c>
      <c r="F27" s="335">
        <f>E27/'- 3 -'!D27*100</f>
        <v>2.297591609177299</v>
      </c>
      <c r="G27" s="329">
        <f>IF('- 7 -'!B27=0,"",E27/'- 7 -'!B27)</f>
        <v>6614.9217527386545</v>
      </c>
    </row>
    <row r="28" spans="1:7" ht="14.1" customHeight="1">
      <c r="A28" s="26" t="s">
        <v>251</v>
      </c>
      <c r="B28" s="27">
        <v>1852817</v>
      </c>
      <c r="C28" s="79">
        <f>B28/'- 3 -'!D28*100</f>
        <v>6.8641016298572346</v>
      </c>
      <c r="D28" s="27">
        <f>B28/'- 7 -'!C28</f>
        <v>922.48792631316905</v>
      </c>
      <c r="E28" s="27">
        <v>0</v>
      </c>
      <c r="F28" s="79">
        <f>E28/'- 3 -'!D28*100</f>
        <v>0</v>
      </c>
      <c r="G28" s="27" t="str">
        <f>IF('- 7 -'!B28=0,"",E28/'- 7 -'!B28)</f>
        <v/>
      </c>
    </row>
    <row r="29" spans="1:7" ht="14.1" customHeight="1">
      <c r="A29" s="328" t="s">
        <v>252</v>
      </c>
      <c r="B29" s="329">
        <v>11046487</v>
      </c>
      <c r="C29" s="335">
        <f>B29/'- 3 -'!D29*100</f>
        <v>7.8467823533716023</v>
      </c>
      <c r="D29" s="329">
        <f>B29/'- 7 -'!C29</f>
        <v>905.24941201537354</v>
      </c>
      <c r="E29" s="329">
        <v>0</v>
      </c>
      <c r="F29" s="335">
        <f>E29/'- 3 -'!D29*100</f>
        <v>0</v>
      </c>
      <c r="G29" s="329" t="str">
        <f>IF('- 7 -'!B29=0,"",E29/'- 7 -'!B29)</f>
        <v/>
      </c>
    </row>
    <row r="30" spans="1:7" ht="14.1" customHeight="1">
      <c r="A30" s="26" t="s">
        <v>253</v>
      </c>
      <c r="B30" s="27">
        <v>897615</v>
      </c>
      <c r="C30" s="79">
        <f>B30/'- 3 -'!D30*100</f>
        <v>6.6723190135836958</v>
      </c>
      <c r="D30" s="27">
        <f>B30/'- 7 -'!C30</f>
        <v>847.17424542726076</v>
      </c>
      <c r="E30" s="27">
        <v>115289</v>
      </c>
      <c r="F30" s="79">
        <f>E30/'- 3 -'!D30*100</f>
        <v>0.85698766927585956</v>
      </c>
      <c r="G30" s="27">
        <f>IF('- 7 -'!B30=0,"",E30/'- 7 -'!B30)</f>
        <v>4982.2385479688846</v>
      </c>
    </row>
    <row r="31" spans="1:7" ht="14.1" customHeight="1">
      <c r="A31" s="328" t="s">
        <v>254</v>
      </c>
      <c r="B31" s="329">
        <v>2711827</v>
      </c>
      <c r="C31" s="335">
        <f>B31/'- 3 -'!D31*100</f>
        <v>8.0445448217711135</v>
      </c>
      <c r="D31" s="329">
        <f>B31/'- 7 -'!C31</f>
        <v>852.3737230865944</v>
      </c>
      <c r="E31" s="329">
        <v>811780</v>
      </c>
      <c r="F31" s="335">
        <f>E31/'- 3 -'!D31*100</f>
        <v>2.4081184365438335</v>
      </c>
      <c r="G31" s="329">
        <f>IF('- 7 -'!B31=0,"",E31/'- 7 -'!B31)</f>
        <v>9439.3023255813951</v>
      </c>
    </row>
    <row r="32" spans="1:7" ht="14.1" customHeight="1">
      <c r="A32" s="26" t="s">
        <v>255</v>
      </c>
      <c r="B32" s="27">
        <v>2003289</v>
      </c>
      <c r="C32" s="79">
        <f>B32/'- 3 -'!D32*100</f>
        <v>7.6968540890832857</v>
      </c>
      <c r="D32" s="27">
        <f>B32/'- 7 -'!C32</f>
        <v>990.74629080118689</v>
      </c>
      <c r="E32" s="27">
        <v>692906</v>
      </c>
      <c r="F32" s="79">
        <f>E32/'- 3 -'!D32*100</f>
        <v>2.662220168657814</v>
      </c>
      <c r="G32" s="27">
        <f>IF('- 7 -'!B32=0,"",E32/'- 7 -'!B32)</f>
        <v>6386.2304147465438</v>
      </c>
    </row>
    <row r="33" spans="1:7" ht="14.1" customHeight="1">
      <c r="A33" s="328" t="s">
        <v>256</v>
      </c>
      <c r="B33" s="329">
        <v>2162697</v>
      </c>
      <c r="C33" s="335">
        <f>B33/'- 3 -'!D33*100</f>
        <v>8.2606793979928437</v>
      </c>
      <c r="D33" s="329">
        <f>B33/'- 7 -'!C33</f>
        <v>1081.4566456645664</v>
      </c>
      <c r="E33" s="329">
        <v>215532</v>
      </c>
      <c r="F33" s="335">
        <f>E33/'- 3 -'!D33*100</f>
        <v>0.8232502065745656</v>
      </c>
      <c r="G33" s="329">
        <f>IF('- 7 -'!B33=0,"",E33/'- 7 -'!B33)</f>
        <v>3628.4848484848485</v>
      </c>
    </row>
    <row r="34" spans="1:7" ht="14.1" customHeight="1">
      <c r="A34" s="26" t="s">
        <v>257</v>
      </c>
      <c r="B34" s="27">
        <v>2175790</v>
      </c>
      <c r="C34" s="79">
        <f>B34/'- 3 -'!D34*100</f>
        <v>8.6255681838679248</v>
      </c>
      <c r="D34" s="27">
        <f>B34/'- 7 -'!C34</f>
        <v>1104.4619289340101</v>
      </c>
      <c r="E34" s="27">
        <v>413494</v>
      </c>
      <c r="F34" s="79">
        <f>E34/'- 3 -'!D34*100</f>
        <v>1.6392302063251893</v>
      </c>
      <c r="G34" s="27">
        <f>IF('- 7 -'!B34=0,"",E34/'- 7 -'!B34)</f>
        <v>18542.331838565024</v>
      </c>
    </row>
    <row r="35" spans="1:7" ht="14.1" customHeight="1">
      <c r="A35" s="328" t="s">
        <v>258</v>
      </c>
      <c r="B35" s="329">
        <v>11593109</v>
      </c>
      <c r="C35" s="335">
        <f>B35/'- 3 -'!D35*100</f>
        <v>6.7671522215689919</v>
      </c>
      <c r="D35" s="329">
        <f>B35/'- 7 -'!C35</f>
        <v>744.89086645034854</v>
      </c>
      <c r="E35" s="329">
        <v>3860524</v>
      </c>
      <c r="F35" s="335">
        <f>E35/'- 3 -'!D35*100</f>
        <v>2.2534726071341526</v>
      </c>
      <c r="G35" s="329">
        <f>IF('- 7 -'!B35=0,"",E35/'- 7 -'!B35)</f>
        <v>4406.9908675799088</v>
      </c>
    </row>
    <row r="36" spans="1:7" ht="14.1" customHeight="1">
      <c r="A36" s="26" t="s">
        <v>259</v>
      </c>
      <c r="B36" s="27">
        <v>1631628</v>
      </c>
      <c r="C36" s="79">
        <f>B36/'- 3 -'!D36*100</f>
        <v>7.6269239819638219</v>
      </c>
      <c r="D36" s="27">
        <f>B36/'- 7 -'!C36</f>
        <v>1002.5364055299539</v>
      </c>
      <c r="E36" s="27">
        <v>121352</v>
      </c>
      <c r="F36" s="79">
        <f>E36/'- 3 -'!D36*100</f>
        <v>0.56725091691198826</v>
      </c>
      <c r="G36" s="27">
        <f>IF('- 7 -'!B36=0,"",E36/'- 7 -'!B36)</f>
        <v>8730.3597122302162</v>
      </c>
    </row>
    <row r="37" spans="1:7" ht="14.1" customHeight="1">
      <c r="A37" s="328" t="s">
        <v>260</v>
      </c>
      <c r="B37" s="329">
        <v>3523628</v>
      </c>
      <c r="C37" s="335">
        <f>B37/'- 3 -'!D37*100</f>
        <v>8.3169147012478497</v>
      </c>
      <c r="D37" s="329">
        <f>B37/'- 7 -'!C37</f>
        <v>900.37766704995533</v>
      </c>
      <c r="E37" s="329">
        <v>0</v>
      </c>
      <c r="F37" s="335">
        <f>E37/'- 3 -'!D37*100</f>
        <v>0</v>
      </c>
      <c r="G37" s="329" t="str">
        <f>IF('- 7 -'!B37=0,"",E37/'- 7 -'!B37)</f>
        <v/>
      </c>
    </row>
    <row r="38" spans="1:7" ht="14.1" customHeight="1">
      <c r="A38" s="26" t="s">
        <v>261</v>
      </c>
      <c r="B38" s="27">
        <v>8936470</v>
      </c>
      <c r="C38" s="79">
        <f>B38/'- 3 -'!D38*100</f>
        <v>7.7687375423987239</v>
      </c>
      <c r="D38" s="27">
        <f>B38/'- 7 -'!C38</f>
        <v>855.01731759122822</v>
      </c>
      <c r="E38" s="27">
        <v>822118</v>
      </c>
      <c r="F38" s="79">
        <f>E38/'- 3 -'!D38*100</f>
        <v>0.71469148006782923</v>
      </c>
      <c r="G38" s="27">
        <f>IF('- 7 -'!B38=0,"",E38/'- 7 -'!B38)</f>
        <v>4876.1447212336898</v>
      </c>
    </row>
    <row r="39" spans="1:7" ht="14.1" customHeight="1">
      <c r="A39" s="328" t="s">
        <v>262</v>
      </c>
      <c r="B39" s="329">
        <v>1296071</v>
      </c>
      <c r="C39" s="335">
        <f>B39/'- 3 -'!D39*100</f>
        <v>6.4017773442545485</v>
      </c>
      <c r="D39" s="329">
        <f>B39/'- 7 -'!C39</f>
        <v>833.21825779492121</v>
      </c>
      <c r="E39" s="329">
        <v>142900</v>
      </c>
      <c r="F39" s="335">
        <f>E39/'- 3 -'!D39*100</f>
        <v>0.70583631799027613</v>
      </c>
      <c r="G39" s="329">
        <f>IF('- 7 -'!B39=0,"",E39/'- 7 -'!B39)</f>
        <v>5292.5925925925922</v>
      </c>
    </row>
    <row r="40" spans="1:7" ht="14.1" customHeight="1">
      <c r="A40" s="26" t="s">
        <v>263</v>
      </c>
      <c r="B40" s="27">
        <v>7674321</v>
      </c>
      <c r="C40" s="79">
        <f>B40/'- 3 -'!D40*100</f>
        <v>8.0652704684723542</v>
      </c>
      <c r="D40" s="27">
        <f>B40/'- 7 -'!C40</f>
        <v>966.09505705815343</v>
      </c>
      <c r="E40" s="27">
        <v>1703165</v>
      </c>
      <c r="F40" s="79">
        <f>E40/'- 3 -'!D40*100</f>
        <v>1.7899285653331047</v>
      </c>
      <c r="G40" s="27">
        <f>IF('- 7 -'!B40=0,"",E40/'- 7 -'!B40)</f>
        <v>6351.5383181055386</v>
      </c>
    </row>
    <row r="41" spans="1:7" ht="14.1" customHeight="1">
      <c r="A41" s="328" t="s">
        <v>264</v>
      </c>
      <c r="B41" s="329">
        <v>3775688</v>
      </c>
      <c r="C41" s="335">
        <f>B41/'- 3 -'!D41*100</f>
        <v>6.4424165535738025</v>
      </c>
      <c r="D41" s="329">
        <f>B41/'- 7 -'!C41</f>
        <v>856.74790106648516</v>
      </c>
      <c r="E41" s="329">
        <v>0</v>
      </c>
      <c r="F41" s="335">
        <f>E41/'- 3 -'!D41*100</f>
        <v>0</v>
      </c>
      <c r="G41" s="329" t="str">
        <f>IF('- 7 -'!B41=0,"",E41/'- 7 -'!B41)</f>
        <v/>
      </c>
    </row>
    <row r="42" spans="1:7" ht="14.1" customHeight="1">
      <c r="A42" s="26" t="s">
        <v>265</v>
      </c>
      <c r="B42" s="27">
        <v>1444737</v>
      </c>
      <c r="C42" s="79">
        <f>B42/'- 3 -'!D42*100</f>
        <v>7.1709701229804521</v>
      </c>
      <c r="D42" s="27">
        <f>B42/'- 7 -'!C42</f>
        <v>995.47784744711646</v>
      </c>
      <c r="E42" s="27">
        <v>1228725</v>
      </c>
      <c r="F42" s="79">
        <f>E42/'- 3 -'!D42*100</f>
        <v>6.0987918661729825</v>
      </c>
      <c r="G42" s="27">
        <f>IF('- 7 -'!B42=0,"",E42/'- 7 -'!B42)</f>
        <v>7370.8758248350332</v>
      </c>
    </row>
    <row r="43" spans="1:7" ht="14.1" customHeight="1">
      <c r="A43" s="328" t="s">
        <v>266</v>
      </c>
      <c r="B43" s="329">
        <v>650878</v>
      </c>
      <c r="C43" s="335">
        <f>B43/'- 3 -'!D43*100</f>
        <v>5.2753708608133598</v>
      </c>
      <c r="D43" s="329">
        <f>B43/'- 7 -'!C43</f>
        <v>664.97548017981205</v>
      </c>
      <c r="E43" s="329">
        <v>148193</v>
      </c>
      <c r="F43" s="335">
        <f>E43/'- 3 -'!D43*100</f>
        <v>1.2011053284586579</v>
      </c>
      <c r="G43" s="329">
        <f>IF('- 7 -'!B43=0,"",E43/'- 7 -'!B43)</f>
        <v>3799.8205128205127</v>
      </c>
    </row>
    <row r="44" spans="1:7" ht="14.1" customHeight="1">
      <c r="A44" s="26" t="s">
        <v>267</v>
      </c>
      <c r="B44" s="27">
        <v>631282</v>
      </c>
      <c r="C44" s="79">
        <f>B44/'- 3 -'!D44*100</f>
        <v>6.1380309747506114</v>
      </c>
      <c r="D44" s="27">
        <f>B44/'- 7 -'!C44</f>
        <v>899.90306486101213</v>
      </c>
      <c r="E44" s="27">
        <v>0</v>
      </c>
      <c r="F44" s="79">
        <f>E44/'- 3 -'!D44*100</f>
        <v>0</v>
      </c>
      <c r="G44" s="27" t="str">
        <f>IF('- 7 -'!B44=0,"",E44/'- 7 -'!B44)</f>
        <v/>
      </c>
    </row>
    <row r="45" spans="1:7" ht="14.1" customHeight="1">
      <c r="A45" s="328" t="s">
        <v>268</v>
      </c>
      <c r="B45" s="329">
        <v>1077091</v>
      </c>
      <c r="C45" s="335">
        <f>B45/'- 3 -'!D45*100</f>
        <v>6.3801568651470228</v>
      </c>
      <c r="D45" s="329">
        <f>B45/'- 7 -'!C45</f>
        <v>665.89860896445134</v>
      </c>
      <c r="E45" s="329">
        <v>307973</v>
      </c>
      <c r="F45" s="335">
        <f>E45/'- 3 -'!D45*100</f>
        <v>1.8242804463410465</v>
      </c>
      <c r="G45" s="329">
        <f>IF('- 7 -'!B45=0,"",E45/'- 7 -'!B45)</f>
        <v>5024.0293637846662</v>
      </c>
    </row>
    <row r="46" spans="1:7" ht="14.1" customHeight="1">
      <c r="A46" s="26" t="s">
        <v>269</v>
      </c>
      <c r="B46" s="27">
        <v>27546450</v>
      </c>
      <c r="C46" s="79">
        <f>B46/'- 3 -'!D46*100</f>
        <v>7.7366827621266694</v>
      </c>
      <c r="D46" s="27">
        <f>B46/'- 7 -'!C46</f>
        <v>922.87861325900224</v>
      </c>
      <c r="E46" s="27">
        <v>5032006</v>
      </c>
      <c r="F46" s="79">
        <f>E46/'- 3 -'!D46*100</f>
        <v>1.4132867966332494</v>
      </c>
      <c r="G46" s="27">
        <f>IF('- 7 -'!B46=0,"",E46/'- 7 -'!B46)</f>
        <v>7603.5146569960716</v>
      </c>
    </row>
    <row r="47" spans="1:7" ht="5.0999999999999996" customHeight="1">
      <c r="A47" s="28"/>
      <c r="B47" s="29"/>
      <c r="C47"/>
      <c r="D47" s="29"/>
      <c r="E47" s="29"/>
      <c r="F47"/>
      <c r="G47" s="29"/>
    </row>
    <row r="48" spans="1:7" ht="14.1" customHeight="1">
      <c r="A48" s="330" t="s">
        <v>270</v>
      </c>
      <c r="B48" s="331">
        <f>SUM(B11:B46)</f>
        <v>153446119</v>
      </c>
      <c r="C48" s="338">
        <f>B48/'- 3 -'!D48*100</f>
        <v>7.4216472900869581</v>
      </c>
      <c r="D48" s="331">
        <f>B48/'- 7 -'!C48</f>
        <v>892.00751844789056</v>
      </c>
      <c r="E48" s="331">
        <f>SUM(E11:E46)</f>
        <v>31157594</v>
      </c>
      <c r="F48" s="338">
        <f>E48/'- 3 -'!D48*100</f>
        <v>1.5069828717905185</v>
      </c>
      <c r="G48" s="331">
        <f>E48/'- 7 -'!B48</f>
        <v>6780.8383929801148</v>
      </c>
    </row>
    <row r="49" spans="1:7" ht="5.0999999999999996" customHeight="1">
      <c r="A49" s="28" t="s">
        <v>16</v>
      </c>
      <c r="B49" s="29"/>
      <c r="C49"/>
      <c r="D49" s="29"/>
      <c r="E49" s="29"/>
      <c r="F49"/>
    </row>
    <row r="50" spans="1:7" ht="14.1" customHeight="1">
      <c r="A50" s="26" t="s">
        <v>271</v>
      </c>
      <c r="B50" s="27">
        <v>158222</v>
      </c>
      <c r="C50" s="79">
        <f>B50/'- 3 -'!D50*100</f>
        <v>4.9695305231855098</v>
      </c>
      <c r="D50" s="27">
        <f>B50/'- 7 -'!C50</f>
        <v>896.44192634560909</v>
      </c>
      <c r="E50" s="27">
        <v>0</v>
      </c>
      <c r="F50" s="79">
        <f>E50/'- 3 -'!D50*100</f>
        <v>0</v>
      </c>
      <c r="G50" s="27" t="str">
        <f>IF('- 7 -'!B50=0,"",E50/'- 7 -'!B50)</f>
        <v/>
      </c>
    </row>
    <row r="51" spans="1:7" ht="14.1" customHeight="1">
      <c r="A51" s="328" t="s">
        <v>272</v>
      </c>
      <c r="B51" s="329">
        <v>547904</v>
      </c>
      <c r="C51" s="335">
        <f>B51/'- 3 -'!D51*100</f>
        <v>2.7827720697253269</v>
      </c>
      <c r="D51" s="329">
        <f>B51/'- 7 -'!C51</f>
        <v>757.9250242080509</v>
      </c>
      <c r="E51" s="329">
        <v>3945250</v>
      </c>
      <c r="F51" s="335">
        <f>E51/'- 3 -'!D51*100</f>
        <v>20.037691836679137</v>
      </c>
      <c r="G51" s="329">
        <f>IF('- 7 -'!B51=0,"",E51/'- 7 -'!B51)</f>
        <v>6032.4923547400613</v>
      </c>
    </row>
    <row r="52" spans="1:7" ht="50.1" customHeight="1">
      <c r="B52" s="96"/>
      <c r="C52" s="96"/>
      <c r="D52" s="96"/>
      <c r="E52" s="96"/>
      <c r="F52" s="96"/>
      <c r="G52" s="96"/>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sheetPr codeName="Sheet14">
    <pageSetUpPr fitToPage="1"/>
  </sheetPr>
  <dimension ref="A1:J53"/>
  <sheetViews>
    <sheetView showGridLines="0" showZeros="0" workbookViewId="0"/>
  </sheetViews>
  <sheetFormatPr defaultColWidth="15.83203125" defaultRowHeight="12"/>
  <cols>
    <col min="1" max="1" width="32.83203125" style="1" customWidth="1"/>
    <col min="2" max="2" width="16.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6"/>
      <c r="C1" s="6"/>
      <c r="D1" s="6"/>
      <c r="E1" s="6"/>
      <c r="F1" s="6"/>
      <c r="G1" s="6"/>
      <c r="H1" s="100"/>
      <c r="I1" s="100"/>
      <c r="J1" s="100"/>
    </row>
    <row r="2" spans="1:10" ht="15.95" customHeight="1">
      <c r="A2" s="152"/>
      <c r="B2" s="101" t="s">
        <v>478</v>
      </c>
      <c r="C2" s="102"/>
      <c r="D2" s="102"/>
      <c r="E2" s="190"/>
      <c r="F2" s="190"/>
      <c r="G2" s="190"/>
      <c r="H2" s="190"/>
      <c r="I2" s="71"/>
      <c r="J2" s="153" t="s">
        <v>452</v>
      </c>
    </row>
    <row r="3" spans="1:10" ht="15.95" customHeight="1">
      <c r="A3" s="697"/>
      <c r="B3" s="83" t="str">
        <f>OPYEAR</f>
        <v>OPERATING FUND 2013/2014 ACTUAL</v>
      </c>
      <c r="C3" s="105"/>
      <c r="D3" s="105"/>
      <c r="E3" s="36"/>
      <c r="F3" s="36"/>
      <c r="G3" s="36"/>
      <c r="H3" s="36"/>
      <c r="I3" s="73"/>
      <c r="J3" s="209"/>
    </row>
    <row r="4" spans="1:10" ht="15.95" customHeight="1">
      <c r="H4" s="100"/>
      <c r="I4" s="100"/>
      <c r="J4" s="100"/>
    </row>
    <row r="5" spans="1:10" ht="15.95" customHeight="1">
      <c r="B5" s="211" t="s">
        <v>22</v>
      </c>
      <c r="C5" s="46"/>
      <c r="D5" s="46"/>
      <c r="E5" s="46"/>
      <c r="F5" s="46"/>
      <c r="G5" s="46"/>
      <c r="H5" s="46"/>
      <c r="I5" s="227"/>
      <c r="J5" s="228"/>
    </row>
    <row r="6" spans="1:10" ht="15.95" customHeight="1">
      <c r="B6" s="377" t="s">
        <v>403</v>
      </c>
      <c r="C6" s="378"/>
      <c r="D6" s="378"/>
      <c r="E6" s="378"/>
      <c r="F6" s="378"/>
      <c r="G6" s="379"/>
      <c r="H6" s="380"/>
      <c r="I6" s="378"/>
      <c r="J6" s="379"/>
    </row>
    <row r="7" spans="1:10" ht="15.95" customHeight="1">
      <c r="B7" s="341" t="s">
        <v>44</v>
      </c>
      <c r="C7" s="333"/>
      <c r="D7" s="334"/>
      <c r="E7" s="341" t="s">
        <v>45</v>
      </c>
      <c r="F7" s="333"/>
      <c r="G7" s="334"/>
      <c r="H7" s="341" t="s">
        <v>46</v>
      </c>
      <c r="I7" s="333"/>
      <c r="J7" s="334"/>
    </row>
    <row r="8" spans="1:10" ht="15.95" customHeight="1">
      <c r="A8" s="75"/>
      <c r="B8" s="229"/>
      <c r="C8" s="214"/>
      <c r="D8" s="200" t="s">
        <v>73</v>
      </c>
      <c r="E8" s="229"/>
      <c r="F8" s="214"/>
      <c r="G8" s="200" t="s">
        <v>73</v>
      </c>
      <c r="H8" s="201"/>
      <c r="I8" s="199"/>
      <c r="J8" s="200" t="s">
        <v>73</v>
      </c>
    </row>
    <row r="9" spans="1:10" ht="15.95" customHeight="1">
      <c r="A9" s="42" t="s">
        <v>93</v>
      </c>
      <c r="B9" s="112" t="s">
        <v>94</v>
      </c>
      <c r="C9" s="112" t="s">
        <v>95</v>
      </c>
      <c r="D9" s="112" t="s">
        <v>96</v>
      </c>
      <c r="E9" s="112" t="s">
        <v>94</v>
      </c>
      <c r="F9" s="112" t="s">
        <v>95</v>
      </c>
      <c r="G9" s="112" t="s">
        <v>96</v>
      </c>
      <c r="H9" s="202" t="s">
        <v>94</v>
      </c>
      <c r="I9" s="112" t="s">
        <v>95</v>
      </c>
      <c r="J9" s="112" t="s">
        <v>96</v>
      </c>
    </row>
    <row r="10" spans="1:10" ht="5.0999999999999996" customHeight="1">
      <c r="A10" s="5"/>
      <c r="B10" s="96"/>
      <c r="C10" s="96"/>
      <c r="D10" s="96"/>
      <c r="E10" s="96"/>
      <c r="F10" s="96"/>
      <c r="G10" s="96"/>
      <c r="H10" s="96"/>
      <c r="I10" s="96"/>
      <c r="J10" s="96"/>
    </row>
    <row r="11" spans="1:10" ht="14.1" customHeight="1">
      <c r="A11" s="328" t="s">
        <v>235</v>
      </c>
      <c r="B11" s="329">
        <v>9158595</v>
      </c>
      <c r="C11" s="335">
        <f>B11/'- 3 -'!D11*100</f>
        <v>54.970005840558812</v>
      </c>
      <c r="D11" s="329">
        <f>B11/'- 6 -'!B11</f>
        <v>6175.7215104517873</v>
      </c>
      <c r="E11" s="329">
        <v>0</v>
      </c>
      <c r="F11" s="335">
        <f>E11/'- 3 -'!D11*100</f>
        <v>0</v>
      </c>
      <c r="G11" s="329" t="str">
        <f>IF('- 6 -'!C11=0,"",E11/'- 6 -'!C11)</f>
        <v/>
      </c>
      <c r="H11" s="329">
        <v>0</v>
      </c>
      <c r="I11" s="335">
        <f>H11/'- 3 -'!D11*100</f>
        <v>0</v>
      </c>
      <c r="J11" s="329" t="str">
        <f>IF('- 6 -'!D11=0,"",H11/'- 6 -'!D11)</f>
        <v/>
      </c>
    </row>
    <row r="12" spans="1:10" ht="14.1" customHeight="1">
      <c r="A12" s="26" t="s">
        <v>236</v>
      </c>
      <c r="B12" s="27">
        <v>13413920</v>
      </c>
      <c r="C12" s="79">
        <f>B12/'- 3 -'!D12*100</f>
        <v>45.051148505511428</v>
      </c>
      <c r="D12" s="27">
        <f>B12/'- 6 -'!B12</f>
        <v>6790.4829401640172</v>
      </c>
      <c r="E12" s="27">
        <v>0</v>
      </c>
      <c r="F12" s="79">
        <f>E12/'- 3 -'!D12*100</f>
        <v>0</v>
      </c>
      <c r="G12" s="27" t="str">
        <f>IF('- 6 -'!C12=0,"",E12/'- 6 -'!C12)</f>
        <v/>
      </c>
      <c r="H12" s="27">
        <v>0</v>
      </c>
      <c r="I12" s="79">
        <f>H12/'- 3 -'!D12*100</f>
        <v>0</v>
      </c>
      <c r="J12" s="27" t="str">
        <f>IF('- 6 -'!D12=0,"",H12/'- 6 -'!D12)</f>
        <v/>
      </c>
    </row>
    <row r="13" spans="1:10" ht="14.1" customHeight="1">
      <c r="A13" s="328" t="s">
        <v>237</v>
      </c>
      <c r="B13" s="329">
        <v>33196195</v>
      </c>
      <c r="C13" s="335">
        <f>B13/'- 3 -'!D13*100</f>
        <v>39.581197005344002</v>
      </c>
      <c r="D13" s="329">
        <f>B13/'- 6 -'!B13</f>
        <v>5680.1948940830225</v>
      </c>
      <c r="E13" s="329">
        <v>0</v>
      </c>
      <c r="F13" s="335">
        <f>E13/'- 3 -'!D13*100</f>
        <v>0</v>
      </c>
      <c r="G13" s="329" t="str">
        <f>IF('- 6 -'!C13=0,"",E13/'- 6 -'!C13)</f>
        <v/>
      </c>
      <c r="H13" s="329">
        <v>1577656</v>
      </c>
      <c r="I13" s="335">
        <f>H13/'- 3 -'!D13*100</f>
        <v>1.8811045345005051</v>
      </c>
      <c r="J13" s="329">
        <f>IF('- 6 -'!D13=0,"",H13/'- 6 -'!D13)</f>
        <v>5032.3955342902709</v>
      </c>
    </row>
    <row r="14" spans="1:10" ht="14.1" customHeight="1">
      <c r="A14" s="26" t="s">
        <v>636</v>
      </c>
      <c r="B14" s="27">
        <v>0</v>
      </c>
      <c r="C14" s="79">
        <f>B14/'- 3 -'!D14*100</f>
        <v>0</v>
      </c>
      <c r="D14" s="27"/>
      <c r="E14" s="27">
        <v>35770184</v>
      </c>
      <c r="F14" s="79">
        <f>E14/'- 3 -'!D14*100</f>
        <v>48.994518353831552</v>
      </c>
      <c r="G14" s="27">
        <f>IF('- 6 -'!C14=0,"",E14/'- 6 -'!C14)</f>
        <v>6877.5589309748129</v>
      </c>
      <c r="H14" s="27">
        <v>0</v>
      </c>
      <c r="I14" s="79">
        <f>H14/'- 3 -'!D14*100</f>
        <v>0</v>
      </c>
      <c r="J14" s="27" t="str">
        <f>IF('- 6 -'!D14=0,"",H14/'- 6 -'!D14)</f>
        <v/>
      </c>
    </row>
    <row r="15" spans="1:10" ht="14.1" customHeight="1">
      <c r="A15" s="328" t="s">
        <v>238</v>
      </c>
      <c r="B15" s="329">
        <v>8350738</v>
      </c>
      <c r="C15" s="335">
        <f>B15/'- 3 -'!D15*100</f>
        <v>44.009266109419812</v>
      </c>
      <c r="D15" s="329">
        <f>B15/'- 6 -'!B15</f>
        <v>5674.9833503228001</v>
      </c>
      <c r="E15" s="329">
        <v>0</v>
      </c>
      <c r="F15" s="335">
        <f>E15/'- 3 -'!D15*100</f>
        <v>0</v>
      </c>
      <c r="G15" s="329" t="str">
        <f>IF('- 6 -'!C15=0,"",E15/'- 6 -'!C15)</f>
        <v/>
      </c>
      <c r="H15" s="329">
        <v>0</v>
      </c>
      <c r="I15" s="335">
        <f>H15/'- 3 -'!D15*100</f>
        <v>0</v>
      </c>
      <c r="J15" s="329" t="str">
        <f>IF('- 6 -'!D15=0,"",H15/'- 6 -'!D15)</f>
        <v/>
      </c>
    </row>
    <row r="16" spans="1:10" ht="14.1" customHeight="1">
      <c r="A16" s="26" t="s">
        <v>239</v>
      </c>
      <c r="B16" s="27">
        <v>3781958</v>
      </c>
      <c r="C16" s="79">
        <f>B16/'- 3 -'!D16*100</f>
        <v>29.014475791132732</v>
      </c>
      <c r="D16" s="27">
        <f>B16/'- 6 -'!B16</f>
        <v>6611.8146853146854</v>
      </c>
      <c r="E16" s="27">
        <v>0</v>
      </c>
      <c r="F16" s="79">
        <f>E16/'- 3 -'!D16*100</f>
        <v>0</v>
      </c>
      <c r="G16" s="27" t="str">
        <f>IF('- 6 -'!C16=0,"",E16/'- 6 -'!C16)</f>
        <v/>
      </c>
      <c r="H16" s="27">
        <v>0</v>
      </c>
      <c r="I16" s="79">
        <f>H16/'- 3 -'!D16*100</f>
        <v>0</v>
      </c>
      <c r="J16" s="27" t="str">
        <f>IF('- 6 -'!D16=0,"",H16/'- 6 -'!D16)</f>
        <v/>
      </c>
    </row>
    <row r="17" spans="1:10" ht="14.1" customHeight="1">
      <c r="A17" s="328" t="s">
        <v>240</v>
      </c>
      <c r="B17" s="329">
        <v>8314699</v>
      </c>
      <c r="C17" s="335">
        <f>B17/'- 3 -'!D17*100</f>
        <v>50.6849667457397</v>
      </c>
      <c r="D17" s="329">
        <f>B17/'- 6 -'!B17</f>
        <v>6630.0127581532579</v>
      </c>
      <c r="E17" s="329">
        <v>0</v>
      </c>
      <c r="F17" s="335">
        <f>E17/'- 3 -'!D17*100</f>
        <v>0</v>
      </c>
      <c r="G17" s="329" t="str">
        <f>IF('- 6 -'!C17=0,"",E17/'- 6 -'!C17)</f>
        <v/>
      </c>
      <c r="H17" s="329">
        <v>0</v>
      </c>
      <c r="I17" s="335">
        <f>H17/'- 3 -'!D17*100</f>
        <v>0</v>
      </c>
      <c r="J17" s="329" t="str">
        <f>IF('- 6 -'!D17=0,"",H17/'- 6 -'!D17)</f>
        <v/>
      </c>
    </row>
    <row r="18" spans="1:10" ht="14.1" customHeight="1">
      <c r="A18" s="26" t="s">
        <v>241</v>
      </c>
      <c r="B18" s="27">
        <v>44140369</v>
      </c>
      <c r="C18" s="79">
        <f>B18/'- 3 -'!D18*100</f>
        <v>37.150942918230143</v>
      </c>
      <c r="D18" s="27">
        <f>B18/'- 6 -'!B18</f>
        <v>7319.5206035983747</v>
      </c>
      <c r="E18" s="27">
        <v>0</v>
      </c>
      <c r="F18" s="79">
        <f>E18/'- 3 -'!D18*100</f>
        <v>0</v>
      </c>
      <c r="G18" s="27" t="str">
        <f>IF('- 6 -'!C18=0,"",E18/'- 6 -'!C18)</f>
        <v/>
      </c>
      <c r="H18" s="27">
        <v>0</v>
      </c>
      <c r="I18" s="79">
        <f>H18/'- 3 -'!D18*100</f>
        <v>0</v>
      </c>
      <c r="J18" s="27" t="str">
        <f>IF('- 6 -'!D18=0,"",H18/'- 6 -'!D18)</f>
        <v/>
      </c>
    </row>
    <row r="19" spans="1:10" ht="14.1" customHeight="1">
      <c r="A19" s="328" t="s">
        <v>242</v>
      </c>
      <c r="B19" s="329">
        <v>21852195</v>
      </c>
      <c r="C19" s="335">
        <f>B19/'- 3 -'!D19*100</f>
        <v>50.466039974511325</v>
      </c>
      <c r="D19" s="329">
        <f>B19/'- 6 -'!B19</f>
        <v>5383.9053414802402</v>
      </c>
      <c r="E19" s="329">
        <v>0</v>
      </c>
      <c r="F19" s="335">
        <f>E19/'- 3 -'!D19*100</f>
        <v>0</v>
      </c>
      <c r="G19" s="329" t="str">
        <f>IF('- 6 -'!C19=0,"",E19/'- 6 -'!C19)</f>
        <v/>
      </c>
      <c r="H19" s="329">
        <v>0</v>
      </c>
      <c r="I19" s="335">
        <f>H19/'- 3 -'!D19*100</f>
        <v>0</v>
      </c>
      <c r="J19" s="329" t="str">
        <f>IF('- 6 -'!D19=0,"",H19/'- 6 -'!D19)</f>
        <v/>
      </c>
    </row>
    <row r="20" spans="1:10" ht="14.1" customHeight="1">
      <c r="A20" s="26" t="s">
        <v>243</v>
      </c>
      <c r="B20" s="27">
        <v>35572469</v>
      </c>
      <c r="C20" s="79">
        <f>B20/'- 3 -'!D20*100</f>
        <v>50.348912001135936</v>
      </c>
      <c r="D20" s="27">
        <f>B20/'- 6 -'!B20</f>
        <v>5089.5610433090578</v>
      </c>
      <c r="E20" s="27">
        <v>0</v>
      </c>
      <c r="F20" s="79">
        <f>E20/'- 3 -'!D20*100</f>
        <v>0</v>
      </c>
      <c r="G20" s="27" t="str">
        <f>IF('- 6 -'!C20=0,"",E20/'- 6 -'!C20)</f>
        <v/>
      </c>
      <c r="H20" s="27">
        <v>0</v>
      </c>
      <c r="I20" s="79">
        <f>H20/'- 3 -'!D20*100</f>
        <v>0</v>
      </c>
      <c r="J20" s="27" t="str">
        <f>IF('- 6 -'!D20=0,"",H20/'- 6 -'!D20)</f>
        <v/>
      </c>
    </row>
    <row r="21" spans="1:10" ht="14.1" customHeight="1">
      <c r="A21" s="328" t="s">
        <v>244</v>
      </c>
      <c r="B21" s="329">
        <v>14241366</v>
      </c>
      <c r="C21" s="335">
        <f>B21/'- 3 -'!D21*100</f>
        <v>41.108797680115899</v>
      </c>
      <c r="D21" s="329">
        <f>B21/'- 6 -'!B21</f>
        <v>6020.4464172479393</v>
      </c>
      <c r="E21" s="329">
        <v>0</v>
      </c>
      <c r="F21" s="335">
        <f>E21/'- 3 -'!D21*100</f>
        <v>0</v>
      </c>
      <c r="G21" s="329" t="str">
        <f>IF('- 6 -'!C21=0,"",E21/'- 6 -'!C21)</f>
        <v/>
      </c>
      <c r="H21" s="329">
        <v>0</v>
      </c>
      <c r="I21" s="335">
        <f>H21/'- 3 -'!D21*100</f>
        <v>0</v>
      </c>
      <c r="J21" s="329" t="str">
        <f>IF('- 6 -'!D21=0,"",H21/'- 6 -'!D21)</f>
        <v/>
      </c>
    </row>
    <row r="22" spans="1:10" ht="14.1" customHeight="1">
      <c r="A22" s="26" t="s">
        <v>245</v>
      </c>
      <c r="B22" s="27">
        <v>4369892</v>
      </c>
      <c r="C22" s="79">
        <f>B22/'- 3 -'!D22*100</f>
        <v>22.677457043838945</v>
      </c>
      <c r="D22" s="27">
        <f>B22/'- 6 -'!B22</f>
        <v>4705.386023473673</v>
      </c>
      <c r="E22" s="27">
        <v>0</v>
      </c>
      <c r="F22" s="79">
        <f>E22/'- 3 -'!D22*100</f>
        <v>0</v>
      </c>
      <c r="G22" s="27" t="str">
        <f>IF('- 6 -'!C22=0,"",E22/'- 6 -'!C22)</f>
        <v/>
      </c>
      <c r="H22" s="27">
        <v>0</v>
      </c>
      <c r="I22" s="79">
        <f>H22/'- 3 -'!D22*100</f>
        <v>0</v>
      </c>
      <c r="J22" s="27" t="str">
        <f>IF('- 6 -'!D22=0,"",H22/'- 6 -'!D22)</f>
        <v/>
      </c>
    </row>
    <row r="23" spans="1:10" ht="14.1" customHeight="1">
      <c r="A23" s="328" t="s">
        <v>246</v>
      </c>
      <c r="B23" s="329">
        <v>7230267</v>
      </c>
      <c r="C23" s="335">
        <f>B23/'- 3 -'!D23*100</f>
        <v>44.544210344410139</v>
      </c>
      <c r="D23" s="329">
        <f>B23/'- 6 -'!B23</f>
        <v>6384.9055104203453</v>
      </c>
      <c r="E23" s="329">
        <v>0</v>
      </c>
      <c r="F23" s="335">
        <f>E23/'- 3 -'!D23*100</f>
        <v>0</v>
      </c>
      <c r="G23" s="329" t="str">
        <f>IF('- 6 -'!C23=0,"",E23/'- 6 -'!C23)</f>
        <v/>
      </c>
      <c r="H23" s="329">
        <v>0</v>
      </c>
      <c r="I23" s="335">
        <f>H23/'- 3 -'!D23*100</f>
        <v>0</v>
      </c>
      <c r="J23" s="329" t="str">
        <f>IF('- 6 -'!D23=0,"",H23/'- 6 -'!D23)</f>
        <v/>
      </c>
    </row>
    <row r="24" spans="1:10" ht="14.1" customHeight="1">
      <c r="A24" s="26" t="s">
        <v>247</v>
      </c>
      <c r="B24" s="27">
        <v>18830049</v>
      </c>
      <c r="C24" s="79">
        <f>B24/'- 3 -'!D24*100</f>
        <v>36.051359440959168</v>
      </c>
      <c r="D24" s="27">
        <f>B24/'- 6 -'!B24</f>
        <v>6544.1193438520886</v>
      </c>
      <c r="E24" s="27">
        <v>0</v>
      </c>
      <c r="F24" s="79">
        <f>E24/'- 3 -'!D24*100</f>
        <v>0</v>
      </c>
      <c r="G24" s="27" t="str">
        <f>IF('- 6 -'!C24=0,"",E24/'- 6 -'!C24)</f>
        <v/>
      </c>
      <c r="H24" s="27">
        <v>1419020</v>
      </c>
      <c r="I24" s="79">
        <f>H24/'- 3 -'!D24*100</f>
        <v>2.7168065294949515</v>
      </c>
      <c r="J24" s="27">
        <f>IF('- 6 -'!D24=0,"",H24/'- 6 -'!D24)</f>
        <v>5255.6296296296296</v>
      </c>
    </row>
    <row r="25" spans="1:10" ht="14.1" customHeight="1">
      <c r="A25" s="328" t="s">
        <v>248</v>
      </c>
      <c r="B25" s="329">
        <v>51242279</v>
      </c>
      <c r="C25" s="335">
        <f>B25/'- 3 -'!D25*100</f>
        <v>33.251298078068956</v>
      </c>
      <c r="D25" s="329">
        <f>B25/'- 6 -'!B25</f>
        <v>5410.3830600458232</v>
      </c>
      <c r="E25" s="329">
        <v>0</v>
      </c>
      <c r="F25" s="335">
        <f>E25/'- 3 -'!D25*100</f>
        <v>0</v>
      </c>
      <c r="G25" s="329" t="str">
        <f>IF('- 6 -'!C25=0,"",E25/'- 6 -'!C25)</f>
        <v/>
      </c>
      <c r="H25" s="329">
        <v>18925299</v>
      </c>
      <c r="I25" s="335">
        <f>H25/'- 3 -'!D25*100</f>
        <v>12.28069419522852</v>
      </c>
      <c r="J25" s="329">
        <f>IF('- 6 -'!D25=0,"",H25/'- 6 -'!D25)</f>
        <v>4646.0693769332747</v>
      </c>
    </row>
    <row r="26" spans="1:10" ht="14.1" customHeight="1">
      <c r="A26" s="26" t="s">
        <v>249</v>
      </c>
      <c r="B26" s="27">
        <v>14769999</v>
      </c>
      <c r="C26" s="79">
        <f>B26/'- 3 -'!D26*100</f>
        <v>39.282042825940245</v>
      </c>
      <c r="D26" s="27">
        <f>B26/'- 6 -'!B26</f>
        <v>6021.1981247452095</v>
      </c>
      <c r="E26" s="27">
        <v>0</v>
      </c>
      <c r="F26" s="79">
        <f>E26/'- 3 -'!D26*100</f>
        <v>0</v>
      </c>
      <c r="G26" s="27" t="str">
        <f>IF('- 6 -'!C26=0,"",E26/'- 6 -'!C26)</f>
        <v/>
      </c>
      <c r="H26" s="27">
        <v>898544</v>
      </c>
      <c r="I26" s="79">
        <f>H26/'- 3 -'!D26*100</f>
        <v>2.3897526255073984</v>
      </c>
      <c r="J26" s="27">
        <f>IF('- 6 -'!D26=0,"",H26/'- 6 -'!D26)</f>
        <v>4361.8640776699031</v>
      </c>
    </row>
    <row r="27" spans="1:10" ht="14.1" customHeight="1">
      <c r="A27" s="328" t="s">
        <v>250</v>
      </c>
      <c r="B27" s="329">
        <v>15735709</v>
      </c>
      <c r="C27" s="335">
        <f>B27/'- 3 -'!D27*100</f>
        <v>42.766487966878728</v>
      </c>
      <c r="D27" s="329">
        <f>B27/'- 6 -'!B27</f>
        <v>6769.7939253140594</v>
      </c>
      <c r="E27" s="329">
        <v>0</v>
      </c>
      <c r="F27" s="335">
        <f>E27/'- 3 -'!D27*100</f>
        <v>0</v>
      </c>
      <c r="G27" s="329" t="str">
        <f>IF('- 6 -'!C27=0,"",E27/'- 6 -'!C27)</f>
        <v/>
      </c>
      <c r="H27" s="329">
        <v>0</v>
      </c>
      <c r="I27" s="335">
        <f>H27/'- 3 -'!D27*100</f>
        <v>0</v>
      </c>
      <c r="J27" s="329" t="str">
        <f>IF('- 6 -'!D27=0,"",H27/'- 6 -'!D27)</f>
        <v/>
      </c>
    </row>
    <row r="28" spans="1:10" ht="14.1" customHeight="1">
      <c r="A28" s="26" t="s">
        <v>251</v>
      </c>
      <c r="B28" s="27">
        <v>13847323</v>
      </c>
      <c r="C28" s="79">
        <f>B28/'- 3 -'!D28*100</f>
        <v>51.299956970094499</v>
      </c>
      <c r="D28" s="27">
        <f>B28/'- 6 -'!B28</f>
        <v>6894.3604680109538</v>
      </c>
      <c r="E28" s="27">
        <v>0</v>
      </c>
      <c r="F28" s="79">
        <f>E28/'- 3 -'!D28*100</f>
        <v>0</v>
      </c>
      <c r="G28" s="27" t="str">
        <f>IF('- 6 -'!C28=0,"",E28/'- 6 -'!C28)</f>
        <v/>
      </c>
      <c r="H28" s="27">
        <v>0</v>
      </c>
      <c r="I28" s="79">
        <f>H28/'- 3 -'!D28*100</f>
        <v>0</v>
      </c>
      <c r="J28" s="27" t="str">
        <f>IF('- 6 -'!D28=0,"",H28/'- 6 -'!D28)</f>
        <v/>
      </c>
    </row>
    <row r="29" spans="1:10" ht="14.1" customHeight="1">
      <c r="A29" s="328" t="s">
        <v>252</v>
      </c>
      <c r="B29" s="329">
        <v>42125207</v>
      </c>
      <c r="C29" s="335">
        <f>B29/'- 3 -'!D29*100</f>
        <v>29.923298775413926</v>
      </c>
      <c r="D29" s="329">
        <f>B29/'- 6 -'!B29</f>
        <v>5604.2901045685549</v>
      </c>
      <c r="E29" s="329">
        <v>0</v>
      </c>
      <c r="F29" s="335">
        <f>E29/'- 3 -'!D29*100</f>
        <v>0</v>
      </c>
      <c r="G29" s="329" t="str">
        <f>IF('- 6 -'!C29=0,"",E29/'- 6 -'!C29)</f>
        <v/>
      </c>
      <c r="H29" s="329">
        <v>6871477</v>
      </c>
      <c r="I29" s="335">
        <f>H29/'- 3 -'!D29*100</f>
        <v>4.8810978970236274</v>
      </c>
      <c r="J29" s="329">
        <f>IF('- 6 -'!D29=0,"",H29/'- 6 -'!D29)</f>
        <v>5247.4051164566627</v>
      </c>
    </row>
    <row r="30" spans="1:10" ht="14.1" customHeight="1">
      <c r="A30" s="26" t="s">
        <v>253</v>
      </c>
      <c r="B30" s="27">
        <v>7009276</v>
      </c>
      <c r="C30" s="79">
        <f>B30/'- 3 -'!D30*100</f>
        <v>52.102655956346396</v>
      </c>
      <c r="D30" s="27">
        <f>B30/'- 6 -'!B30</f>
        <v>6763.0991895021225</v>
      </c>
      <c r="E30" s="27">
        <v>0</v>
      </c>
      <c r="F30" s="79">
        <f>E30/'- 3 -'!D30*100</f>
        <v>0</v>
      </c>
      <c r="G30" s="27" t="str">
        <f>IF('- 6 -'!C30=0,"",E30/'- 6 -'!C30)</f>
        <v/>
      </c>
      <c r="H30" s="27">
        <v>0</v>
      </c>
      <c r="I30" s="79">
        <f>H30/'- 3 -'!D30*100</f>
        <v>0</v>
      </c>
      <c r="J30" s="27" t="str">
        <f>IF('- 6 -'!D30=0,"",H30/'- 6 -'!D30)</f>
        <v/>
      </c>
    </row>
    <row r="31" spans="1:10" ht="14.1" customHeight="1">
      <c r="A31" s="328" t="s">
        <v>254</v>
      </c>
      <c r="B31" s="329">
        <v>12997995</v>
      </c>
      <c r="C31" s="335">
        <f>B31/'- 3 -'!D31*100</f>
        <v>38.558120916510099</v>
      </c>
      <c r="D31" s="329">
        <f>B31/'- 6 -'!B31</f>
        <v>5574.9496032597044</v>
      </c>
      <c r="E31" s="329">
        <v>0</v>
      </c>
      <c r="F31" s="335">
        <f>E31/'- 3 -'!D31*100</f>
        <v>0</v>
      </c>
      <c r="G31" s="329" t="str">
        <f>IF('- 6 -'!C31=0,"",E31/'- 6 -'!C31)</f>
        <v/>
      </c>
      <c r="H31" s="329">
        <v>0</v>
      </c>
      <c r="I31" s="335">
        <f>H31/'- 3 -'!D31*100</f>
        <v>0</v>
      </c>
      <c r="J31" s="329" t="str">
        <f>IF('- 6 -'!D31=0,"",H31/'- 6 -'!D31)</f>
        <v/>
      </c>
    </row>
    <row r="32" spans="1:10" ht="14.1" customHeight="1">
      <c r="A32" s="26" t="s">
        <v>255</v>
      </c>
      <c r="B32" s="27">
        <v>10379601</v>
      </c>
      <c r="C32" s="79">
        <f>B32/'- 3 -'!D32*100</f>
        <v>39.879555271307815</v>
      </c>
      <c r="D32" s="27">
        <f>B32/'- 6 -'!B32</f>
        <v>6271.6622356495473</v>
      </c>
      <c r="E32" s="27">
        <v>0</v>
      </c>
      <c r="F32" s="79">
        <f>E32/'- 3 -'!D32*100</f>
        <v>0</v>
      </c>
      <c r="G32" s="27" t="str">
        <f>IF('- 6 -'!C32=0,"",E32/'- 6 -'!C32)</f>
        <v/>
      </c>
      <c r="H32" s="27">
        <v>574673</v>
      </c>
      <c r="I32" s="79">
        <f>H32/'- 3 -'!D32*100</f>
        <v>2.2079561311102687</v>
      </c>
      <c r="J32" s="27">
        <f>IF('- 6 -'!D32=0,"",H32/'- 6 -'!D32)</f>
        <v>5718.1393034825869</v>
      </c>
    </row>
    <row r="33" spans="1:10" ht="14.1" customHeight="1">
      <c r="A33" s="328" t="s">
        <v>256</v>
      </c>
      <c r="B33" s="329">
        <v>9787099</v>
      </c>
      <c r="C33" s="335">
        <f>B33/'- 3 -'!D33*100</f>
        <v>37.382993121743993</v>
      </c>
      <c r="D33" s="329">
        <f>B33/'- 6 -'!B33</f>
        <v>6582.2173649875576</v>
      </c>
      <c r="E33" s="329">
        <v>0</v>
      </c>
      <c r="F33" s="335">
        <f>E33/'- 3 -'!D33*100</f>
        <v>0</v>
      </c>
      <c r="G33" s="329" t="str">
        <f>IF('- 6 -'!C33=0,"",E33/'- 6 -'!C33)</f>
        <v/>
      </c>
      <c r="H33" s="329">
        <v>0</v>
      </c>
      <c r="I33" s="335">
        <f>H33/'- 3 -'!D33*100</f>
        <v>0</v>
      </c>
      <c r="J33" s="329" t="str">
        <f>IF('- 6 -'!D33=0,"",H33/'- 6 -'!D33)</f>
        <v/>
      </c>
    </row>
    <row r="34" spans="1:10" ht="14.1" customHeight="1">
      <c r="A34" s="26" t="s">
        <v>257</v>
      </c>
      <c r="B34" s="27">
        <v>9342463</v>
      </c>
      <c r="C34" s="79">
        <f>B34/'- 3 -'!D34*100</f>
        <v>37.03668626648863</v>
      </c>
      <c r="D34" s="27">
        <f>B34/'- 6 -'!B34</f>
        <v>5776.9372990353695</v>
      </c>
      <c r="E34" s="27">
        <v>0</v>
      </c>
      <c r="F34" s="79">
        <f>E34/'- 3 -'!D34*100</f>
        <v>0</v>
      </c>
      <c r="G34" s="27" t="str">
        <f>IF('- 6 -'!C34=0,"",E34/'- 6 -'!C34)</f>
        <v/>
      </c>
      <c r="H34" s="27">
        <v>1392415</v>
      </c>
      <c r="I34" s="79">
        <f>H34/'- 3 -'!D34*100</f>
        <v>5.5200044686024183</v>
      </c>
      <c r="J34" s="27">
        <f>IF('- 6 -'!D34=0,"",H34/'- 6 -'!D34)</f>
        <v>7367.2751322751319</v>
      </c>
    </row>
    <row r="35" spans="1:10" ht="14.1" customHeight="1">
      <c r="A35" s="328" t="s">
        <v>258</v>
      </c>
      <c r="B35" s="329">
        <v>49747846</v>
      </c>
      <c r="C35" s="335">
        <f>B35/'- 3 -'!D35*100</f>
        <v>29.038909802122287</v>
      </c>
      <c r="D35" s="329">
        <f>B35/'- 6 -'!B35</f>
        <v>5600.0276917881465</v>
      </c>
      <c r="E35" s="329">
        <v>0</v>
      </c>
      <c r="F35" s="335">
        <f>E35/'- 3 -'!D35*100</f>
        <v>0</v>
      </c>
      <c r="G35" s="329" t="str">
        <f>IF('- 6 -'!C35=0,"",E35/'- 6 -'!C35)</f>
        <v/>
      </c>
      <c r="H35" s="329">
        <v>5492170</v>
      </c>
      <c r="I35" s="335">
        <f>H35/'- 3 -'!D35*100</f>
        <v>3.2059001961194857</v>
      </c>
      <c r="J35" s="329">
        <f>IF('- 6 -'!D35=0,"",H35/'- 6 -'!D35)</f>
        <v>4923.5051546391751</v>
      </c>
    </row>
    <row r="36" spans="1:10" ht="14.1" customHeight="1">
      <c r="A36" s="26" t="s">
        <v>259</v>
      </c>
      <c r="B36" s="27">
        <v>10791033</v>
      </c>
      <c r="C36" s="79">
        <f>B36/'- 3 -'!D36*100</f>
        <v>50.441882817568093</v>
      </c>
      <c r="D36" s="27">
        <f>B36/'- 6 -'!B36</f>
        <v>6687.5514377788795</v>
      </c>
      <c r="E36" s="27">
        <v>0</v>
      </c>
      <c r="F36" s="79">
        <f>E36/'- 3 -'!D36*100</f>
        <v>0</v>
      </c>
      <c r="G36" s="27" t="str">
        <f>IF('- 6 -'!C36=0,"",E36/'- 6 -'!C36)</f>
        <v/>
      </c>
      <c r="H36" s="27">
        <v>0</v>
      </c>
      <c r="I36" s="79">
        <f>H36/'- 3 -'!D36*100</f>
        <v>0</v>
      </c>
      <c r="J36" s="27" t="str">
        <f>IF('- 6 -'!D36=0,"",H36/'- 6 -'!D36)</f>
        <v/>
      </c>
    </row>
    <row r="37" spans="1:10" ht="14.1" customHeight="1">
      <c r="A37" s="328" t="s">
        <v>260</v>
      </c>
      <c r="B37" s="329">
        <v>10155203</v>
      </c>
      <c r="C37" s="335">
        <f>B37/'- 3 -'!D37*100</f>
        <v>23.969600969471315</v>
      </c>
      <c r="D37" s="329">
        <f>B37/'- 6 -'!B37</f>
        <v>5024.8406729341914</v>
      </c>
      <c r="E37" s="329">
        <v>0</v>
      </c>
      <c r="F37" s="335">
        <f>E37/'- 3 -'!D37*100</f>
        <v>0</v>
      </c>
      <c r="G37" s="329" t="str">
        <f>IF('- 6 -'!C37=0,"",E37/'- 6 -'!C37)</f>
        <v/>
      </c>
      <c r="H37" s="329">
        <v>3507060</v>
      </c>
      <c r="I37" s="335">
        <f>H37/'- 3 -'!D37*100</f>
        <v>8.2778088016550804</v>
      </c>
      <c r="J37" s="329">
        <f>IF('- 6 -'!D37=0,"",H37/'- 6 -'!D37)</f>
        <v>5112.3323615160352</v>
      </c>
    </row>
    <row r="38" spans="1:10" ht="14.1" customHeight="1">
      <c r="A38" s="26" t="s">
        <v>261</v>
      </c>
      <c r="B38" s="27">
        <v>33623343</v>
      </c>
      <c r="C38" s="79">
        <f>B38/'- 3 -'!D38*100</f>
        <v>29.22976601108148</v>
      </c>
      <c r="D38" s="27">
        <f>B38/'- 6 -'!B38</f>
        <v>5910.0300569500105</v>
      </c>
      <c r="E38" s="27">
        <v>0</v>
      </c>
      <c r="F38" s="79">
        <f>E38/'- 3 -'!D38*100</f>
        <v>0</v>
      </c>
      <c r="G38" s="27" t="str">
        <f>IF('- 6 -'!C38=0,"",E38/'- 6 -'!C38)</f>
        <v/>
      </c>
      <c r="H38" s="27">
        <v>1459858</v>
      </c>
      <c r="I38" s="79">
        <f>H38/'- 3 -'!D38*100</f>
        <v>1.2690977143291609</v>
      </c>
      <c r="J38" s="27">
        <f>IF('- 6 -'!D38=0,"",H38/'- 6 -'!D38)</f>
        <v>5060.1663778162911</v>
      </c>
    </row>
    <row r="39" spans="1:10" ht="14.1" customHeight="1">
      <c r="A39" s="328" t="s">
        <v>262</v>
      </c>
      <c r="B39" s="329">
        <v>9780692</v>
      </c>
      <c r="C39" s="335">
        <f>B39/'- 3 -'!D39*100</f>
        <v>48.310480256661648</v>
      </c>
      <c r="D39" s="329">
        <f>B39/'- 6 -'!B39</f>
        <v>6398.8825646058231</v>
      </c>
      <c r="E39" s="329">
        <v>0</v>
      </c>
      <c r="F39" s="335">
        <f>E39/'- 3 -'!D39*100</f>
        <v>0</v>
      </c>
      <c r="G39" s="329" t="str">
        <f>IF('- 6 -'!C39=0,"",E39/'- 6 -'!C39)</f>
        <v/>
      </c>
      <c r="H39" s="329">
        <v>0</v>
      </c>
      <c r="I39" s="335">
        <f>H39/'- 3 -'!D39*100</f>
        <v>0</v>
      </c>
      <c r="J39" s="329" t="str">
        <f>IF('- 6 -'!D39=0,"",H39/'- 6 -'!D39)</f>
        <v/>
      </c>
    </row>
    <row r="40" spans="1:10" ht="14.1" customHeight="1">
      <c r="A40" s="26" t="s">
        <v>263</v>
      </c>
      <c r="B40" s="27">
        <v>33091169</v>
      </c>
      <c r="C40" s="79">
        <f>B40/'- 3 -'!D40*100</f>
        <v>34.776917476207714</v>
      </c>
      <c r="D40" s="27">
        <f>B40/'- 6 -'!B40</f>
        <v>6151.4609435996581</v>
      </c>
      <c r="E40" s="27">
        <v>0</v>
      </c>
      <c r="F40" s="79">
        <f>E40/'- 3 -'!D40*100</f>
        <v>0</v>
      </c>
      <c r="G40" s="27" t="str">
        <f>IF('- 6 -'!C40=0,"",E40/'- 6 -'!C40)</f>
        <v/>
      </c>
      <c r="H40" s="27">
        <v>3846666</v>
      </c>
      <c r="I40" s="79">
        <f>H40/'- 3 -'!D40*100</f>
        <v>4.0426249686293652</v>
      </c>
      <c r="J40" s="27">
        <f>IF('- 6 -'!D40=0,"",H40/'- 6 -'!D40)</f>
        <v>4887.7585768742056</v>
      </c>
    </row>
    <row r="41" spans="1:10" ht="14.1" customHeight="1">
      <c r="A41" s="328" t="s">
        <v>264</v>
      </c>
      <c r="B41" s="329">
        <v>14060019</v>
      </c>
      <c r="C41" s="335">
        <f>B41/'- 3 -'!D41*100</f>
        <v>23.990461910296133</v>
      </c>
      <c r="D41" s="329">
        <f>B41/'- 6 -'!B41</f>
        <v>6669.838235294118</v>
      </c>
      <c r="E41" s="329">
        <v>0</v>
      </c>
      <c r="F41" s="335">
        <f>E41/'- 3 -'!D41*100</f>
        <v>0</v>
      </c>
      <c r="G41" s="329" t="str">
        <f>IF('- 6 -'!C41=0,"",E41/'- 6 -'!C41)</f>
        <v/>
      </c>
      <c r="H41" s="329">
        <v>0</v>
      </c>
      <c r="I41" s="335">
        <f>H41/'- 3 -'!D41*100</f>
        <v>0</v>
      </c>
      <c r="J41" s="329" t="str">
        <f>IF('- 6 -'!D41=0,"",H41/'- 6 -'!D41)</f>
        <v/>
      </c>
    </row>
    <row r="42" spans="1:10" ht="14.1" customHeight="1">
      <c r="A42" s="26" t="s">
        <v>265</v>
      </c>
      <c r="B42" s="27">
        <v>7358408</v>
      </c>
      <c r="C42" s="79">
        <f>B42/'- 3 -'!D42*100</f>
        <v>36.523549906107718</v>
      </c>
      <c r="D42" s="27">
        <f>B42/'- 6 -'!B42</f>
        <v>6980.7494545109575</v>
      </c>
      <c r="E42" s="27">
        <v>0</v>
      </c>
      <c r="F42" s="79">
        <f>E42/'- 3 -'!D42*100</f>
        <v>0</v>
      </c>
      <c r="G42" s="27" t="str">
        <f>IF('- 6 -'!C42=0,"",E42/'- 6 -'!C42)</f>
        <v/>
      </c>
      <c r="H42" s="27">
        <v>0</v>
      </c>
      <c r="I42" s="79">
        <f>H42/'- 3 -'!D42*100</f>
        <v>0</v>
      </c>
      <c r="J42" s="27" t="str">
        <f>IF('- 6 -'!D42=0,"",H42/'- 6 -'!D42)</f>
        <v/>
      </c>
    </row>
    <row r="43" spans="1:10" ht="14.1" customHeight="1">
      <c r="A43" s="328" t="s">
        <v>266</v>
      </c>
      <c r="B43" s="329">
        <v>5855577</v>
      </c>
      <c r="C43" s="335">
        <f>B43/'- 3 -'!D43*100</f>
        <v>47.459493605635636</v>
      </c>
      <c r="D43" s="329">
        <f>B43/'- 6 -'!B43</f>
        <v>6230.6629070014897</v>
      </c>
      <c r="E43" s="329">
        <v>0</v>
      </c>
      <c r="F43" s="335">
        <f>E43/'- 3 -'!D43*100</f>
        <v>0</v>
      </c>
      <c r="G43" s="329" t="str">
        <f>IF('- 6 -'!C43=0,"",E43/'- 6 -'!C43)</f>
        <v/>
      </c>
      <c r="H43" s="329">
        <v>0</v>
      </c>
      <c r="I43" s="335">
        <f>H43/'- 3 -'!D43*100</f>
        <v>0</v>
      </c>
      <c r="J43" s="329" t="str">
        <f>IF('- 6 -'!D43=0,"",H43/'- 6 -'!D43)</f>
        <v/>
      </c>
    </row>
    <row r="44" spans="1:10" ht="14.1" customHeight="1">
      <c r="A44" s="26" t="s">
        <v>267</v>
      </c>
      <c r="B44" s="27">
        <v>4710113</v>
      </c>
      <c r="C44" s="79">
        <f>B44/'- 3 -'!D44*100</f>
        <v>45.796996411390673</v>
      </c>
      <c r="D44" s="27">
        <f>B44/'- 6 -'!B44</f>
        <v>7114.9743202416921</v>
      </c>
      <c r="E44" s="27">
        <v>377480</v>
      </c>
      <c r="F44" s="79">
        <f>E44/'- 3 -'!D44*100</f>
        <v>3.670283537862415</v>
      </c>
      <c r="G44" s="27">
        <f>IF('- 6 -'!C44=0,"",E44/'- 6 -'!C44)</f>
        <v>9556.4556962025308</v>
      </c>
      <c r="H44" s="27">
        <v>0</v>
      </c>
      <c r="I44" s="79">
        <f>H44/'- 3 -'!D44*100</f>
        <v>0</v>
      </c>
      <c r="J44" s="27" t="str">
        <f>IF('- 6 -'!D44=0,"",H44/'- 6 -'!D44)</f>
        <v/>
      </c>
    </row>
    <row r="45" spans="1:10" ht="14.1" customHeight="1">
      <c r="A45" s="328" t="s">
        <v>268</v>
      </c>
      <c r="B45" s="329">
        <v>4240174</v>
      </c>
      <c r="C45" s="335">
        <f>B45/'- 3 -'!D45*100</f>
        <v>25.116703468432945</v>
      </c>
      <c r="D45" s="329">
        <f>B45/'- 6 -'!B45</f>
        <v>6388.6906734970617</v>
      </c>
      <c r="E45" s="329">
        <v>0</v>
      </c>
      <c r="F45" s="335">
        <f>E45/'- 3 -'!D45*100</f>
        <v>0</v>
      </c>
      <c r="G45" s="329" t="str">
        <f>IF('- 6 -'!C45=0,"",E45/'- 6 -'!C45)</f>
        <v/>
      </c>
      <c r="H45" s="329">
        <v>0</v>
      </c>
      <c r="I45" s="335">
        <f>H45/'- 3 -'!D45*100</f>
        <v>0</v>
      </c>
      <c r="J45" s="329" t="str">
        <f>IF('- 6 -'!D45=0,"",H45/'- 6 -'!D45)</f>
        <v/>
      </c>
    </row>
    <row r="46" spans="1:10" ht="14.1" customHeight="1">
      <c r="A46" s="26" t="s">
        <v>269</v>
      </c>
      <c r="B46" s="27">
        <v>123225680</v>
      </c>
      <c r="C46" s="79">
        <f>B46/'- 3 -'!D46*100</f>
        <v>34.609105503879341</v>
      </c>
      <c r="D46" s="27">
        <f>B46/'- 6 -'!B46</f>
        <v>5657.9785206918559</v>
      </c>
      <c r="E46" s="27">
        <v>0</v>
      </c>
      <c r="F46" s="79">
        <f>E46/'- 3 -'!D46*100</f>
        <v>0</v>
      </c>
      <c r="G46" s="27" t="str">
        <f>IF('- 6 -'!C46=0,"",E46/'- 6 -'!C46)</f>
        <v/>
      </c>
      <c r="H46" s="27">
        <v>6203391</v>
      </c>
      <c r="I46" s="79">
        <f>H46/'- 3 -'!D46*100</f>
        <v>1.7422814270598104</v>
      </c>
      <c r="J46" s="27">
        <f>IF('- 6 -'!D46=0,"",H46/'- 6 -'!D46)</f>
        <v>5219.5128312999577</v>
      </c>
    </row>
    <row r="47" spans="1:10" ht="5.0999999999999996" customHeight="1">
      <c r="A47" s="28"/>
      <c r="B47" s="29"/>
      <c r="C47"/>
      <c r="D47" s="29"/>
      <c r="E47" s="29"/>
      <c r="F47"/>
      <c r="G47" s="29"/>
      <c r="H47" s="29"/>
      <c r="I47"/>
      <c r="J47"/>
    </row>
    <row r="48" spans="1:10" ht="14.1" customHeight="1">
      <c r="A48" s="330" t="s">
        <v>270</v>
      </c>
      <c r="B48" s="331">
        <f>SUM(B11:B46)</f>
        <v>716328920</v>
      </c>
      <c r="C48" s="338">
        <f>B48/'- 3 -'!D48*100</f>
        <v>34.646302054266471</v>
      </c>
      <c r="D48" s="331">
        <f>B48/'- 6 -'!B48</f>
        <v>5910.0461778486588</v>
      </c>
      <c r="E48" s="331">
        <f>SUM(E11:E46)</f>
        <v>36147664</v>
      </c>
      <c r="F48" s="338">
        <f>E48/'- 3 -'!D48*100</f>
        <v>1.7483349485598518</v>
      </c>
      <c r="G48" s="331">
        <f>E48/'- 6 -'!C48</f>
        <v>6897.7509779601187</v>
      </c>
      <c r="H48" s="331">
        <f>SUM(H11:H46)</f>
        <v>52168229</v>
      </c>
      <c r="I48" s="338">
        <f>H48/'- 3 -'!D48*100</f>
        <v>2.5231931436889963</v>
      </c>
      <c r="J48" s="331">
        <f>H48/'- 6 -'!D48</f>
        <v>4955.471341451831</v>
      </c>
    </row>
    <row r="49" spans="1:10" ht="5.0999999999999996" customHeight="1">
      <c r="A49" s="28" t="s">
        <v>16</v>
      </c>
      <c r="B49" s="29"/>
      <c r="C49"/>
      <c r="D49" s="29"/>
      <c r="E49" s="29"/>
      <c r="F49"/>
      <c r="I49"/>
      <c r="J49"/>
    </row>
    <row r="50" spans="1:10" ht="14.1" customHeight="1">
      <c r="A50" s="26" t="s">
        <v>271</v>
      </c>
      <c r="B50" s="27">
        <v>1664421</v>
      </c>
      <c r="C50" s="79">
        <f>B50/'- 3 -'!D50*100</f>
        <v>52.277123048191463</v>
      </c>
      <c r="D50" s="27">
        <f>B50/'- 6 -'!B50</f>
        <v>9430.1473087818704</v>
      </c>
      <c r="E50" s="27">
        <v>0</v>
      </c>
      <c r="F50" s="79">
        <f>E50/'- 3 -'!D50*100</f>
        <v>0</v>
      </c>
      <c r="G50" s="27" t="str">
        <f>IF('- 6 -'!C50=0,"",E50/'- 6 -'!C50)</f>
        <v/>
      </c>
      <c r="H50" s="27">
        <v>0</v>
      </c>
      <c r="I50" s="79">
        <f>H50/'- 3 -'!D50*100</f>
        <v>0</v>
      </c>
      <c r="J50" s="27" t="str">
        <f>IF('- 6 -'!D50=0,"",H50/'- 6 -'!D50)</f>
        <v/>
      </c>
    </row>
    <row r="51" spans="1:10" ht="14.1" customHeight="1">
      <c r="A51" s="328" t="s">
        <v>272</v>
      </c>
      <c r="B51" s="329">
        <v>149988</v>
      </c>
      <c r="C51" s="335">
        <f>B51/'- 3 -'!D51*100</f>
        <v>0.76178019724981438</v>
      </c>
      <c r="D51" s="329">
        <f>B51/'- 6 -'!B51</f>
        <v>2176.8940493468795</v>
      </c>
      <c r="E51" s="329">
        <v>0</v>
      </c>
      <c r="F51" s="335">
        <f>E51/'- 3 -'!D51*100</f>
        <v>0</v>
      </c>
      <c r="G51" s="329" t="str">
        <f>IF('- 6 -'!C51=0,"",E51/'- 6 -'!C51)</f>
        <v/>
      </c>
      <c r="H51" s="329">
        <v>0</v>
      </c>
      <c r="I51" s="335">
        <f>H51/'- 3 -'!D51*100</f>
        <v>0</v>
      </c>
      <c r="J51" s="329" t="str">
        <f>IF('- 6 -'!D51=0,"",H51/'- 6 -'!D51)</f>
        <v/>
      </c>
    </row>
    <row r="52" spans="1:10" ht="50.1" customHeight="1">
      <c r="A52" s="30"/>
      <c r="B52" s="30"/>
      <c r="C52" s="30"/>
      <c r="D52" s="30"/>
      <c r="E52" s="30"/>
      <c r="F52" s="30"/>
      <c r="G52" s="30"/>
      <c r="H52" s="126"/>
      <c r="I52" s="126"/>
      <c r="J52" s="126"/>
    </row>
    <row r="53" spans="1:10" ht="15" customHeight="1">
      <c r="A53" s="96" t="s">
        <v>610</v>
      </c>
      <c r="B53" s="96"/>
      <c r="C53" s="96"/>
      <c r="D53" s="96"/>
      <c r="E53" s="96"/>
      <c r="F53" s="96"/>
      <c r="G53" s="96"/>
      <c r="I53" s="96"/>
      <c r="J53" s="9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J53"/>
  <sheetViews>
    <sheetView showGridLines="0" showZeros="0" workbookViewId="0"/>
  </sheetViews>
  <sheetFormatPr defaultColWidth="15.83203125" defaultRowHeight="12"/>
  <cols>
    <col min="1" max="1" width="31.83203125" style="1" customWidth="1"/>
    <col min="2" max="2" width="14.83203125" style="1" customWidth="1"/>
    <col min="3" max="3" width="7.83203125" style="1" customWidth="1"/>
    <col min="4" max="4" width="9.83203125" style="1" customWidth="1"/>
    <col min="5" max="5" width="10.83203125" style="1" customWidth="1"/>
    <col min="6" max="7" width="13.83203125" style="1" customWidth="1"/>
    <col min="8" max="8" width="15.83203125" style="1" customWidth="1"/>
    <col min="9" max="9" width="13.83203125" style="1" customWidth="1"/>
    <col min="10" max="16384" width="15.83203125" style="1"/>
  </cols>
  <sheetData>
    <row r="1" spans="1:9" ht="6.95" customHeight="1">
      <c r="A1" s="6"/>
      <c r="B1" s="100"/>
      <c r="C1" s="100"/>
      <c r="D1" s="100"/>
      <c r="E1" s="100"/>
      <c r="F1" s="100"/>
      <c r="G1" s="100"/>
      <c r="H1" s="100"/>
      <c r="I1" s="100"/>
    </row>
    <row r="2" spans="1:9" ht="15.95" customHeight="1">
      <c r="A2" s="152"/>
      <c r="B2" s="101" t="s">
        <v>478</v>
      </c>
      <c r="C2" s="102"/>
      <c r="D2" s="102"/>
      <c r="E2" s="102"/>
      <c r="F2" s="102"/>
      <c r="G2" s="102"/>
      <c r="H2" s="208"/>
      <c r="I2" s="153" t="s">
        <v>451</v>
      </c>
    </row>
    <row r="3" spans="1:9" ht="15.95" customHeight="1">
      <c r="A3" s="697"/>
      <c r="B3" s="83" t="str">
        <f>OPYEAR</f>
        <v>OPERATING FUND 2013/2014 ACTUAL</v>
      </c>
      <c r="C3" s="105"/>
      <c r="D3" s="105"/>
      <c r="E3" s="105"/>
      <c r="F3" s="105"/>
      <c r="G3" s="105"/>
      <c r="H3" s="209"/>
      <c r="I3" s="210"/>
    </row>
    <row r="4" spans="1:9" ht="15.95" customHeight="1">
      <c r="B4" s="100"/>
      <c r="C4" s="100"/>
      <c r="D4" s="100"/>
      <c r="E4" s="100"/>
      <c r="F4" s="100"/>
      <c r="G4" s="100"/>
      <c r="H4" s="100"/>
      <c r="I4" s="100"/>
    </row>
    <row r="5" spans="1:9" ht="15.95" customHeight="1">
      <c r="B5" s="211" t="s">
        <v>22</v>
      </c>
      <c r="C5" s="212"/>
      <c r="D5" s="212"/>
      <c r="E5" s="212"/>
      <c r="F5" s="212"/>
      <c r="G5" s="212"/>
      <c r="H5" s="212"/>
      <c r="I5" s="213"/>
    </row>
    <row r="6" spans="1:9" ht="15.95" customHeight="1">
      <c r="B6" s="381" t="s">
        <v>404</v>
      </c>
      <c r="C6" s="382"/>
      <c r="D6" s="382"/>
      <c r="E6" s="382"/>
      <c r="F6" s="382"/>
      <c r="G6" s="382"/>
      <c r="H6" s="382"/>
      <c r="I6" s="383"/>
    </row>
    <row r="7" spans="1:9" ht="15.95" customHeight="1">
      <c r="B7" s="201"/>
      <c r="C7" s="214"/>
      <c r="D7" s="214"/>
      <c r="E7" s="215" t="s">
        <v>178</v>
      </c>
      <c r="F7" s="216" t="s">
        <v>179</v>
      </c>
      <c r="G7" s="216"/>
      <c r="H7" s="216"/>
      <c r="I7" s="217"/>
    </row>
    <row r="8" spans="1:9" ht="15.95" customHeight="1">
      <c r="A8" s="75"/>
      <c r="B8" s="218"/>
      <c r="C8" s="218"/>
      <c r="D8" s="200" t="s">
        <v>73</v>
      </c>
      <c r="E8" s="219" t="s">
        <v>180</v>
      </c>
      <c r="F8" s="218"/>
      <c r="G8" s="220"/>
      <c r="H8" s="221" t="s">
        <v>82</v>
      </c>
      <c r="I8" s="218"/>
    </row>
    <row r="9" spans="1:9" ht="15.95" customHeight="1">
      <c r="A9" s="42" t="s">
        <v>93</v>
      </c>
      <c r="B9" s="112" t="s">
        <v>94</v>
      </c>
      <c r="C9" s="112" t="s">
        <v>95</v>
      </c>
      <c r="D9" s="112" t="s">
        <v>96</v>
      </c>
      <c r="E9" s="222" t="s">
        <v>100</v>
      </c>
      <c r="F9" s="112" t="s">
        <v>81</v>
      </c>
      <c r="G9" s="223" t="s">
        <v>45</v>
      </c>
      <c r="H9" s="112" t="s">
        <v>98</v>
      </c>
      <c r="I9" s="112" t="s">
        <v>57</v>
      </c>
    </row>
    <row r="10" spans="1:9" ht="5.0999999999999996" customHeight="1">
      <c r="A10" s="5"/>
      <c r="B10" s="96"/>
      <c r="C10" s="96"/>
      <c r="D10" s="96"/>
      <c r="E10" s="96"/>
      <c r="F10" s="96"/>
      <c r="G10" s="96"/>
      <c r="H10" s="96"/>
      <c r="I10" s="96"/>
    </row>
    <row r="11" spans="1:9" ht="14.1" customHeight="1">
      <c r="A11" s="384" t="s">
        <v>235</v>
      </c>
      <c r="B11" s="329">
        <v>0</v>
      </c>
      <c r="C11" s="335">
        <f>B11/'- 3 -'!D11*100</f>
        <v>0</v>
      </c>
      <c r="D11" s="385" t="str">
        <f>IF(E11=0,"",B11/E11)</f>
        <v/>
      </c>
      <c r="E11" s="386">
        <f>SUM('- 6 -'!E11:H11)</f>
        <v>0</v>
      </c>
      <c r="F11" s="335" t="str">
        <f>IF(E11=0,"",'- 6 -'!E11/E11*100)</f>
        <v/>
      </c>
      <c r="G11" s="335" t="str">
        <f>IF(E11=0,"",'- 6 -'!F11/E11*100)</f>
        <v/>
      </c>
      <c r="H11" s="335" t="str">
        <f>IF(E11=0,"",'- 6 -'!G11/E11*100)</f>
        <v/>
      </c>
      <c r="I11" s="335" t="str">
        <f>IF(E11=0,"",'- 6 -'!H11/E11*100)</f>
        <v/>
      </c>
    </row>
    <row r="12" spans="1:9" ht="14.1" customHeight="1">
      <c r="A12" s="26" t="s">
        <v>236</v>
      </c>
      <c r="B12" s="27">
        <v>0</v>
      </c>
      <c r="C12" s="79">
        <f>B12/'- 3 -'!D12*100</f>
        <v>0</v>
      </c>
      <c r="D12" s="224" t="str">
        <f t="shared" ref="D12:D46" si="0">IF(E12=0,"",B12/E12)</f>
        <v/>
      </c>
      <c r="E12" s="225">
        <f>SUM('- 6 -'!E12:H12)</f>
        <v>0</v>
      </c>
      <c r="F12" s="79" t="str">
        <f>IF(E12=0,"",'- 6 -'!E12/E12*100)</f>
        <v/>
      </c>
      <c r="G12" s="79" t="str">
        <f>IF(E12=0,"",'- 6 -'!F12/E12*100)</f>
        <v/>
      </c>
      <c r="H12" s="79" t="str">
        <f>IF(E12=0,"",'- 6 -'!G12/E12*100)</f>
        <v/>
      </c>
      <c r="I12" s="79" t="str">
        <f>IF(E12=0,"",'- 6 -'!H12/E12*100)</f>
        <v/>
      </c>
    </row>
    <row r="13" spans="1:9" ht="14.1" customHeight="1">
      <c r="A13" s="384" t="s">
        <v>237</v>
      </c>
      <c r="B13" s="329">
        <v>6382759</v>
      </c>
      <c r="C13" s="335">
        <f>B13/'- 3 -'!D13*100</f>
        <v>7.6104276835532652</v>
      </c>
      <c r="D13" s="385">
        <f t="shared" si="0"/>
        <v>4379.2514579759863</v>
      </c>
      <c r="E13" s="386">
        <f>SUM('- 6 -'!E13:H13)</f>
        <v>1457.5</v>
      </c>
      <c r="F13" s="335">
        <f>IF(E13=0,"",'- 6 -'!E13/E13*100)</f>
        <v>74.78559176672384</v>
      </c>
      <c r="G13" s="335">
        <f>IF(E13=0,"",'- 6 -'!F13/E13*100)</f>
        <v>0</v>
      </c>
      <c r="H13" s="335">
        <f>IF(E13=0,"",'- 6 -'!G13/E13*100)</f>
        <v>25.21440823327616</v>
      </c>
      <c r="I13" s="335">
        <f>IF(E13=0,"",'- 6 -'!H13/E13*100)</f>
        <v>0</v>
      </c>
    </row>
    <row r="14" spans="1:9" ht="14.1" customHeight="1">
      <c r="A14" s="26" t="s">
        <v>636</v>
      </c>
      <c r="B14" s="27">
        <v>0</v>
      </c>
      <c r="C14" s="79">
        <f>B14/'- 3 -'!D14*100</f>
        <v>0</v>
      </c>
      <c r="D14" s="224" t="str">
        <f t="shared" si="0"/>
        <v/>
      </c>
      <c r="E14" s="225">
        <f>SUM('- 6 -'!E14:H14)</f>
        <v>0</v>
      </c>
      <c r="F14" s="79" t="str">
        <f>IF(E14=0,"",'- 6 -'!E14/E14*100)</f>
        <v/>
      </c>
      <c r="G14" s="79" t="str">
        <f>IF(E14=0,"",'- 6 -'!F14/E14*100)</f>
        <v/>
      </c>
      <c r="H14" s="79" t="str">
        <f>IF(E14=0,"",'- 6 -'!G14/E14*100)</f>
        <v/>
      </c>
      <c r="I14" s="79" t="str">
        <f>IF(E14=0,"",'- 6 -'!H14/E14*100)</f>
        <v/>
      </c>
    </row>
    <row r="15" spans="1:9" ht="14.1" customHeight="1">
      <c r="A15" s="384" t="s">
        <v>238</v>
      </c>
      <c r="B15" s="329">
        <v>0</v>
      </c>
      <c r="C15" s="335">
        <f>B15/'- 3 -'!D15*100</f>
        <v>0</v>
      </c>
      <c r="D15" s="385" t="str">
        <f t="shared" si="0"/>
        <v/>
      </c>
      <c r="E15" s="386">
        <f>SUM('- 6 -'!E15:H15)</f>
        <v>0</v>
      </c>
      <c r="F15" s="335" t="str">
        <f>IF(E15=0,"",'- 6 -'!E15/E15*100)</f>
        <v/>
      </c>
      <c r="G15" s="335" t="str">
        <f>IF(E15=0,"",'- 6 -'!F15/E15*100)</f>
        <v/>
      </c>
      <c r="H15" s="335" t="str">
        <f>IF(E15=0,"",'- 6 -'!G15/E15*100)</f>
        <v/>
      </c>
      <c r="I15" s="335" t="str">
        <f>IF(E15=0,"",'- 6 -'!H15/E15*100)</f>
        <v/>
      </c>
    </row>
    <row r="16" spans="1:9" ht="14.1" customHeight="1">
      <c r="A16" s="26" t="s">
        <v>239</v>
      </c>
      <c r="B16" s="27">
        <v>2152195</v>
      </c>
      <c r="C16" s="79">
        <f>B16/'- 3 -'!D16*100</f>
        <v>16.511238285908227</v>
      </c>
      <c r="D16" s="224">
        <f t="shared" si="0"/>
        <v>5590.1168831168834</v>
      </c>
      <c r="E16" s="225">
        <f>SUM('- 6 -'!E16:H16)</f>
        <v>385</v>
      </c>
      <c r="F16" s="79">
        <f>IF(E16=0,"",'- 6 -'!E16/E16*100)</f>
        <v>75.974025974025977</v>
      </c>
      <c r="G16" s="79">
        <f>IF(E16=0,"",'- 6 -'!F16/E16*100)</f>
        <v>0</v>
      </c>
      <c r="H16" s="79">
        <f>IF(E16=0,"",'- 6 -'!G16/E16*100)</f>
        <v>24.025974025974026</v>
      </c>
      <c r="I16" s="79">
        <f>IF(E16=0,"",'- 6 -'!H16/E16*100)</f>
        <v>0</v>
      </c>
    </row>
    <row r="17" spans="1:9" ht="14.1" customHeight="1">
      <c r="A17" s="384" t="s">
        <v>240</v>
      </c>
      <c r="B17" s="329">
        <v>0</v>
      </c>
      <c r="C17" s="335">
        <f>B17/'- 3 -'!D17*100</f>
        <v>0</v>
      </c>
      <c r="D17" s="385" t="str">
        <f t="shared" si="0"/>
        <v/>
      </c>
      <c r="E17" s="386">
        <f>SUM('- 6 -'!E17:H17)</f>
        <v>0</v>
      </c>
      <c r="F17" s="335" t="str">
        <f>IF(E17=0,"",'- 6 -'!E17/E17*100)</f>
        <v/>
      </c>
      <c r="G17" s="335" t="str">
        <f>IF(E17=0,"",'- 6 -'!F17/E17*100)</f>
        <v/>
      </c>
      <c r="H17" s="335" t="str">
        <f>IF(E17=0,"",'- 6 -'!G17/E17*100)</f>
        <v/>
      </c>
      <c r="I17" s="335" t="str">
        <f>IF(E17=0,"",'- 6 -'!H17/E17*100)</f>
        <v/>
      </c>
    </row>
    <row r="18" spans="1:9" ht="14.1" customHeight="1">
      <c r="A18" s="26" t="s">
        <v>241</v>
      </c>
      <c r="B18" s="27">
        <v>0</v>
      </c>
      <c r="C18" s="79">
        <f>B18/'- 3 -'!D18*100</f>
        <v>0</v>
      </c>
      <c r="D18" s="224" t="str">
        <f t="shared" si="0"/>
        <v/>
      </c>
      <c r="E18" s="225">
        <f>SUM('- 6 -'!E18:H18)</f>
        <v>0</v>
      </c>
      <c r="F18" s="79" t="str">
        <f>IF(E18=0,"",'- 6 -'!E18/E18*100)</f>
        <v/>
      </c>
      <c r="G18" s="79" t="str">
        <f>IF(E18=0,"",'- 6 -'!F18/E18*100)</f>
        <v/>
      </c>
      <c r="H18" s="79" t="str">
        <f>IF(E18=0,"",'- 6 -'!G18/E18*100)</f>
        <v/>
      </c>
      <c r="I18" s="79" t="str">
        <f>IF(E18=0,"",'- 6 -'!H18/E18*100)</f>
        <v/>
      </c>
    </row>
    <row r="19" spans="1:9" ht="14.1" customHeight="1">
      <c r="A19" s="384" t="s">
        <v>242</v>
      </c>
      <c r="B19" s="329">
        <v>0</v>
      </c>
      <c r="C19" s="335">
        <f>B19/'- 3 -'!D19*100</f>
        <v>0</v>
      </c>
      <c r="D19" s="385" t="str">
        <f t="shared" si="0"/>
        <v/>
      </c>
      <c r="E19" s="386">
        <f>SUM('- 6 -'!E19:H19)</f>
        <v>0</v>
      </c>
      <c r="F19" s="335" t="str">
        <f>IF(E19=0,"",'- 6 -'!E19/E19*100)</f>
        <v/>
      </c>
      <c r="G19" s="335" t="str">
        <f>IF(E19=0,"",'- 6 -'!F19/E19*100)</f>
        <v/>
      </c>
      <c r="H19" s="335" t="str">
        <f>IF(E19=0,"",'- 6 -'!G19/E19*100)</f>
        <v/>
      </c>
      <c r="I19" s="335" t="str">
        <f>IF(E19=0,"",'- 6 -'!H19/E19*100)</f>
        <v/>
      </c>
    </row>
    <row r="20" spans="1:9" ht="14.1" customHeight="1">
      <c r="A20" s="26" t="s">
        <v>243</v>
      </c>
      <c r="B20" s="27">
        <v>0</v>
      </c>
      <c r="C20" s="79">
        <f>B20/'- 3 -'!D20*100</f>
        <v>0</v>
      </c>
      <c r="D20" s="224" t="str">
        <f t="shared" si="0"/>
        <v/>
      </c>
      <c r="E20" s="225">
        <f>SUM('- 6 -'!E20:H20)</f>
        <v>0</v>
      </c>
      <c r="F20" s="79" t="str">
        <f>IF(E20=0,"",'- 6 -'!E20/E20*100)</f>
        <v/>
      </c>
      <c r="G20" s="79" t="str">
        <f>IF(E20=0,"",'- 6 -'!F20/E20*100)</f>
        <v/>
      </c>
      <c r="H20" s="79" t="str">
        <f>IF(E20=0,"",'- 6 -'!G20/E20*100)</f>
        <v/>
      </c>
      <c r="I20" s="79" t="str">
        <f>IF(E20=0,"",'- 6 -'!H20/E20*100)</f>
        <v/>
      </c>
    </row>
    <row r="21" spans="1:9" ht="14.1" customHeight="1">
      <c r="A21" s="384" t="s">
        <v>244</v>
      </c>
      <c r="B21" s="329">
        <v>1871313</v>
      </c>
      <c r="C21" s="335">
        <f>B21/'- 3 -'!D21*100</f>
        <v>5.4016888206630407</v>
      </c>
      <c r="D21" s="385">
        <f t="shared" si="0"/>
        <v>5544.6311111111108</v>
      </c>
      <c r="E21" s="386">
        <f>SUM('- 6 -'!E21:H21)</f>
        <v>337.5</v>
      </c>
      <c r="F21" s="335">
        <f>IF(E21=0,"",'- 6 -'!E21/E21*100)</f>
        <v>63.555555555555557</v>
      </c>
      <c r="G21" s="335">
        <f>IF(E21=0,"",'- 6 -'!F21/E21*100)</f>
        <v>0</v>
      </c>
      <c r="H21" s="335">
        <f>IF(E21=0,"",'- 6 -'!G21/E21*100)</f>
        <v>36.444444444444443</v>
      </c>
      <c r="I21" s="335">
        <f>IF(E21=0,"",'- 6 -'!H21/E21*100)</f>
        <v>0</v>
      </c>
    </row>
    <row r="22" spans="1:9" ht="14.1" customHeight="1">
      <c r="A22" s="26" t="s">
        <v>245</v>
      </c>
      <c r="B22" s="27">
        <v>4008338</v>
      </c>
      <c r="C22" s="79">
        <f>B22/'- 3 -'!D22*100</f>
        <v>20.801180626932496</v>
      </c>
      <c r="D22" s="224">
        <f t="shared" si="0"/>
        <v>6267.9249413604375</v>
      </c>
      <c r="E22" s="225">
        <f>SUM('- 6 -'!E22:H22)</f>
        <v>639.5</v>
      </c>
      <c r="F22" s="79">
        <f>IF(E22=0,"",'- 6 -'!E22/E22*100)</f>
        <v>79.124315871774826</v>
      </c>
      <c r="G22" s="79">
        <f>IF(E22=0,"",'- 6 -'!F22/E22*100)</f>
        <v>0</v>
      </c>
      <c r="H22" s="79">
        <f>IF(E22=0,"",'- 6 -'!G22/E22*100)</f>
        <v>20.875684128225174</v>
      </c>
      <c r="I22" s="79">
        <f>IF(E22=0,"",'- 6 -'!H22/E22*100)</f>
        <v>0</v>
      </c>
    </row>
    <row r="23" spans="1:9" ht="14.1" customHeight="1">
      <c r="A23" s="384" t="s">
        <v>246</v>
      </c>
      <c r="B23" s="329">
        <v>0</v>
      </c>
      <c r="C23" s="335">
        <f>B23/'- 3 -'!D23*100</f>
        <v>0</v>
      </c>
      <c r="D23" s="385" t="str">
        <f t="shared" si="0"/>
        <v/>
      </c>
      <c r="E23" s="386">
        <f>SUM('- 6 -'!E23:H23)</f>
        <v>0</v>
      </c>
      <c r="F23" s="335" t="str">
        <f>IF(E23=0,"",'- 6 -'!E23/E23*100)</f>
        <v/>
      </c>
      <c r="G23" s="335" t="str">
        <f>IF(E23=0,"",'- 6 -'!F23/E23*100)</f>
        <v/>
      </c>
      <c r="H23" s="335" t="str">
        <f>IF(E23=0,"",'- 6 -'!G23/E23*100)</f>
        <v/>
      </c>
      <c r="I23" s="335" t="str">
        <f>IF(E23=0,"",'- 6 -'!H23/E23*100)</f>
        <v/>
      </c>
    </row>
    <row r="24" spans="1:9" ht="14.1" customHeight="1">
      <c r="A24" s="26" t="s">
        <v>247</v>
      </c>
      <c r="B24" s="27">
        <v>4030297</v>
      </c>
      <c r="C24" s="79">
        <f>B24/'- 3 -'!D24*100</f>
        <v>7.7162670049780226</v>
      </c>
      <c r="D24" s="224">
        <f t="shared" si="0"/>
        <v>6351.9259259259261</v>
      </c>
      <c r="E24" s="225">
        <f>SUM('- 6 -'!E24:H24)</f>
        <v>634.5</v>
      </c>
      <c r="F24" s="79">
        <f>IF(E24=0,"",'- 6 -'!E24/E24*100)</f>
        <v>73.286052009456256</v>
      </c>
      <c r="G24" s="79">
        <f>IF(E24=0,"",'- 6 -'!F24/E24*100)</f>
        <v>0</v>
      </c>
      <c r="H24" s="79">
        <f>IF(E24=0,"",'- 6 -'!G24/E24*100)</f>
        <v>16.706067769897555</v>
      </c>
      <c r="I24" s="79">
        <f>IF(E24=0,"",'- 6 -'!H24/E24*100)</f>
        <v>10.007880220646179</v>
      </c>
    </row>
    <row r="25" spans="1:9" ht="14.1" customHeight="1">
      <c r="A25" s="384" t="s">
        <v>248</v>
      </c>
      <c r="B25" s="329">
        <v>697859</v>
      </c>
      <c r="C25" s="335">
        <f>B25/'- 3 -'!D25*100</f>
        <v>0.4528432005427222</v>
      </c>
      <c r="D25" s="385">
        <f t="shared" si="0"/>
        <v>5516.671936758893</v>
      </c>
      <c r="E25" s="386">
        <f>SUM('- 6 -'!E25:H25)</f>
        <v>126.5</v>
      </c>
      <c r="F25" s="335">
        <f>IF(E25=0,"",'- 6 -'!E25/E25*100)</f>
        <v>0</v>
      </c>
      <c r="G25" s="335">
        <f>IF(E25=0,"",'- 6 -'!F25/E25*100)</f>
        <v>6.3241106719367588</v>
      </c>
      <c r="H25" s="335">
        <f>IF(E25=0,"",'- 6 -'!G25/E25*100)</f>
        <v>93.675889328063249</v>
      </c>
      <c r="I25" s="335">
        <f>IF(E25=0,"",'- 6 -'!H25/E25*100)</f>
        <v>0</v>
      </c>
    </row>
    <row r="26" spans="1:9" ht="14.1" customHeight="1">
      <c r="A26" s="26" t="s">
        <v>249</v>
      </c>
      <c r="B26" s="27">
        <v>1531660</v>
      </c>
      <c r="C26" s="79">
        <f>B26/'- 3 -'!D26*100</f>
        <v>4.0735773722652002</v>
      </c>
      <c r="D26" s="224">
        <f t="shared" si="0"/>
        <v>4989.1205211726383</v>
      </c>
      <c r="E26" s="225">
        <f>SUM('- 6 -'!E26:H26)</f>
        <v>307</v>
      </c>
      <c r="F26" s="79">
        <f>IF(E26=0,"",'- 6 -'!E26/E26*100)</f>
        <v>65.798045602605853</v>
      </c>
      <c r="G26" s="79">
        <f>IF(E26=0,"",'- 6 -'!F26/E26*100)</f>
        <v>0</v>
      </c>
      <c r="H26" s="79">
        <f>IF(E26=0,"",'- 6 -'!G26/E26*100)</f>
        <v>11.400651465798045</v>
      </c>
      <c r="I26" s="79">
        <f>IF(E26=0,"",'- 6 -'!H26/E26*100)</f>
        <v>22.801302931596091</v>
      </c>
    </row>
    <row r="27" spans="1:9" ht="14.1" customHeight="1">
      <c r="A27" s="384" t="s">
        <v>250</v>
      </c>
      <c r="B27" s="329">
        <v>2204349</v>
      </c>
      <c r="C27" s="335">
        <f>B27/'- 3 -'!D27*100</f>
        <v>5.990976636851963</v>
      </c>
      <c r="D27" s="385">
        <f t="shared" si="0"/>
        <v>6814.0618238021634</v>
      </c>
      <c r="E27" s="386">
        <f>SUM('- 6 -'!E27:H27)</f>
        <v>323.5</v>
      </c>
      <c r="F27" s="335">
        <f>IF(E27=0,"",'- 6 -'!E27/E27*100)</f>
        <v>33.38485316846986</v>
      </c>
      <c r="G27" s="335">
        <f>IF(E27=0,"",'- 6 -'!F27/E27*100)</f>
        <v>0</v>
      </c>
      <c r="H27" s="335">
        <f>IF(E27=0,"",'- 6 -'!G27/E27*100)</f>
        <v>66.61514683153014</v>
      </c>
      <c r="I27" s="335">
        <f>IF(E27=0,"",'- 6 -'!H27/E27*100)</f>
        <v>0</v>
      </c>
    </row>
    <row r="28" spans="1:9" ht="14.1" customHeight="1">
      <c r="A28" s="26" t="s">
        <v>251</v>
      </c>
      <c r="B28" s="27">
        <v>0</v>
      </c>
      <c r="C28" s="79">
        <f>B28/'- 3 -'!D28*100</f>
        <v>0</v>
      </c>
      <c r="D28" s="224" t="str">
        <f t="shared" si="0"/>
        <v/>
      </c>
      <c r="E28" s="225">
        <f>SUM('- 6 -'!E28:H28)</f>
        <v>0</v>
      </c>
      <c r="F28" s="79" t="str">
        <f>IF(E28=0,"",'- 6 -'!E28/E28*100)</f>
        <v/>
      </c>
      <c r="G28" s="79" t="str">
        <f>IF(E28=0,"",'- 6 -'!F28/E28*100)</f>
        <v/>
      </c>
      <c r="H28" s="79" t="str">
        <f>IF(E28=0,"",'- 6 -'!G28/E28*100)</f>
        <v/>
      </c>
      <c r="I28" s="79" t="str">
        <f>IF(E28=0,"",'- 6 -'!H28/E28*100)</f>
        <v/>
      </c>
    </row>
    <row r="29" spans="1:9" ht="14.1" customHeight="1">
      <c r="A29" s="384" t="s">
        <v>252</v>
      </c>
      <c r="B29" s="329">
        <v>17609993</v>
      </c>
      <c r="C29" s="335">
        <f>B29/'- 3 -'!D29*100</f>
        <v>12.509115550979914</v>
      </c>
      <c r="D29" s="385">
        <f t="shared" si="0"/>
        <v>5215.3032636379794</v>
      </c>
      <c r="E29" s="386">
        <f>SUM('- 6 -'!E29:H29)</f>
        <v>3376.6</v>
      </c>
      <c r="F29" s="335">
        <f>IF(E29=0,"",'- 6 -'!E29/E29*100)</f>
        <v>65.77918616359652</v>
      </c>
      <c r="G29" s="335">
        <f>IF(E29=0,"",'- 6 -'!F29/E29*100)</f>
        <v>0</v>
      </c>
      <c r="H29" s="335">
        <f>IF(E29=0,"",'- 6 -'!G29/E29*100)</f>
        <v>34.220813836403487</v>
      </c>
      <c r="I29" s="335">
        <f>IF(E29=0,"",'- 6 -'!H29/E29*100)</f>
        <v>0</v>
      </c>
    </row>
    <row r="30" spans="1:9" ht="14.1" customHeight="1">
      <c r="A30" s="26" t="s">
        <v>253</v>
      </c>
      <c r="B30" s="27">
        <v>0</v>
      </c>
      <c r="C30" s="79">
        <f>B30/'- 3 -'!D30*100</f>
        <v>0</v>
      </c>
      <c r="D30" s="224" t="str">
        <f t="shared" si="0"/>
        <v/>
      </c>
      <c r="E30" s="225">
        <f>SUM('- 6 -'!E30:H30)</f>
        <v>0</v>
      </c>
      <c r="F30" s="79" t="str">
        <f>IF(E30=0,"",'- 6 -'!E30/E30*100)</f>
        <v/>
      </c>
      <c r="G30" s="79" t="str">
        <f>IF(E30=0,"",'- 6 -'!F30/E30*100)</f>
        <v/>
      </c>
      <c r="H30" s="79" t="str">
        <f>IF(E30=0,"",'- 6 -'!G30/E30*100)</f>
        <v/>
      </c>
      <c r="I30" s="79" t="str">
        <f>IF(E30=0,"",'- 6 -'!H30/E30*100)</f>
        <v/>
      </c>
    </row>
    <row r="31" spans="1:9" ht="14.1" customHeight="1">
      <c r="A31" s="384" t="s">
        <v>254</v>
      </c>
      <c r="B31" s="329">
        <v>3041908</v>
      </c>
      <c r="C31" s="335">
        <f>B31/'- 3 -'!D31*100</f>
        <v>9.023719156754515</v>
      </c>
      <c r="D31" s="385">
        <f t="shared" si="0"/>
        <v>3981.5549738219897</v>
      </c>
      <c r="E31" s="386">
        <f>SUM('- 6 -'!E31:H31)</f>
        <v>764</v>
      </c>
      <c r="F31" s="335">
        <f>IF(E31=0,"",'- 6 -'!E31/E31*100)</f>
        <v>64.921465968586389</v>
      </c>
      <c r="G31" s="335">
        <f>IF(E31=0,"",'- 6 -'!F31/E31*100)</f>
        <v>0</v>
      </c>
      <c r="H31" s="335">
        <f>IF(E31=0,"",'- 6 -'!G31/E31*100)</f>
        <v>35.078534031413611</v>
      </c>
      <c r="I31" s="335">
        <f>IF(E31=0,"",'- 6 -'!H31/E31*100)</f>
        <v>0</v>
      </c>
    </row>
    <row r="32" spans="1:9" ht="14.1" customHeight="1">
      <c r="A32" s="26" t="s">
        <v>255</v>
      </c>
      <c r="B32" s="27">
        <v>1095259</v>
      </c>
      <c r="C32" s="79">
        <f>B32/'- 3 -'!D32*100</f>
        <v>4.2081041291372685</v>
      </c>
      <c r="D32" s="224">
        <f t="shared" si="0"/>
        <v>6932.0189873417721</v>
      </c>
      <c r="E32" s="225">
        <f>SUM('- 6 -'!E32:H32)</f>
        <v>158</v>
      </c>
      <c r="F32" s="79">
        <f>IF(E32=0,"",'- 6 -'!E32/E32*100)</f>
        <v>69.620253164556971</v>
      </c>
      <c r="G32" s="79">
        <f>IF(E32=0,"",'- 6 -'!F32/E32*100)</f>
        <v>0</v>
      </c>
      <c r="H32" s="79">
        <f>IF(E32=0,"",'- 6 -'!G32/E32*100)</f>
        <v>30.37974683544304</v>
      </c>
      <c r="I32" s="79">
        <f>IF(E32=0,"",'- 6 -'!H32/E32*100)</f>
        <v>0</v>
      </c>
    </row>
    <row r="33" spans="1:10" ht="14.1" customHeight="1">
      <c r="A33" s="384" t="s">
        <v>256</v>
      </c>
      <c r="B33" s="329">
        <v>2592961</v>
      </c>
      <c r="C33" s="335">
        <f>B33/'- 3 -'!D33*100</f>
        <v>9.9041241156291981</v>
      </c>
      <c r="D33" s="385">
        <f t="shared" si="0"/>
        <v>5717.6648291069459</v>
      </c>
      <c r="E33" s="386">
        <f>SUM('- 6 -'!E33:H33)</f>
        <v>453.5</v>
      </c>
      <c r="F33" s="335">
        <f>IF(E33=0,"",'- 6 -'!E33/E33*100)</f>
        <v>55.237045203969124</v>
      </c>
      <c r="G33" s="335">
        <f>IF(E33=0,"",'- 6 -'!F33/E33*100)</f>
        <v>27.783902976846747</v>
      </c>
      <c r="H33" s="335">
        <f>IF(E33=0,"",'- 6 -'!G33/E33*100)</f>
        <v>16.979051819184125</v>
      </c>
      <c r="I33" s="335">
        <f>IF(E33=0,"",'- 6 -'!H33/E33*100)</f>
        <v>0</v>
      </c>
    </row>
    <row r="34" spans="1:10" ht="14.1" customHeight="1">
      <c r="A34" s="26" t="s">
        <v>257</v>
      </c>
      <c r="B34" s="27">
        <v>1026003</v>
      </c>
      <c r="C34" s="79">
        <f>B34/'- 3 -'!D34*100</f>
        <v>4.0674232501082566</v>
      </c>
      <c r="D34" s="224">
        <f t="shared" si="0"/>
        <v>7250.904593639576</v>
      </c>
      <c r="E34" s="225">
        <f>SUM('- 6 -'!E34:H34)</f>
        <v>141.5</v>
      </c>
      <c r="F34" s="79">
        <f>IF(E34=0,"",'- 6 -'!E34/E34*100)</f>
        <v>27.561837455830389</v>
      </c>
      <c r="G34" s="79">
        <f>IF(E34=0,"",'- 6 -'!F34/E34*100)</f>
        <v>72.438162544169614</v>
      </c>
      <c r="H34" s="79">
        <f>IF(E34=0,"",'- 6 -'!G34/E34*100)</f>
        <v>0</v>
      </c>
      <c r="I34" s="79">
        <f>IF(E34=0,"",'- 6 -'!H34/E34*100)</f>
        <v>0</v>
      </c>
    </row>
    <row r="35" spans="1:10" ht="14.1" customHeight="1">
      <c r="A35" s="384" t="s">
        <v>258</v>
      </c>
      <c r="B35" s="329">
        <v>25417133</v>
      </c>
      <c r="C35" s="335">
        <f>B35/'- 3 -'!D35*100</f>
        <v>14.836538502904142</v>
      </c>
      <c r="D35" s="385">
        <f t="shared" si="0"/>
        <v>5421.1651914258291</v>
      </c>
      <c r="E35" s="386">
        <f>SUM('- 6 -'!E35:H35)</f>
        <v>4688.5</v>
      </c>
      <c r="F35" s="335">
        <f>IF(E35=0,"",'- 6 -'!E35/E35*100)</f>
        <v>56.542604244427849</v>
      </c>
      <c r="G35" s="335">
        <f>IF(E35=0,"",'- 6 -'!F35/E35*100)</f>
        <v>0</v>
      </c>
      <c r="H35" s="335">
        <f>IF(E35=0,"",'- 6 -'!G35/E35*100)</f>
        <v>34.296683374213501</v>
      </c>
      <c r="I35" s="335">
        <f>IF(E35=0,"",'- 6 -'!H35/E35*100)</f>
        <v>9.1607123813586426</v>
      </c>
    </row>
    <row r="36" spans="1:10" ht="14.1" customHeight="1">
      <c r="A36" s="26" t="s">
        <v>259</v>
      </c>
      <c r="B36" s="27">
        <v>0</v>
      </c>
      <c r="C36" s="79">
        <f>B36/'- 3 -'!D36*100</f>
        <v>0</v>
      </c>
      <c r="D36" s="224" t="str">
        <f t="shared" si="0"/>
        <v/>
      </c>
      <c r="E36" s="225">
        <f>SUM('- 6 -'!E36:H36)</f>
        <v>0</v>
      </c>
      <c r="F36" s="79" t="str">
        <f>IF(E36=0,"",'- 6 -'!E36/E36*100)</f>
        <v/>
      </c>
      <c r="G36" s="79" t="str">
        <f>IF(E36=0,"",'- 6 -'!F36/E36*100)</f>
        <v/>
      </c>
      <c r="H36" s="79" t="str">
        <f>IF(E36=0,"",'- 6 -'!G36/E36*100)</f>
        <v/>
      </c>
      <c r="I36" s="79" t="str">
        <f>IF(E36=0,"",'- 6 -'!H36/E36*100)</f>
        <v/>
      </c>
    </row>
    <row r="37" spans="1:10" ht="14.1" customHeight="1">
      <c r="A37" s="384" t="s">
        <v>260</v>
      </c>
      <c r="B37" s="329">
        <v>6231337</v>
      </c>
      <c r="C37" s="335">
        <f>B37/'- 3 -'!D37*100</f>
        <v>14.707993665542924</v>
      </c>
      <c r="D37" s="385">
        <f t="shared" si="0"/>
        <v>5164.8048072938254</v>
      </c>
      <c r="E37" s="386">
        <f>SUM('- 6 -'!E37:H37)</f>
        <v>1206.5</v>
      </c>
      <c r="F37" s="335">
        <f>IF(E37=0,"",'- 6 -'!E37/E37*100)</f>
        <v>62.121840033153752</v>
      </c>
      <c r="G37" s="335">
        <f>IF(E37=0,"",'- 6 -'!F37/E37*100)</f>
        <v>0</v>
      </c>
      <c r="H37" s="335">
        <f>IF(E37=0,"",'- 6 -'!G37/E37*100)</f>
        <v>37.878159966846248</v>
      </c>
      <c r="I37" s="335">
        <f>IF(E37=0,"",'- 6 -'!H37/E37*100)</f>
        <v>0</v>
      </c>
    </row>
    <row r="38" spans="1:10" ht="14.1" customHeight="1">
      <c r="A38" s="26" t="s">
        <v>261</v>
      </c>
      <c r="B38" s="27">
        <v>23291851</v>
      </c>
      <c r="C38" s="79">
        <f>B38/'- 3 -'!D38*100</f>
        <v>20.248294605773562</v>
      </c>
      <c r="D38" s="224">
        <f t="shared" si="0"/>
        <v>5409.7900360004642</v>
      </c>
      <c r="E38" s="225">
        <f>SUM('- 6 -'!E38:H38)</f>
        <v>4305.5</v>
      </c>
      <c r="F38" s="79">
        <f>IF(E38=0,"",'- 6 -'!E38/E38*100)</f>
        <v>70.270584136569497</v>
      </c>
      <c r="G38" s="79">
        <f>IF(E38=0,"",'- 6 -'!F38/E38*100)</f>
        <v>0</v>
      </c>
      <c r="H38" s="79">
        <f>IF(E38=0,"",'- 6 -'!G38/E38*100)</f>
        <v>26.872604807803974</v>
      </c>
      <c r="I38" s="79">
        <f>IF(E38=0,"",'- 6 -'!H38/E38*100)</f>
        <v>2.8568110556265243</v>
      </c>
    </row>
    <row r="39" spans="1:10" ht="14.1" customHeight="1">
      <c r="A39" s="384" t="s">
        <v>262</v>
      </c>
      <c r="B39" s="329">
        <v>0</v>
      </c>
      <c r="C39" s="335">
        <f>B39/'- 3 -'!D39*100</f>
        <v>0</v>
      </c>
      <c r="D39" s="385" t="str">
        <f t="shared" si="0"/>
        <v/>
      </c>
      <c r="E39" s="386">
        <f>SUM('- 6 -'!E39:H39)</f>
        <v>0</v>
      </c>
      <c r="F39" s="335" t="str">
        <f>IF(E39=0,"",'- 6 -'!E39/E39*100)</f>
        <v/>
      </c>
      <c r="G39" s="335" t="str">
        <f>IF(E39=0,"",'- 6 -'!F39/E39*100)</f>
        <v/>
      </c>
      <c r="H39" s="335" t="str">
        <f>IF(E39=0,"",'- 6 -'!G39/E39*100)</f>
        <v/>
      </c>
      <c r="I39" s="335" t="str">
        <f>IF(E39=0,"",'- 6 -'!H39/E39*100)</f>
        <v/>
      </c>
    </row>
    <row r="40" spans="1:10" ht="14.1" customHeight="1">
      <c r="A40" s="26" t="s">
        <v>263</v>
      </c>
      <c r="B40" s="27">
        <v>7873297</v>
      </c>
      <c r="C40" s="79">
        <f>B40/'- 3 -'!D40*100</f>
        <v>8.2743828129696393</v>
      </c>
      <c r="D40" s="224">
        <f t="shared" si="0"/>
        <v>5217.213571002585</v>
      </c>
      <c r="E40" s="225">
        <f>SUM('- 6 -'!E40:H40)</f>
        <v>1509.1</v>
      </c>
      <c r="F40" s="79">
        <f>IF(E40=0,"",'- 6 -'!E40/E40*100)</f>
        <v>65.012258962295405</v>
      </c>
      <c r="G40" s="79">
        <f>IF(E40=0,"",'- 6 -'!F40/E40*100)</f>
        <v>0</v>
      </c>
      <c r="H40" s="79">
        <f>IF(E40=0,"",'- 6 -'!G40/E40*100)</f>
        <v>34.987741037704595</v>
      </c>
      <c r="I40" s="79">
        <f>IF(E40=0,"",'- 6 -'!H40/E40*100)</f>
        <v>0</v>
      </c>
    </row>
    <row r="41" spans="1:10" ht="14.1" customHeight="1">
      <c r="A41" s="384" t="s">
        <v>264</v>
      </c>
      <c r="B41" s="329">
        <v>12695187</v>
      </c>
      <c r="C41" s="335">
        <f>B41/'- 3 -'!D41*100</f>
        <v>21.661663484778124</v>
      </c>
      <c r="D41" s="385">
        <f t="shared" si="0"/>
        <v>5522.0474119182254</v>
      </c>
      <c r="E41" s="386">
        <f>SUM('- 6 -'!E41:H41)</f>
        <v>2299</v>
      </c>
      <c r="F41" s="335">
        <f>IF(E41=0,"",'- 6 -'!E41/E41*100)</f>
        <v>68.834275772074818</v>
      </c>
      <c r="G41" s="335">
        <f>IF(E41=0,"",'- 6 -'!F41/E41*100)</f>
        <v>0</v>
      </c>
      <c r="H41" s="335">
        <f>IF(E41=0,"",'- 6 -'!G41/E41*100)</f>
        <v>28.27316224445411</v>
      </c>
      <c r="I41" s="335">
        <f>IF(E41=0,"",'- 6 -'!H41/E41*100)</f>
        <v>2.8925619834710745</v>
      </c>
    </row>
    <row r="42" spans="1:10" ht="14.1" customHeight="1">
      <c r="A42" s="26" t="s">
        <v>265</v>
      </c>
      <c r="B42" s="27">
        <v>1330158</v>
      </c>
      <c r="C42" s="79">
        <f>B42/'- 3 -'!D42*100</f>
        <v>6.6022558270767844</v>
      </c>
      <c r="D42" s="224">
        <f t="shared" si="0"/>
        <v>5770.750542299349</v>
      </c>
      <c r="E42" s="225">
        <f>SUM('- 6 -'!E42:H42)</f>
        <v>230.5</v>
      </c>
      <c r="F42" s="79">
        <f>IF(E42=0,"",'- 6 -'!E42/E42*100)</f>
        <v>66.377440347071584</v>
      </c>
      <c r="G42" s="79">
        <f>IF(E42=0,"",'- 6 -'!F42/E42*100)</f>
        <v>0</v>
      </c>
      <c r="H42" s="79">
        <f>IF(E42=0,"",'- 6 -'!G42/E42*100)</f>
        <v>33.622559652928416</v>
      </c>
      <c r="I42" s="79">
        <f>IF(E42=0,"",'- 6 -'!H42/E42*100)</f>
        <v>0</v>
      </c>
    </row>
    <row r="43" spans="1:10" ht="14.1" customHeight="1">
      <c r="A43" s="384" t="s">
        <v>266</v>
      </c>
      <c r="B43" s="329">
        <v>0</v>
      </c>
      <c r="C43" s="335">
        <f>B43/'- 3 -'!D43*100</f>
        <v>0</v>
      </c>
      <c r="D43" s="385" t="str">
        <f t="shared" si="0"/>
        <v/>
      </c>
      <c r="E43" s="386">
        <f>SUM('- 6 -'!E43:H43)</f>
        <v>0</v>
      </c>
      <c r="F43" s="335" t="str">
        <f>IF(E43=0,"",'- 6 -'!E43/E43*100)</f>
        <v/>
      </c>
      <c r="G43" s="335" t="str">
        <f>IF(E43=0,"",'- 6 -'!F43/E43*100)</f>
        <v/>
      </c>
      <c r="H43" s="335" t="str">
        <f>IF(E43=0,"",'- 6 -'!G43/E43*100)</f>
        <v/>
      </c>
      <c r="I43" s="335" t="str">
        <f>IF(E43=0,"",'- 6 -'!H43/E43*100)</f>
        <v/>
      </c>
    </row>
    <row r="44" spans="1:10" ht="14.1" customHeight="1">
      <c r="A44" s="26" t="s">
        <v>267</v>
      </c>
      <c r="B44" s="27">
        <v>0</v>
      </c>
      <c r="C44" s="79">
        <f>B44/'- 3 -'!D44*100</f>
        <v>0</v>
      </c>
      <c r="D44" s="224" t="str">
        <f t="shared" si="0"/>
        <v/>
      </c>
      <c r="E44" s="225">
        <f>SUM('- 6 -'!E44:H44)</f>
        <v>0</v>
      </c>
      <c r="F44" s="79" t="str">
        <f>IF(E44=0,"",'- 6 -'!E44/E44*100)</f>
        <v/>
      </c>
      <c r="G44" s="79" t="str">
        <f>IF(E44=0,"",'- 6 -'!F44/E44*100)</f>
        <v/>
      </c>
      <c r="H44" s="79" t="str">
        <f>IF(E44=0,"",'- 6 -'!G44/E44*100)</f>
        <v/>
      </c>
      <c r="I44" s="79" t="str">
        <f>IF(E44=0,"",'- 6 -'!H44/E44*100)</f>
        <v/>
      </c>
    </row>
    <row r="45" spans="1:10" ht="14.1" customHeight="1">
      <c r="A45" s="384" t="s">
        <v>268</v>
      </c>
      <c r="B45" s="329">
        <v>4433425</v>
      </c>
      <c r="C45" s="335">
        <f>B45/'- 3 -'!D45*100</f>
        <v>26.261427260894799</v>
      </c>
      <c r="D45" s="385">
        <f t="shared" si="0"/>
        <v>4967.4229691876753</v>
      </c>
      <c r="E45" s="386">
        <f>SUM('- 6 -'!E45:H45)</f>
        <v>892.5</v>
      </c>
      <c r="F45" s="335">
        <f>IF(E45=0,"",'- 6 -'!E45/E45*100)</f>
        <v>78.207282913165272</v>
      </c>
      <c r="G45" s="335">
        <f>IF(E45=0,"",'- 6 -'!F45/E45*100)</f>
        <v>0</v>
      </c>
      <c r="H45" s="335">
        <f>IF(E45=0,"",'- 6 -'!G45/E45*100)</f>
        <v>21.792717086834735</v>
      </c>
      <c r="I45" s="335">
        <f>IF(E45=0,"",'- 6 -'!H45/E45*100)</f>
        <v>0</v>
      </c>
    </row>
    <row r="46" spans="1:10" ht="14.1" customHeight="1">
      <c r="A46" s="26" t="s">
        <v>269</v>
      </c>
      <c r="B46" s="27">
        <v>26726895</v>
      </c>
      <c r="C46" s="79">
        <f>B46/'- 3 -'!D46*100</f>
        <v>7.506502937099679</v>
      </c>
      <c r="D46" s="224">
        <f t="shared" si="0"/>
        <v>4297.6193921852391</v>
      </c>
      <c r="E46" s="225">
        <f>SUM('- 6 -'!E46:H46)</f>
        <v>6219</v>
      </c>
      <c r="F46" s="79">
        <f>IF(E46=0,"",'- 6 -'!E46/E46*100)</f>
        <v>60.041807364528054</v>
      </c>
      <c r="G46" s="79">
        <f>IF(E46=0,"",'- 6 -'!F46/E46*100)</f>
        <v>0</v>
      </c>
      <c r="H46" s="79">
        <f>IF(E46=0,"",'- 6 -'!G46/E46*100)</f>
        <v>37.079916385270941</v>
      </c>
      <c r="I46" s="79">
        <f>IF(E46=0,"",'- 6 -'!H46/E46*100)</f>
        <v>2.8782762502009969</v>
      </c>
    </row>
    <row r="47" spans="1:10" ht="5.0999999999999996" customHeight="1">
      <c r="A47"/>
      <c r="B47" s="29"/>
      <c r="C47"/>
      <c r="D47"/>
      <c r="E47"/>
      <c r="F47"/>
      <c r="G47"/>
      <c r="H47"/>
      <c r="I47"/>
      <c r="J47"/>
    </row>
    <row r="48" spans="1:10" ht="14.1" customHeight="1">
      <c r="A48" s="330" t="s">
        <v>270</v>
      </c>
      <c r="B48" s="331">
        <f>SUM(B11:B46)</f>
        <v>156244177</v>
      </c>
      <c r="C48" s="338">
        <f>B48/'- 3 -'!D48*100</f>
        <v>7.556979481663638</v>
      </c>
      <c r="D48" s="387">
        <f>B48/E48</f>
        <v>5130.2955488717862</v>
      </c>
      <c r="E48" s="388">
        <f>SUM(E11:E46)</f>
        <v>30455.199999999997</v>
      </c>
      <c r="F48" s="338">
        <f>IF(E48=0,"",'- 6 -'!E48/E48*100)</f>
        <v>64.255693608973189</v>
      </c>
      <c r="G48" s="338">
        <f>IF(E48=0,"",'- 6 -'!F48/E48*100)</f>
        <v>0.77655047413906331</v>
      </c>
      <c r="H48" s="338">
        <f>IF(E48=0,"",'- 6 -'!G48/E48*100)</f>
        <v>31.909164937350603</v>
      </c>
      <c r="I48" s="338">
        <f>IF(E48=0,"",'- 6 -'!H48/E48*100)</f>
        <v>3.0585909795371564</v>
      </c>
    </row>
    <row r="49" spans="1:9" ht="5.0999999999999996" customHeight="1">
      <c r="A49" s="28" t="s">
        <v>16</v>
      </c>
      <c r="B49" s="29"/>
      <c r="C49"/>
      <c r="D49" s="29"/>
      <c r="E49" s="226"/>
      <c r="F49"/>
      <c r="G49"/>
      <c r="H49"/>
      <c r="I49"/>
    </row>
    <row r="50" spans="1:9" ht="14.1" customHeight="1">
      <c r="A50" s="26" t="s">
        <v>271</v>
      </c>
      <c r="B50" s="27">
        <v>0</v>
      </c>
      <c r="C50" s="79">
        <f>B50/'- 3 -'!D50*100</f>
        <v>0</v>
      </c>
      <c r="D50" s="224" t="str">
        <f>IF(E50=0,"",B50/E50)</f>
        <v/>
      </c>
      <c r="E50" s="225">
        <f>SUM('- 6 -'!E50:H50)</f>
        <v>0</v>
      </c>
      <c r="F50" s="79" t="str">
        <f>IF(E50=0,"",'- 6 -'!E50/E50*100)</f>
        <v/>
      </c>
      <c r="G50" s="79" t="str">
        <f>IF(E50=0,"",'- 6 -'!F50/E50*100)</f>
        <v/>
      </c>
      <c r="H50" s="79" t="str">
        <f>IF(E50=0,"",'- 6 -'!G50/E50*100)</f>
        <v/>
      </c>
      <c r="I50" s="79" t="str">
        <f>IF(E50=0,"",'- 6 -'!H50/E50*100)</f>
        <v/>
      </c>
    </row>
    <row r="51" spans="1:9" ht="14.1" customHeight="1">
      <c r="A51" s="384" t="s">
        <v>272</v>
      </c>
      <c r="B51" s="329">
        <v>0</v>
      </c>
      <c r="C51" s="335">
        <f>B51/'- 3 -'!D51*100</f>
        <v>0</v>
      </c>
      <c r="D51" s="385" t="str">
        <f>IF(E51=0,"",B51/E51)</f>
        <v/>
      </c>
      <c r="E51" s="386">
        <f>SUM('- 6 -'!E51:H51)</f>
        <v>0</v>
      </c>
      <c r="F51" s="335" t="str">
        <f>IF(E51=0,"",'- 6 -'!E51/E51*100)</f>
        <v/>
      </c>
      <c r="G51" s="335" t="str">
        <f>IF(E51=0,"",'- 6 -'!F51/E51*100)</f>
        <v/>
      </c>
      <c r="H51" s="335" t="str">
        <f>IF(E51=0,"",'- 6 -'!G51/E51*100)</f>
        <v/>
      </c>
      <c r="I51" s="335" t="str">
        <f>IF(E51=0,"",'- 6 -'!H51/E51*100)</f>
        <v/>
      </c>
    </row>
    <row r="52" spans="1:9" ht="50.1" customHeight="1">
      <c r="A52" s="30"/>
      <c r="B52" s="126"/>
      <c r="C52" s="126"/>
      <c r="D52" s="126"/>
      <c r="E52" s="126"/>
      <c r="F52" s="126"/>
      <c r="G52" s="126"/>
      <c r="H52" s="126"/>
      <c r="I52" s="126"/>
    </row>
    <row r="53" spans="1:9" ht="15" customHeight="1">
      <c r="A53" s="96" t="s">
        <v>611</v>
      </c>
      <c r="C53" s="96"/>
      <c r="D53" s="96"/>
      <c r="E53" s="96"/>
      <c r="F53" s="96"/>
      <c r="G53" s="96"/>
      <c r="H53" s="96"/>
      <c r="I53" s="9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sheetPr codeName="Sheet16">
    <pageSetUpPr fitToPage="1"/>
  </sheetPr>
  <dimension ref="A1:J55"/>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5.83203125" style="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478</v>
      </c>
      <c r="C2" s="9"/>
      <c r="D2" s="9"/>
      <c r="E2" s="9"/>
      <c r="F2" s="9"/>
      <c r="G2" s="82"/>
      <c r="H2" s="82"/>
      <c r="I2" s="207"/>
      <c r="J2" s="153" t="s">
        <v>450</v>
      </c>
    </row>
    <row r="3" spans="1:10" ht="15.95" customHeight="1">
      <c r="A3" s="697"/>
      <c r="B3" s="10" t="str">
        <f>OPYEAR</f>
        <v>OPERATING FUND 2013/2014 ACTUAL</v>
      </c>
      <c r="C3" s="11"/>
      <c r="D3" s="11"/>
      <c r="E3" s="11"/>
      <c r="F3" s="11"/>
      <c r="G3" s="84"/>
      <c r="H3" s="84"/>
      <c r="I3" s="84"/>
      <c r="J3" s="74"/>
    </row>
    <row r="4" spans="1:10" ht="15.95" customHeight="1">
      <c r="B4" s="7"/>
      <c r="C4" s="7"/>
      <c r="D4" s="74"/>
      <c r="E4" s="7"/>
      <c r="F4" s="7"/>
      <c r="G4" s="7"/>
      <c r="H4" s="7"/>
      <c r="I4" s="7"/>
      <c r="J4" s="7"/>
    </row>
    <row r="5" spans="1:10" ht="15.95" customHeight="1">
      <c r="B5" s="477" t="s">
        <v>428</v>
      </c>
      <c r="C5" s="186"/>
      <c r="D5" s="187"/>
      <c r="E5" s="187"/>
      <c r="F5" s="187"/>
      <c r="G5" s="187"/>
      <c r="H5" s="187"/>
      <c r="I5" s="187"/>
      <c r="J5" s="188"/>
    </row>
    <row r="6" spans="1:10" ht="15.95" customHeight="1">
      <c r="B6" s="355" t="s">
        <v>23</v>
      </c>
      <c r="C6" s="358"/>
      <c r="D6" s="356"/>
      <c r="E6" s="365"/>
      <c r="F6" s="366"/>
      <c r="G6" s="367"/>
      <c r="H6" s="355" t="s">
        <v>24</v>
      </c>
      <c r="I6" s="358"/>
      <c r="J6" s="356"/>
    </row>
    <row r="7" spans="1:10" ht="15.95" customHeight="1">
      <c r="B7" s="342" t="s">
        <v>47</v>
      </c>
      <c r="C7" s="343"/>
      <c r="D7" s="344"/>
      <c r="E7" s="342" t="s">
        <v>405</v>
      </c>
      <c r="F7" s="343"/>
      <c r="G7" s="344"/>
      <c r="H7" s="342" t="s">
        <v>48</v>
      </c>
      <c r="I7" s="343"/>
      <c r="J7" s="344"/>
    </row>
    <row r="8" spans="1:10" ht="15.95" customHeight="1">
      <c r="A8" s="75"/>
      <c r="B8" s="155"/>
      <c r="C8" s="156"/>
      <c r="D8" s="157" t="s">
        <v>73</v>
      </c>
      <c r="E8" s="155"/>
      <c r="F8" s="157"/>
      <c r="G8" s="157" t="s">
        <v>73</v>
      </c>
      <c r="H8" s="155"/>
      <c r="I8" s="157"/>
      <c r="J8" s="157" t="s">
        <v>73</v>
      </c>
    </row>
    <row r="9" spans="1:10" ht="15.95" customHeight="1">
      <c r="A9" s="42" t="s">
        <v>93</v>
      </c>
      <c r="B9" s="87" t="s">
        <v>94</v>
      </c>
      <c r="C9" s="87" t="s">
        <v>95</v>
      </c>
      <c r="D9" s="87" t="s">
        <v>96</v>
      </c>
      <c r="E9" s="87" t="s">
        <v>94</v>
      </c>
      <c r="F9" s="87" t="s">
        <v>95</v>
      </c>
      <c r="G9" s="87" t="s">
        <v>96</v>
      </c>
      <c r="H9" s="87" t="s">
        <v>94</v>
      </c>
      <c r="I9" s="87" t="s">
        <v>95</v>
      </c>
      <c r="J9" s="87" t="s">
        <v>96</v>
      </c>
    </row>
    <row r="10" spans="1:10" ht="5.0999999999999996" customHeight="1">
      <c r="A10" s="5"/>
    </row>
    <row r="11" spans="1:10" ht="14.1" customHeight="1">
      <c r="A11" s="328" t="s">
        <v>235</v>
      </c>
      <c r="B11" s="329">
        <v>140386</v>
      </c>
      <c r="C11" s="335">
        <f>B11/'- 3 -'!$D11*100</f>
        <v>0.84259859071535415</v>
      </c>
      <c r="D11" s="329">
        <f>B11/'- 7 -'!$E11</f>
        <v>94.663519892110585</v>
      </c>
      <c r="E11" s="329">
        <v>0</v>
      </c>
      <c r="F11" s="335">
        <f>E11/'- 3 -'!$D11*100</f>
        <v>0</v>
      </c>
      <c r="G11" s="329">
        <f>E11/'- 7 -'!$E11</f>
        <v>0</v>
      </c>
      <c r="H11" s="329">
        <v>114708</v>
      </c>
      <c r="I11" s="335">
        <f>H11/'- 3 -'!$D11*100</f>
        <v>0.68847890205417095</v>
      </c>
      <c r="J11" s="329">
        <f>H11/'- 7 -'!$E11</f>
        <v>77.348617666891442</v>
      </c>
    </row>
    <row r="12" spans="1:10" ht="14.1" customHeight="1">
      <c r="A12" s="26" t="s">
        <v>236</v>
      </c>
      <c r="B12" s="27">
        <v>283120</v>
      </c>
      <c r="C12" s="79">
        <f>B12/'- 3 -'!$D12*100</f>
        <v>0.95086903491897934</v>
      </c>
      <c r="D12" s="27">
        <f>B12/'- 7 -'!$E12</f>
        <v>129.38488255186911</v>
      </c>
      <c r="E12" s="27">
        <v>0</v>
      </c>
      <c r="F12" s="79">
        <f>E12/'- 3 -'!$D12*100</f>
        <v>0</v>
      </c>
      <c r="G12" s="27">
        <f>E12/'- 7 -'!$E12</f>
        <v>0</v>
      </c>
      <c r="H12" s="27">
        <v>607810</v>
      </c>
      <c r="I12" s="79">
        <f>H12/'- 3 -'!$D12*100</f>
        <v>2.0413524587245861</v>
      </c>
      <c r="J12" s="27">
        <f>H12/'- 7 -'!$E12</f>
        <v>277.76711452335252</v>
      </c>
    </row>
    <row r="13" spans="1:10" ht="14.1" customHeight="1">
      <c r="A13" s="328" t="s">
        <v>237</v>
      </c>
      <c r="B13" s="329">
        <v>126807</v>
      </c>
      <c r="C13" s="335">
        <f>B13/'- 3 -'!$D13*100</f>
        <v>0.15119723355814296</v>
      </c>
      <c r="D13" s="329">
        <f>B13/'- 7 -'!$E13</f>
        <v>15.849884382226112</v>
      </c>
      <c r="E13" s="329">
        <v>0</v>
      </c>
      <c r="F13" s="335">
        <f>E13/'- 3 -'!$D13*100</f>
        <v>0</v>
      </c>
      <c r="G13" s="329">
        <f>E13/'- 7 -'!$E13</f>
        <v>0</v>
      </c>
      <c r="H13" s="329">
        <v>1799016</v>
      </c>
      <c r="I13" s="335">
        <f>H13/'- 3 -'!$D13*100</f>
        <v>2.1450412226993469</v>
      </c>
      <c r="J13" s="329">
        <f>H13/'- 7 -'!$E13</f>
        <v>224.86294606587089</v>
      </c>
    </row>
    <row r="14" spans="1:10" ht="14.1" customHeight="1">
      <c r="A14" s="26" t="s">
        <v>636</v>
      </c>
      <c r="B14" s="27">
        <v>369840</v>
      </c>
      <c r="C14" s="79">
        <f>B14/'- 3 -'!$D14*100</f>
        <v>0.50657085431769266</v>
      </c>
      <c r="D14" s="27">
        <f>B14/'- 7 -'!$E14</f>
        <v>71.109402038069604</v>
      </c>
      <c r="E14" s="27">
        <v>0</v>
      </c>
      <c r="F14" s="79">
        <f>E14/'- 3 -'!$D14*100</f>
        <v>0</v>
      </c>
      <c r="G14" s="27">
        <f>E14/'- 7 -'!$E14</f>
        <v>0</v>
      </c>
      <c r="H14" s="27">
        <v>821135</v>
      </c>
      <c r="I14" s="79">
        <f>H14/'- 3 -'!$D14*100</f>
        <v>1.1247108437707078</v>
      </c>
      <c r="J14" s="27">
        <f>H14/'- 7 -'!$E14</f>
        <v>157.88021534320322</v>
      </c>
    </row>
    <row r="15" spans="1:10" ht="14.1" customHeight="1">
      <c r="A15" s="328" t="s">
        <v>238</v>
      </c>
      <c r="B15" s="329">
        <v>284638</v>
      </c>
      <c r="C15" s="335">
        <f>B15/'- 3 -'!$D15*100</f>
        <v>1.5000721477374861</v>
      </c>
      <c r="D15" s="329">
        <f>B15/'- 7 -'!$E15</f>
        <v>190.84009386523633</v>
      </c>
      <c r="E15" s="329">
        <v>0</v>
      </c>
      <c r="F15" s="335">
        <f>E15/'- 3 -'!$D15*100</f>
        <v>0</v>
      </c>
      <c r="G15" s="329">
        <f>E15/'- 7 -'!$E15</f>
        <v>0</v>
      </c>
      <c r="H15" s="329">
        <v>269491</v>
      </c>
      <c r="I15" s="335">
        <f>H15/'- 3 -'!$D15*100</f>
        <v>1.4202458672627085</v>
      </c>
      <c r="J15" s="329">
        <f>H15/'- 7 -'!$E15</f>
        <v>180.68454575930272</v>
      </c>
    </row>
    <row r="16" spans="1:10" ht="14.1" customHeight="1">
      <c r="A16" s="26" t="s">
        <v>239</v>
      </c>
      <c r="B16" s="27">
        <v>182593</v>
      </c>
      <c r="C16" s="79">
        <f>B16/'- 3 -'!$D16*100</f>
        <v>1.4008194110379595</v>
      </c>
      <c r="D16" s="27">
        <f>B16/'- 7 -'!$E16</f>
        <v>189.80561330561329</v>
      </c>
      <c r="E16" s="27">
        <v>0</v>
      </c>
      <c r="F16" s="79">
        <f>E16/'- 3 -'!$D16*100</f>
        <v>0</v>
      </c>
      <c r="G16" s="27">
        <f>E16/'- 7 -'!$E16</f>
        <v>0</v>
      </c>
      <c r="H16" s="27">
        <v>126523</v>
      </c>
      <c r="I16" s="79">
        <f>H16/'- 3 -'!$D16*100</f>
        <v>0.97066083772519074</v>
      </c>
      <c r="J16" s="27">
        <f>H16/'- 7 -'!$E16</f>
        <v>131.52079002079003</v>
      </c>
    </row>
    <row r="17" spans="1:10" ht="14.1" customHeight="1">
      <c r="A17" s="328" t="s">
        <v>240</v>
      </c>
      <c r="B17" s="329">
        <v>118574</v>
      </c>
      <c r="C17" s="335">
        <f>B17/'- 3 -'!$D17*100</f>
        <v>0.72280659190541219</v>
      </c>
      <c r="D17" s="329">
        <f>B17/'- 7 -'!$E17</f>
        <v>92.135158235927491</v>
      </c>
      <c r="E17" s="329">
        <v>0</v>
      </c>
      <c r="F17" s="335">
        <f>E17/'- 3 -'!$D17*100</f>
        <v>0</v>
      </c>
      <c r="G17" s="329">
        <f>E17/'- 7 -'!$E17</f>
        <v>0</v>
      </c>
      <c r="H17" s="329">
        <v>248586</v>
      </c>
      <c r="I17" s="335">
        <f>H17/'- 3 -'!$D17*100</f>
        <v>1.5153372531532951</v>
      </c>
      <c r="J17" s="329">
        <f>H17/'- 7 -'!$E17</f>
        <v>193.157947317593</v>
      </c>
    </row>
    <row r="18" spans="1:10" ht="14.1" customHeight="1">
      <c r="A18" s="26" t="s">
        <v>241</v>
      </c>
      <c r="B18" s="27">
        <v>0</v>
      </c>
      <c r="C18" s="79">
        <f>B18/'- 3 -'!$D18*100</f>
        <v>0</v>
      </c>
      <c r="D18" s="27">
        <f>B18/'- 7 -'!$E18</f>
        <v>0</v>
      </c>
      <c r="E18" s="27">
        <v>0</v>
      </c>
      <c r="F18" s="79">
        <f>E18/'- 3 -'!$D18*100</f>
        <v>0</v>
      </c>
      <c r="G18" s="27">
        <f>E18/'- 7 -'!$E18</f>
        <v>0</v>
      </c>
      <c r="H18" s="27">
        <v>3241397</v>
      </c>
      <c r="I18" s="79">
        <f>H18/'- 3 -'!$D18*100</f>
        <v>2.7281365709091023</v>
      </c>
      <c r="J18" s="27">
        <f>H18/'- 7 -'!$E18</f>
        <v>534.37254772659833</v>
      </c>
    </row>
    <row r="19" spans="1:10" ht="14.1" customHeight="1">
      <c r="A19" s="328" t="s">
        <v>242</v>
      </c>
      <c r="B19" s="329">
        <v>150665</v>
      </c>
      <c r="C19" s="335">
        <f>B19/'- 3 -'!$D19*100</f>
        <v>0.34794975574580711</v>
      </c>
      <c r="D19" s="329">
        <f>B19/'- 7 -'!$E19</f>
        <v>35.930792712009925</v>
      </c>
      <c r="E19" s="329">
        <v>0</v>
      </c>
      <c r="F19" s="335">
        <f>E19/'- 3 -'!$D19*100</f>
        <v>0</v>
      </c>
      <c r="G19" s="329">
        <f>E19/'- 7 -'!$E19</f>
        <v>0</v>
      </c>
      <c r="H19" s="329">
        <v>790689</v>
      </c>
      <c r="I19" s="335">
        <f>H19/'- 3 -'!$D19*100</f>
        <v>1.8260381934815419</v>
      </c>
      <c r="J19" s="329">
        <f>H19/'- 7 -'!$E19</f>
        <v>188.56458074978536</v>
      </c>
    </row>
    <row r="20" spans="1:10" ht="14.1" customHeight="1">
      <c r="A20" s="26" t="s">
        <v>243</v>
      </c>
      <c r="B20" s="27">
        <v>526248</v>
      </c>
      <c r="C20" s="79">
        <f>B20/'- 3 -'!$D20*100</f>
        <v>0.7448460842786534</v>
      </c>
      <c r="D20" s="27">
        <f>B20/'- 7 -'!$E20</f>
        <v>71.316980620680312</v>
      </c>
      <c r="E20" s="27">
        <v>5039</v>
      </c>
      <c r="F20" s="79">
        <f>E20/'- 3 -'!$D20*100</f>
        <v>7.1321495163499601E-3</v>
      </c>
      <c r="G20" s="27">
        <f>E20/'- 7 -'!$E20</f>
        <v>0.68288385960157205</v>
      </c>
      <c r="H20" s="27">
        <v>1162331</v>
      </c>
      <c r="I20" s="79">
        <f>H20/'- 3 -'!$D20*100</f>
        <v>1.6451515140878281</v>
      </c>
      <c r="J20" s="27">
        <f>H20/'- 7 -'!$E20</f>
        <v>157.51876948095949</v>
      </c>
    </row>
    <row r="21" spans="1:10" ht="14.1" customHeight="1">
      <c r="A21" s="328" t="s">
        <v>244</v>
      </c>
      <c r="B21" s="329">
        <v>152732</v>
      </c>
      <c r="C21" s="335">
        <f>B21/'- 3 -'!$D21*100</f>
        <v>0.44087265837276157</v>
      </c>
      <c r="D21" s="329">
        <f>B21/'- 7 -'!$E21</f>
        <v>56.504624491305954</v>
      </c>
      <c r="E21" s="329">
        <v>0</v>
      </c>
      <c r="F21" s="335">
        <f>E21/'- 3 -'!$D21*100</f>
        <v>0</v>
      </c>
      <c r="G21" s="329">
        <f>E21/'- 7 -'!$E21</f>
        <v>0</v>
      </c>
      <c r="H21" s="329">
        <v>556111</v>
      </c>
      <c r="I21" s="335">
        <f>H21/'- 3 -'!$D21*100</f>
        <v>1.6052571492570962</v>
      </c>
      <c r="J21" s="329">
        <f>H21/'- 7 -'!$E21</f>
        <v>205.7384387717351</v>
      </c>
    </row>
    <row r="22" spans="1:10" ht="14.1" customHeight="1">
      <c r="A22" s="26" t="s">
        <v>245</v>
      </c>
      <c r="B22" s="27">
        <v>137007</v>
      </c>
      <c r="C22" s="79">
        <f>B22/'- 3 -'!$D22*100</f>
        <v>0.71099476994059396</v>
      </c>
      <c r="D22" s="27">
        <f>B22/'- 7 -'!$E22</f>
        <v>87.365769672235686</v>
      </c>
      <c r="E22" s="27">
        <v>0</v>
      </c>
      <c r="F22" s="79">
        <f>E22/'- 3 -'!$D22*100</f>
        <v>0</v>
      </c>
      <c r="G22" s="27">
        <f>E22/'- 7 -'!$E22</f>
        <v>0</v>
      </c>
      <c r="H22" s="27">
        <v>182815</v>
      </c>
      <c r="I22" s="79">
        <f>H22/'- 3 -'!$D22*100</f>
        <v>0.94871436398643627</v>
      </c>
      <c r="J22" s="27">
        <f>H22/'- 7 -'!$E22</f>
        <v>116.57632954980232</v>
      </c>
    </row>
    <row r="23" spans="1:10" ht="14.1" customHeight="1">
      <c r="A23" s="328" t="s">
        <v>246</v>
      </c>
      <c r="B23" s="329">
        <v>113541</v>
      </c>
      <c r="C23" s="335">
        <f>B23/'- 3 -'!$D23*100</f>
        <v>0.69950310088336587</v>
      </c>
      <c r="D23" s="329">
        <f>B23/'- 7 -'!$E23</f>
        <v>98.184884123140776</v>
      </c>
      <c r="E23" s="329">
        <v>0</v>
      </c>
      <c r="F23" s="335">
        <f>E23/'- 3 -'!$D23*100</f>
        <v>0</v>
      </c>
      <c r="G23" s="329">
        <f>E23/'- 7 -'!$E23</f>
        <v>0</v>
      </c>
      <c r="H23" s="329">
        <v>305828</v>
      </c>
      <c r="I23" s="335">
        <f>H23/'- 3 -'!$D23*100</f>
        <v>1.8841443561088771</v>
      </c>
      <c r="J23" s="329">
        <f>H23/'- 7 -'!$E23</f>
        <v>264.46558284330678</v>
      </c>
    </row>
    <row r="24" spans="1:10" ht="14.1" customHeight="1">
      <c r="A24" s="26" t="s">
        <v>247</v>
      </c>
      <c r="B24" s="27">
        <v>215422</v>
      </c>
      <c r="C24" s="79">
        <f>B24/'- 3 -'!$D24*100</f>
        <v>0.4124394978202291</v>
      </c>
      <c r="D24" s="27">
        <f>B24/'- 7 -'!$E24</f>
        <v>52.237445136884993</v>
      </c>
      <c r="E24" s="27">
        <v>0</v>
      </c>
      <c r="F24" s="79">
        <f>E24/'- 3 -'!$D24*100</f>
        <v>0</v>
      </c>
      <c r="G24" s="27">
        <f>E24/'- 7 -'!$E24</f>
        <v>0</v>
      </c>
      <c r="H24" s="27">
        <v>1233420</v>
      </c>
      <c r="I24" s="79">
        <f>H24/'- 3 -'!$D24*100</f>
        <v>2.3614631996798234</v>
      </c>
      <c r="J24" s="27">
        <f>H24/'- 7 -'!$E24</f>
        <v>299.09066660200301</v>
      </c>
    </row>
    <row r="25" spans="1:10" ht="14.1" customHeight="1">
      <c r="A25" s="328" t="s">
        <v>248</v>
      </c>
      <c r="B25" s="329">
        <v>1374592</v>
      </c>
      <c r="C25" s="335">
        <f>B25/'- 3 -'!$D25*100</f>
        <v>0.89197766414192781</v>
      </c>
      <c r="D25" s="329">
        <f>B25/'- 7 -'!$E25</f>
        <v>99.427992766726945</v>
      </c>
      <c r="E25" s="329">
        <v>0</v>
      </c>
      <c r="F25" s="335">
        <f>E25/'- 3 -'!$D25*100</f>
        <v>0</v>
      </c>
      <c r="G25" s="329">
        <f>E25/'- 7 -'!$E25</f>
        <v>0</v>
      </c>
      <c r="H25" s="329">
        <v>2986938</v>
      </c>
      <c r="I25" s="335">
        <f>H25/'- 3 -'!$D25*100</f>
        <v>1.9382347490577287</v>
      </c>
      <c r="J25" s="329">
        <f>H25/'- 7 -'!$E25</f>
        <v>216.05338155515372</v>
      </c>
    </row>
    <row r="26" spans="1:10" ht="14.1" customHeight="1">
      <c r="A26" s="26" t="s">
        <v>249</v>
      </c>
      <c r="B26" s="27">
        <v>165219</v>
      </c>
      <c r="C26" s="79">
        <f>B26/'- 3 -'!$D26*100</f>
        <v>0.43941369485935794</v>
      </c>
      <c r="D26" s="27">
        <f>B26/'- 7 -'!$E26</f>
        <v>53.022785622593069</v>
      </c>
      <c r="E26" s="27">
        <v>3210</v>
      </c>
      <c r="F26" s="79">
        <f>E26/'- 3 -'!$D26*100</f>
        <v>8.5372624244096553E-3</v>
      </c>
      <c r="G26" s="27">
        <f>E26/'- 7 -'!$E26</f>
        <v>1.0301668806161746</v>
      </c>
      <c r="H26" s="27">
        <v>549084</v>
      </c>
      <c r="I26" s="79">
        <f>H26/'- 3 -'!$D26*100</f>
        <v>1.4603346420699537</v>
      </c>
      <c r="J26" s="27">
        <f>H26/'- 7 -'!$E26</f>
        <v>176.21437740693196</v>
      </c>
    </row>
    <row r="27" spans="1:10" ht="14.1" customHeight="1">
      <c r="A27" s="328" t="s">
        <v>250</v>
      </c>
      <c r="B27" s="329">
        <v>198542</v>
      </c>
      <c r="C27" s="335">
        <f>B27/'- 3 -'!$D27*100</f>
        <v>0.53959717060858436</v>
      </c>
      <c r="D27" s="329">
        <f>B27/'- 7 -'!$E27</f>
        <v>71.5286234103109</v>
      </c>
      <c r="E27" s="329">
        <v>0</v>
      </c>
      <c r="F27" s="335">
        <f>E27/'- 3 -'!$D27*100</f>
        <v>0</v>
      </c>
      <c r="G27" s="329">
        <f>E27/'- 7 -'!$E27</f>
        <v>0</v>
      </c>
      <c r="H27" s="329">
        <v>558660</v>
      </c>
      <c r="I27" s="335">
        <f>H27/'- 3 -'!$D27*100</f>
        <v>1.5183253685980387</v>
      </c>
      <c r="J27" s="329">
        <f>H27/'- 7 -'!$E27</f>
        <v>201.26814857513418</v>
      </c>
    </row>
    <row r="28" spans="1:10" ht="14.1" customHeight="1">
      <c r="A28" s="26" t="s">
        <v>251</v>
      </c>
      <c r="B28" s="27">
        <v>126788</v>
      </c>
      <c r="C28" s="79">
        <f>B28/'- 3 -'!$D28*100</f>
        <v>0.46970948423203107</v>
      </c>
      <c r="D28" s="27">
        <f>B28/'- 7 -'!$E28</f>
        <v>63.12571570823998</v>
      </c>
      <c r="E28" s="27">
        <v>0</v>
      </c>
      <c r="F28" s="79">
        <f>E28/'- 3 -'!$D28*100</f>
        <v>0</v>
      </c>
      <c r="G28" s="27">
        <f>E28/'- 7 -'!$E28</f>
        <v>0</v>
      </c>
      <c r="H28" s="27">
        <v>371074</v>
      </c>
      <c r="I28" s="79">
        <f>H28/'- 3 -'!$D28*100</f>
        <v>1.3747119376590584</v>
      </c>
      <c r="J28" s="27">
        <f>H28/'- 7 -'!$E28</f>
        <v>184.75180482947474</v>
      </c>
    </row>
    <row r="29" spans="1:10" ht="14.1" customHeight="1">
      <c r="A29" s="328" t="s">
        <v>252</v>
      </c>
      <c r="B29" s="329">
        <v>575374</v>
      </c>
      <c r="C29" s="335">
        <f>B29/'- 3 -'!$D29*100</f>
        <v>0.40871224940461454</v>
      </c>
      <c r="D29" s="329">
        <f>B29/'- 7 -'!$E29</f>
        <v>47.151368139837899</v>
      </c>
      <c r="E29" s="329">
        <v>0</v>
      </c>
      <c r="F29" s="335">
        <f>E29/'- 3 -'!$D29*100</f>
        <v>0</v>
      </c>
      <c r="G29" s="329">
        <f>E29/'- 7 -'!$E29</f>
        <v>0</v>
      </c>
      <c r="H29" s="329">
        <v>2845701</v>
      </c>
      <c r="I29" s="335">
        <f>H29/'- 3 -'!$D29*100</f>
        <v>2.0214206009360187</v>
      </c>
      <c r="J29" s="329">
        <f>H29/'- 7 -'!$E29</f>
        <v>233.20256992304979</v>
      </c>
    </row>
    <row r="30" spans="1:10" ht="14.1" customHeight="1">
      <c r="A30" s="26" t="s">
        <v>253</v>
      </c>
      <c r="B30" s="27">
        <v>137542</v>
      </c>
      <c r="C30" s="79">
        <f>B30/'- 3 -'!$D30*100</f>
        <v>1.0224028138637709</v>
      </c>
      <c r="D30" s="27">
        <f>B30/'- 7 -'!$E30</f>
        <v>129.8129376899409</v>
      </c>
      <c r="E30" s="27">
        <v>0</v>
      </c>
      <c r="F30" s="79">
        <f>E30/'- 3 -'!$D30*100</f>
        <v>0</v>
      </c>
      <c r="G30" s="27">
        <f>E30/'- 7 -'!$E30</f>
        <v>0</v>
      </c>
      <c r="H30" s="27">
        <v>139449</v>
      </c>
      <c r="I30" s="79">
        <f>H30/'- 3 -'!$D30*100</f>
        <v>1.0365782814739424</v>
      </c>
      <c r="J30" s="27">
        <f>H30/'- 7 -'!$E30</f>
        <v>131.61277535534285</v>
      </c>
    </row>
    <row r="31" spans="1:10" ht="14.1" customHeight="1">
      <c r="A31" s="328" t="s">
        <v>254</v>
      </c>
      <c r="B31" s="329">
        <v>136962</v>
      </c>
      <c r="C31" s="335">
        <f>B31/'- 3 -'!$D31*100</f>
        <v>0.4062932288377597</v>
      </c>
      <c r="D31" s="329">
        <f>B31/'- 7 -'!$E31</f>
        <v>43.049504950495049</v>
      </c>
      <c r="E31" s="329">
        <v>110</v>
      </c>
      <c r="F31" s="335">
        <f>E31/'- 3 -'!$D31*100</f>
        <v>3.2631135039028024E-4</v>
      </c>
      <c r="G31" s="329">
        <f>E31/'- 7 -'!$E31</f>
        <v>3.4574886060034574E-2</v>
      </c>
      <c r="H31" s="329">
        <v>459345</v>
      </c>
      <c r="I31" s="335">
        <f>H31/'- 3 -'!$D31*100</f>
        <v>1.3626317022274843</v>
      </c>
      <c r="J31" s="329">
        <f>H31/'- 7 -'!$E31</f>
        <v>144.38000942951439</v>
      </c>
    </row>
    <row r="32" spans="1:10" ht="14.1" customHeight="1">
      <c r="A32" s="26" t="s">
        <v>255</v>
      </c>
      <c r="B32" s="27">
        <v>120066</v>
      </c>
      <c r="C32" s="79">
        <f>B32/'- 3 -'!$D32*100</f>
        <v>0.46130662278876078</v>
      </c>
      <c r="D32" s="27">
        <f>B32/'- 7 -'!$E32</f>
        <v>59.379821958456972</v>
      </c>
      <c r="E32" s="27">
        <v>0</v>
      </c>
      <c r="F32" s="79">
        <f>E32/'- 3 -'!$D32*100</f>
        <v>0</v>
      </c>
      <c r="G32" s="27">
        <f>E32/'- 7 -'!$E32</f>
        <v>0</v>
      </c>
      <c r="H32" s="27">
        <v>358165</v>
      </c>
      <c r="I32" s="79">
        <f>H32/'- 3 -'!$D32*100</f>
        <v>1.3761088613857089</v>
      </c>
      <c r="J32" s="27">
        <f>H32/'- 7 -'!$E32</f>
        <v>177.13402571711177</v>
      </c>
    </row>
    <row r="33" spans="1:10" ht="14.1" customHeight="1">
      <c r="A33" s="328" t="s">
        <v>256</v>
      </c>
      <c r="B33" s="329">
        <v>193103</v>
      </c>
      <c r="C33" s="335">
        <f>B33/'- 3 -'!$D33*100</f>
        <v>0.73757996325449748</v>
      </c>
      <c r="D33" s="329">
        <f>B33/'- 7 -'!$E33</f>
        <v>96.561156115611553</v>
      </c>
      <c r="E33" s="329">
        <v>0</v>
      </c>
      <c r="F33" s="335">
        <f>E33/'- 3 -'!$D33*100</f>
        <v>0</v>
      </c>
      <c r="G33" s="329">
        <f>E33/'- 7 -'!$E33</f>
        <v>0</v>
      </c>
      <c r="H33" s="329">
        <v>378095</v>
      </c>
      <c r="I33" s="335">
        <f>H33/'- 3 -'!$D33*100</f>
        <v>1.4441789936288367</v>
      </c>
      <c r="J33" s="329">
        <f>H33/'- 7 -'!$E33</f>
        <v>189.06640664066404</v>
      </c>
    </row>
    <row r="34" spans="1:10" ht="14.1" customHeight="1">
      <c r="A34" s="26" t="s">
        <v>257</v>
      </c>
      <c r="B34" s="27">
        <v>208138</v>
      </c>
      <c r="C34" s="79">
        <f>B34/'- 3 -'!$D34*100</f>
        <v>0.82512949809214231</v>
      </c>
      <c r="D34" s="27">
        <f>B34/'- 7 -'!$E34</f>
        <v>105.65380710659899</v>
      </c>
      <c r="E34" s="27">
        <v>0</v>
      </c>
      <c r="F34" s="79">
        <f>E34/'- 3 -'!$D34*100</f>
        <v>0</v>
      </c>
      <c r="G34" s="27">
        <f>E34/'- 7 -'!$E34</f>
        <v>0</v>
      </c>
      <c r="H34" s="27">
        <v>332333</v>
      </c>
      <c r="I34" s="79">
        <f>H34/'- 3 -'!$D34*100</f>
        <v>1.3174805248895247</v>
      </c>
      <c r="J34" s="27">
        <f>H34/'- 7 -'!$E34</f>
        <v>168.69695431472081</v>
      </c>
    </row>
    <row r="35" spans="1:10" ht="14.1" customHeight="1">
      <c r="A35" s="328" t="s">
        <v>258</v>
      </c>
      <c r="B35" s="329">
        <v>1006849</v>
      </c>
      <c r="C35" s="335">
        <f>B35/'- 3 -'!$D35*100</f>
        <v>0.58771986419988964</v>
      </c>
      <c r="D35" s="329">
        <f>B35/'- 7 -'!$E35</f>
        <v>64.692967520159343</v>
      </c>
      <c r="E35" s="329">
        <v>0</v>
      </c>
      <c r="F35" s="335">
        <f>E35/'- 3 -'!$D35*100</f>
        <v>0</v>
      </c>
      <c r="G35" s="329">
        <f>E35/'- 7 -'!$E35</f>
        <v>0</v>
      </c>
      <c r="H35" s="329">
        <v>2974524</v>
      </c>
      <c r="I35" s="335">
        <f>H35/'- 3 -'!$D35*100</f>
        <v>1.7362949571776032</v>
      </c>
      <c r="J35" s="329">
        <f>H35/'- 7 -'!$E35</f>
        <v>191.12179137083561</v>
      </c>
    </row>
    <row r="36" spans="1:10" ht="14.1" customHeight="1">
      <c r="A36" s="26" t="s">
        <v>259</v>
      </c>
      <c r="B36" s="27">
        <v>163943</v>
      </c>
      <c r="C36" s="79">
        <f>B36/'- 3 -'!$D36*100</f>
        <v>0.7663393851877357</v>
      </c>
      <c r="D36" s="27">
        <f>B36/'- 7 -'!$E36</f>
        <v>100.73302611367127</v>
      </c>
      <c r="E36" s="27">
        <v>0</v>
      </c>
      <c r="F36" s="79">
        <f>E36/'- 3 -'!$D36*100</f>
        <v>0</v>
      </c>
      <c r="G36" s="27">
        <f>E36/'- 7 -'!$E36</f>
        <v>0</v>
      </c>
      <c r="H36" s="27">
        <v>254824</v>
      </c>
      <c r="I36" s="79">
        <f>H36/'- 3 -'!$D36*100</f>
        <v>1.1911558742433623</v>
      </c>
      <c r="J36" s="27">
        <f>H36/'- 7 -'!$E36</f>
        <v>156.57388632872505</v>
      </c>
    </row>
    <row r="37" spans="1:10" ht="14.1" customHeight="1">
      <c r="A37" s="328" t="s">
        <v>260</v>
      </c>
      <c r="B37" s="329">
        <v>304565</v>
      </c>
      <c r="C37" s="335">
        <f>B37/'- 3 -'!$D37*100</f>
        <v>0.7188730268875011</v>
      </c>
      <c r="D37" s="329">
        <f>B37/'- 7 -'!$E37</f>
        <v>77.824198287977509</v>
      </c>
      <c r="E37" s="329">
        <v>0</v>
      </c>
      <c r="F37" s="335">
        <f>E37/'- 3 -'!$D37*100</f>
        <v>0</v>
      </c>
      <c r="G37" s="329">
        <f>E37/'- 7 -'!$E37</f>
        <v>0</v>
      </c>
      <c r="H37" s="329">
        <v>518125</v>
      </c>
      <c r="I37" s="335">
        <f>H37/'- 3 -'!$D37*100</f>
        <v>1.2229444849411013</v>
      </c>
      <c r="J37" s="329">
        <f>H37/'- 7 -'!$E37</f>
        <v>132.39427622332951</v>
      </c>
    </row>
    <row r="38" spans="1:10" ht="14.1" customHeight="1">
      <c r="A38" s="26" t="s">
        <v>261</v>
      </c>
      <c r="B38" s="27">
        <v>415570</v>
      </c>
      <c r="C38" s="79">
        <f>B38/'- 3 -'!$D38*100</f>
        <v>0.36126728568379213</v>
      </c>
      <c r="D38" s="27">
        <f>B38/'- 7 -'!$E38</f>
        <v>39.760615396391046</v>
      </c>
      <c r="E38" s="27">
        <v>0</v>
      </c>
      <c r="F38" s="79">
        <f>E38/'- 3 -'!$D38*100</f>
        <v>0</v>
      </c>
      <c r="G38" s="27">
        <f>E38/'- 7 -'!$E38</f>
        <v>0</v>
      </c>
      <c r="H38" s="27">
        <v>1850178</v>
      </c>
      <c r="I38" s="79">
        <f>H38/'- 3 -'!$D38*100</f>
        <v>1.6084144285965472</v>
      </c>
      <c r="J38" s="27">
        <f>H38/'- 7 -'!$E38</f>
        <v>177.02003482653703</v>
      </c>
    </row>
    <row r="39" spans="1:10" ht="14.1" customHeight="1">
      <c r="A39" s="328" t="s">
        <v>262</v>
      </c>
      <c r="B39" s="329">
        <v>200384</v>
      </c>
      <c r="C39" s="335">
        <f>B39/'- 3 -'!$D39*100</f>
        <v>0.9897712018485898</v>
      </c>
      <c r="D39" s="329">
        <f>B39/'- 7 -'!$E39</f>
        <v>128.82288653166185</v>
      </c>
      <c r="E39" s="329">
        <v>404</v>
      </c>
      <c r="F39" s="335">
        <f>E39/'- 3 -'!$D39*100</f>
        <v>1.9955064553398988E-3</v>
      </c>
      <c r="G39" s="329">
        <f>E39/'- 7 -'!$E39</f>
        <v>0.25972356155576987</v>
      </c>
      <c r="H39" s="329">
        <v>273115</v>
      </c>
      <c r="I39" s="335">
        <f>H39/'- 3 -'!$D39*100</f>
        <v>1.349016696906328</v>
      </c>
      <c r="J39" s="329">
        <f>H39/'- 7 -'!$E39</f>
        <v>175.58019929283188</v>
      </c>
    </row>
    <row r="40" spans="1:10" ht="14.1" customHeight="1">
      <c r="A40" s="26" t="s">
        <v>263</v>
      </c>
      <c r="B40" s="27">
        <v>219696</v>
      </c>
      <c r="C40" s="79">
        <f>B40/'- 3 -'!$D40*100</f>
        <v>0.23088787409876421</v>
      </c>
      <c r="D40" s="27">
        <f>B40/'- 7 -'!$E40</f>
        <v>27.656807638805841</v>
      </c>
      <c r="E40" s="27">
        <v>0</v>
      </c>
      <c r="F40" s="79">
        <f>E40/'- 3 -'!$D40*100</f>
        <v>0</v>
      </c>
      <c r="G40" s="27">
        <f>E40/'- 7 -'!$E40</f>
        <v>0</v>
      </c>
      <c r="H40" s="27">
        <v>2126944</v>
      </c>
      <c r="I40" s="79">
        <f>H40/'- 3 -'!$D40*100</f>
        <v>2.2352959475234959</v>
      </c>
      <c r="J40" s="27">
        <f>H40/'- 7 -'!$E40</f>
        <v>267.75399218243501</v>
      </c>
    </row>
    <row r="41" spans="1:10" ht="14.1" customHeight="1">
      <c r="A41" s="328" t="s">
        <v>264</v>
      </c>
      <c r="B41" s="329">
        <v>266768</v>
      </c>
      <c r="C41" s="335">
        <f>B41/'- 3 -'!$D41*100</f>
        <v>0.45518342065440154</v>
      </c>
      <c r="D41" s="329">
        <f>B41/'- 7 -'!$E41</f>
        <v>60.532788745178124</v>
      </c>
      <c r="E41" s="329">
        <v>426419</v>
      </c>
      <c r="F41" s="335">
        <f>E41/'- 3 -'!$D41*100</f>
        <v>0.72759423563556824</v>
      </c>
      <c r="G41" s="329">
        <f>E41/'- 7 -'!$E41</f>
        <v>96.759473564783306</v>
      </c>
      <c r="H41" s="329">
        <v>1127081</v>
      </c>
      <c r="I41" s="335">
        <f>H41/'- 3 -'!$D41*100</f>
        <v>1.9231264054706094</v>
      </c>
      <c r="J41" s="329">
        <f>H41/'- 7 -'!$E41</f>
        <v>255.74790106648513</v>
      </c>
    </row>
    <row r="42" spans="1:10" ht="14.1" customHeight="1">
      <c r="A42" s="26" t="s">
        <v>265</v>
      </c>
      <c r="B42" s="27">
        <v>150819</v>
      </c>
      <c r="C42" s="79">
        <f>B42/'- 3 -'!$D42*100</f>
        <v>0.74859198800735971</v>
      </c>
      <c r="D42" s="27">
        <f>B42/'- 7 -'!$E42</f>
        <v>103.91993385240819</v>
      </c>
      <c r="E42" s="27">
        <v>0</v>
      </c>
      <c r="F42" s="79">
        <f>E42/'- 3 -'!$D42*100</f>
        <v>0</v>
      </c>
      <c r="G42" s="27">
        <f>E42/'- 7 -'!$E42</f>
        <v>0</v>
      </c>
      <c r="H42" s="27">
        <v>244924</v>
      </c>
      <c r="I42" s="79">
        <f>H42/'- 3 -'!$D42*100</f>
        <v>1.2156833294924019</v>
      </c>
      <c r="J42" s="27">
        <f>H42/'- 7 -'!$E42</f>
        <v>168.76179976572729</v>
      </c>
    </row>
    <row r="43" spans="1:10" ht="14.1" customHeight="1">
      <c r="A43" s="328" t="s">
        <v>266</v>
      </c>
      <c r="B43" s="329">
        <v>161448</v>
      </c>
      <c r="C43" s="335">
        <f>B43/'- 3 -'!$D43*100</f>
        <v>1.3085371985788357</v>
      </c>
      <c r="D43" s="329">
        <f>B43/'- 7 -'!$E43</f>
        <v>164.94483040457703</v>
      </c>
      <c r="E43" s="329">
        <v>0</v>
      </c>
      <c r="F43" s="335">
        <f>E43/'- 3 -'!$D43*100</f>
        <v>0</v>
      </c>
      <c r="G43" s="329">
        <f>E43/'- 7 -'!$E43</f>
        <v>0</v>
      </c>
      <c r="H43" s="329">
        <v>199263</v>
      </c>
      <c r="I43" s="335">
        <f>H43/'- 3 -'!$D43*100</f>
        <v>1.615028044945831</v>
      </c>
      <c r="J43" s="329">
        <f>H43/'- 7 -'!$E43</f>
        <v>203.57887208827137</v>
      </c>
    </row>
    <row r="44" spans="1:10" ht="14.1" customHeight="1">
      <c r="A44" s="26" t="s">
        <v>267</v>
      </c>
      <c r="B44" s="27">
        <v>83774</v>
      </c>
      <c r="C44" s="79">
        <f>B44/'- 3 -'!$D44*100</f>
        <v>0.81454469932416529</v>
      </c>
      <c r="D44" s="27">
        <f>B44/'- 7 -'!$E44</f>
        <v>119.42124019957234</v>
      </c>
      <c r="E44" s="27">
        <v>0</v>
      </c>
      <c r="F44" s="79">
        <f>E44/'- 3 -'!$D44*100</f>
        <v>0</v>
      </c>
      <c r="G44" s="27">
        <f>E44/'- 7 -'!$E44</f>
        <v>0</v>
      </c>
      <c r="H44" s="27">
        <v>145687</v>
      </c>
      <c r="I44" s="79">
        <f>H44/'- 3 -'!$D44*100</f>
        <v>1.4165322607305331</v>
      </c>
      <c r="J44" s="27">
        <f>H44/'- 7 -'!$E44</f>
        <v>207.6792587312901</v>
      </c>
    </row>
    <row r="45" spans="1:10" ht="14.1" customHeight="1">
      <c r="A45" s="328" t="s">
        <v>268</v>
      </c>
      <c r="B45" s="329">
        <v>134175</v>
      </c>
      <c r="C45" s="335">
        <f>B45/'- 3 -'!$D45*100</f>
        <v>0.79478664976413482</v>
      </c>
      <c r="D45" s="329">
        <f>B45/'- 7 -'!$E45</f>
        <v>82.952086553323028</v>
      </c>
      <c r="E45" s="329">
        <v>0</v>
      </c>
      <c r="F45" s="335">
        <f>E45/'- 3 -'!$D45*100</f>
        <v>0</v>
      </c>
      <c r="G45" s="329">
        <f>E45/'- 7 -'!$E45</f>
        <v>0</v>
      </c>
      <c r="H45" s="329">
        <v>211413</v>
      </c>
      <c r="I45" s="335">
        <f>H45/'- 3 -'!$D45*100</f>
        <v>1.2523065398664806</v>
      </c>
      <c r="J45" s="329">
        <f>H45/'- 7 -'!$E45</f>
        <v>130.70355486862442</v>
      </c>
    </row>
    <row r="46" spans="1:10" ht="14.1" customHeight="1">
      <c r="A46" s="26" t="s">
        <v>269</v>
      </c>
      <c r="B46" s="27">
        <v>746930</v>
      </c>
      <c r="C46" s="79">
        <f>B46/'- 3 -'!$D46*100</f>
        <v>0.20978240228832654</v>
      </c>
      <c r="D46" s="27">
        <f>B46/'- 7 -'!$E46</f>
        <v>25.024121895981025</v>
      </c>
      <c r="E46" s="27">
        <v>110889</v>
      </c>
      <c r="F46" s="79">
        <f>E46/'- 3 -'!$D46*100</f>
        <v>3.1144231463925996E-2</v>
      </c>
      <c r="G46" s="27">
        <f>E46/'- 7 -'!$E46</f>
        <v>3.7150735047774757</v>
      </c>
      <c r="H46" s="27">
        <v>11766571</v>
      </c>
      <c r="I46" s="79">
        <f>H46/'- 3 -'!$D46*100</f>
        <v>3.3047534990911558</v>
      </c>
      <c r="J46" s="27">
        <f>H46/'- 7 -'!$E46</f>
        <v>394.2111134935206</v>
      </c>
    </row>
    <row r="47" spans="1:10" ht="5.0999999999999996" customHeight="1">
      <c r="A47" s="28"/>
      <c r="B47" s="29"/>
      <c r="C47"/>
      <c r="D47" s="29"/>
      <c r="E47" s="29"/>
      <c r="F47"/>
      <c r="G47" s="29"/>
      <c r="H47"/>
      <c r="I47"/>
      <c r="J47"/>
    </row>
    <row r="48" spans="1:10" ht="14.1" customHeight="1">
      <c r="A48" s="330" t="s">
        <v>270</v>
      </c>
      <c r="B48" s="331">
        <f>SUM(B11:B46)</f>
        <v>9892820</v>
      </c>
      <c r="C48" s="338">
        <f>B48/'- 3 -'!$D48*100</f>
        <v>0.47848079327648596</v>
      </c>
      <c r="D48" s="331">
        <f>B48/'- 7 -'!$E48</f>
        <v>57.508589178796115</v>
      </c>
      <c r="E48" s="331">
        <f>SUM(E11:E46)</f>
        <v>546071</v>
      </c>
      <c r="F48" s="338">
        <f>E48/'- 3 -'!$D48*100</f>
        <v>2.6411527275871181E-2</v>
      </c>
      <c r="G48" s="331">
        <f>E48/'- 7 -'!$E48</f>
        <v>3.1744005047554054</v>
      </c>
      <c r="H48" s="331">
        <f>SUM(H11:H46)</f>
        <v>42131353</v>
      </c>
      <c r="I48" s="338">
        <f>H48/'- 3 -'!$D48*100</f>
        <v>2.0377448700422787</v>
      </c>
      <c r="J48" s="331">
        <f>H48/'- 7 -'!$E48</f>
        <v>244.91648197620486</v>
      </c>
    </row>
    <row r="49" spans="1:10" ht="5.0999999999999996" customHeight="1">
      <c r="A49" s="28" t="s">
        <v>16</v>
      </c>
      <c r="B49" s="29"/>
      <c r="C49"/>
      <c r="D49" s="29"/>
      <c r="E49" s="29"/>
      <c r="F49"/>
      <c r="H49"/>
      <c r="I49"/>
      <c r="J49"/>
    </row>
    <row r="50" spans="1:10" ht="14.1" customHeight="1">
      <c r="A50" s="26" t="s">
        <v>271</v>
      </c>
      <c r="B50" s="27">
        <v>7917</v>
      </c>
      <c r="C50" s="79">
        <f>B50/'- 3 -'!$D50*100</f>
        <v>0.24866183686250762</v>
      </c>
      <c r="D50" s="27">
        <f>B50/'- 7 -'!$E50</f>
        <v>44.855524079320112</v>
      </c>
      <c r="E50" s="27">
        <v>7376</v>
      </c>
      <c r="F50" s="79">
        <f>E50/'- 3 -'!$D50*100</f>
        <v>0.23166978763393409</v>
      </c>
      <c r="G50" s="27">
        <f>E50/'- 7 -'!$E50</f>
        <v>41.790368271954677</v>
      </c>
      <c r="H50" s="27">
        <v>38440</v>
      </c>
      <c r="I50" s="79">
        <f>H50/'- 3 -'!$D50*100</f>
        <v>1.207346344447997</v>
      </c>
      <c r="J50" s="27">
        <f>H50/'- 7 -'!$E50</f>
        <v>217.79036827195466</v>
      </c>
    </row>
    <row r="51" spans="1:10" ht="14.1" customHeight="1">
      <c r="A51" s="328" t="s">
        <v>272</v>
      </c>
      <c r="B51" s="329">
        <v>0</v>
      </c>
      <c r="C51" s="335">
        <f>B51/'- 3 -'!$D51*100</f>
        <v>0</v>
      </c>
      <c r="D51" s="329">
        <f>B51/'- 7 -'!$E51</f>
        <v>0</v>
      </c>
      <c r="E51" s="329">
        <v>0</v>
      </c>
      <c r="F51" s="335">
        <f>E51/'- 3 -'!$D51*100</f>
        <v>0</v>
      </c>
      <c r="G51" s="329">
        <f>E51/'- 7 -'!$E51</f>
        <v>0</v>
      </c>
      <c r="H51" s="329">
        <v>0</v>
      </c>
      <c r="I51" s="335">
        <f>H51/'- 3 -'!$D51*100</f>
        <v>0</v>
      </c>
      <c r="J51" s="329">
        <f>H51/'- 7 -'!$E51</f>
        <v>0</v>
      </c>
    </row>
    <row r="52" spans="1:10" ht="50.1" customHeight="1">
      <c r="A52" s="30"/>
      <c r="B52" s="30"/>
      <c r="C52" s="30"/>
      <c r="D52" s="30"/>
      <c r="E52" s="30"/>
      <c r="F52" s="30"/>
      <c r="G52" s="30"/>
      <c r="H52" s="30"/>
      <c r="I52" s="30"/>
      <c r="J52" s="30"/>
    </row>
    <row r="53" spans="1:10" ht="15" customHeight="1">
      <c r="A53" s="151" t="s">
        <v>680</v>
      </c>
      <c r="B53" s="3"/>
      <c r="C53" s="90"/>
      <c r="D53" s="90"/>
      <c r="E53" s="90"/>
      <c r="F53" s="90"/>
      <c r="G53" s="90"/>
      <c r="H53" s="90"/>
      <c r="I53" s="90"/>
      <c r="J53" s="90"/>
    </row>
    <row r="54" spans="1:10">
      <c r="A54" s="1" t="s">
        <v>596</v>
      </c>
    </row>
    <row r="55" spans="1:10">
      <c r="A55" s="1" t="s">
        <v>418</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I54"/>
  <sheetViews>
    <sheetView showGridLines="0" showZeros="0" workbookViewId="0"/>
  </sheetViews>
  <sheetFormatPr defaultColWidth="15.83203125" defaultRowHeight="12"/>
  <cols>
    <col min="1" max="1" width="32.83203125" style="1" customWidth="1"/>
    <col min="2" max="2" width="23.6640625" style="1" customWidth="1"/>
    <col min="3" max="3" width="8" style="1" customWidth="1"/>
    <col min="4" max="4" width="17.33203125" style="1" customWidth="1"/>
    <col min="5" max="5" width="7.83203125" style="1" customWidth="1"/>
    <col min="6" max="6" width="10" style="1" customWidth="1"/>
    <col min="7" max="7" width="17.1640625" style="1" customWidth="1"/>
    <col min="8" max="8" width="8.5" style="1" customWidth="1"/>
    <col min="9" max="9" width="10" style="1" customWidth="1"/>
    <col min="10" max="16384" width="15.83203125" style="1"/>
  </cols>
  <sheetData>
    <row r="1" spans="1:9" ht="6.95" customHeight="1">
      <c r="A1" s="6"/>
      <c r="B1" s="6"/>
      <c r="C1" s="7"/>
      <c r="D1" s="7"/>
      <c r="E1" s="7"/>
      <c r="F1" s="7"/>
      <c r="G1" s="7"/>
      <c r="H1" s="7"/>
      <c r="I1" s="7"/>
    </row>
    <row r="2" spans="1:9" ht="15.95" customHeight="1">
      <c r="A2" s="152"/>
      <c r="B2" s="152"/>
      <c r="C2" s="8" t="s">
        <v>478</v>
      </c>
      <c r="D2" s="9"/>
      <c r="E2" s="9"/>
      <c r="F2" s="9"/>
      <c r="G2" s="82"/>
      <c r="H2" s="82"/>
      <c r="I2" s="153" t="s">
        <v>449</v>
      </c>
    </row>
    <row r="3" spans="1:9" ht="15.95" customHeight="1">
      <c r="A3" s="697"/>
      <c r="B3" s="154"/>
      <c r="C3" s="10" t="str">
        <f>OPYEAR</f>
        <v>OPERATING FUND 2013/2014 ACTUAL</v>
      </c>
      <c r="D3" s="11"/>
      <c r="E3" s="11"/>
      <c r="F3" s="11"/>
      <c r="G3" s="84"/>
      <c r="H3" s="84"/>
      <c r="I3" s="74"/>
    </row>
    <row r="4" spans="1:9" ht="15.95" customHeight="1">
      <c r="C4" s="7"/>
      <c r="D4" s="7"/>
      <c r="E4" s="7"/>
      <c r="F4" s="7"/>
      <c r="G4" s="7"/>
      <c r="H4" s="7"/>
      <c r="I4" s="7"/>
    </row>
    <row r="5" spans="1:9" ht="15.95" customHeight="1">
      <c r="B5" s="621" t="s">
        <v>428</v>
      </c>
      <c r="C5" s="315"/>
      <c r="D5" s="547"/>
      <c r="E5" s="547"/>
      <c r="F5" s="547"/>
      <c r="G5" s="547"/>
      <c r="H5" s="547"/>
      <c r="I5" s="548"/>
    </row>
    <row r="6" spans="1:9" ht="15.95" customHeight="1">
      <c r="B6" s="368" t="s">
        <v>125</v>
      </c>
      <c r="C6" s="370"/>
      <c r="D6" s="436" t="s">
        <v>75</v>
      </c>
      <c r="E6" s="436"/>
      <c r="F6" s="392"/>
      <c r="G6" s="391" t="s">
        <v>532</v>
      </c>
      <c r="H6" s="436"/>
      <c r="I6" s="392"/>
    </row>
    <row r="7" spans="1:9" ht="15.95" customHeight="1">
      <c r="B7" s="374" t="s">
        <v>436</v>
      </c>
      <c r="C7" s="376"/>
      <c r="D7" s="343" t="s">
        <v>652</v>
      </c>
      <c r="E7" s="343"/>
      <c r="F7" s="344"/>
      <c r="G7" s="342" t="s">
        <v>152</v>
      </c>
      <c r="H7" s="343"/>
      <c r="I7" s="344"/>
    </row>
    <row r="8" spans="1:9" ht="15.95" customHeight="1">
      <c r="A8" s="75"/>
      <c r="B8" s="155"/>
      <c r="C8" s="157"/>
      <c r="D8" s="155"/>
      <c r="E8" s="157"/>
      <c r="F8" s="157" t="s">
        <v>73</v>
      </c>
      <c r="G8" s="155"/>
      <c r="H8" s="157"/>
      <c r="I8" s="157" t="s">
        <v>73</v>
      </c>
    </row>
    <row r="9" spans="1:9" ht="15.95" customHeight="1">
      <c r="A9" s="42" t="s">
        <v>93</v>
      </c>
      <c r="B9" s="87" t="s">
        <v>94</v>
      </c>
      <c r="C9" s="87" t="s">
        <v>95</v>
      </c>
      <c r="D9" s="87" t="s">
        <v>94</v>
      </c>
      <c r="E9" s="87" t="s">
        <v>95</v>
      </c>
      <c r="F9" s="87" t="s">
        <v>96</v>
      </c>
      <c r="G9" s="87" t="s">
        <v>94</v>
      </c>
      <c r="H9" s="87" t="s">
        <v>95</v>
      </c>
      <c r="I9" s="87" t="s">
        <v>96</v>
      </c>
    </row>
    <row r="10" spans="1:9" ht="5.0999999999999996" customHeight="1">
      <c r="A10" s="5"/>
    </row>
    <row r="11" spans="1:9" ht="14.1" customHeight="1">
      <c r="A11" s="328" t="s">
        <v>235</v>
      </c>
      <c r="B11" s="329">
        <v>256916</v>
      </c>
      <c r="C11" s="335">
        <f>B11/'- 3 -'!$D11*100</f>
        <v>1.5420131603737262</v>
      </c>
      <c r="D11" s="329">
        <v>605420</v>
      </c>
      <c r="E11" s="335">
        <f>D11/'- 3 -'!$D11*100</f>
        <v>3.6337386832795984</v>
      </c>
      <c r="F11" s="329">
        <f>D11/'- 7 -'!$E11</f>
        <v>408.24005394470669</v>
      </c>
      <c r="G11" s="329">
        <v>805250</v>
      </c>
      <c r="H11" s="335">
        <f>G11/'- 3 -'!$D11*100</f>
        <v>4.8331209320982076</v>
      </c>
      <c r="I11" s="329">
        <f>G11/'- 7 -'!$E11</f>
        <v>542.98718813216453</v>
      </c>
    </row>
    <row r="12" spans="1:9" ht="14.1" customHeight="1">
      <c r="A12" s="26" t="s">
        <v>236</v>
      </c>
      <c r="B12" s="27">
        <v>0</v>
      </c>
      <c r="C12" s="79">
        <f>B12/'- 3 -'!$D12*100</f>
        <v>0</v>
      </c>
      <c r="D12" s="27">
        <v>2161647</v>
      </c>
      <c r="E12" s="79">
        <f>D12/'- 3 -'!$D12*100</f>
        <v>7.2599717318646046</v>
      </c>
      <c r="F12" s="27">
        <f>D12/'- 7 -'!$E12</f>
        <v>987.86536879627079</v>
      </c>
      <c r="G12" s="27">
        <v>1197359</v>
      </c>
      <c r="H12" s="79">
        <f>G12/'- 3 -'!$D12*100</f>
        <v>4.0213746707458116</v>
      </c>
      <c r="I12" s="27">
        <f>G12/'- 7 -'!$E12</f>
        <v>547.18901380129785</v>
      </c>
    </row>
    <row r="13" spans="1:9" ht="14.1" customHeight="1">
      <c r="A13" s="328" t="s">
        <v>237</v>
      </c>
      <c r="B13" s="329">
        <v>2056531</v>
      </c>
      <c r="C13" s="335">
        <f>B13/'- 3 -'!$D13*100</f>
        <v>2.4520870135446882</v>
      </c>
      <c r="D13" s="329">
        <v>7162380</v>
      </c>
      <c r="E13" s="335">
        <f>D13/'- 3 -'!$D13*100</f>
        <v>8.5400020637044634</v>
      </c>
      <c r="F13" s="329">
        <f>D13/'- 7 -'!$E13</f>
        <v>895.24154740328731</v>
      </c>
      <c r="G13" s="329">
        <v>4747551</v>
      </c>
      <c r="H13" s="335">
        <f>G13/'- 3 -'!$D13*100</f>
        <v>5.6607015178672713</v>
      </c>
      <c r="I13" s="329">
        <f>G13/'- 7 -'!$E13</f>
        <v>593.40678707580776</v>
      </c>
    </row>
    <row r="14" spans="1:9" ht="14.1" customHeight="1">
      <c r="A14" s="26" t="s">
        <v>636</v>
      </c>
      <c r="B14" s="27">
        <v>698847</v>
      </c>
      <c r="C14" s="79">
        <f>B14/'- 3 -'!$D14*100</f>
        <v>0.95721263743066343</v>
      </c>
      <c r="D14" s="27">
        <v>3344534</v>
      </c>
      <c r="E14" s="79">
        <f>D14/'- 3 -'!$D14*100</f>
        <v>4.5810173201237561</v>
      </c>
      <c r="F14" s="27">
        <f>D14/'- 7 -'!$E14</f>
        <v>643.05595077869646</v>
      </c>
      <c r="G14" s="27">
        <v>2530715</v>
      </c>
      <c r="H14" s="79">
        <f>G14/'- 3 -'!$D14*100</f>
        <v>3.4663272214595491</v>
      </c>
      <c r="I14" s="27">
        <f>G14/'- 7 -'!$E14</f>
        <v>486.58238800230725</v>
      </c>
    </row>
    <row r="15" spans="1:9" ht="14.1" customHeight="1">
      <c r="A15" s="328" t="s">
        <v>238</v>
      </c>
      <c r="B15" s="329">
        <v>0</v>
      </c>
      <c r="C15" s="335">
        <f>B15/'- 3 -'!$D15*100</f>
        <v>0</v>
      </c>
      <c r="D15" s="329">
        <v>1344503</v>
      </c>
      <c r="E15" s="335">
        <f>D15/'- 3 -'!$D15*100</f>
        <v>7.0856719863457904</v>
      </c>
      <c r="F15" s="329">
        <f>D15/'- 7 -'!$E15</f>
        <v>901.44351324170293</v>
      </c>
      <c r="G15" s="329">
        <v>987973</v>
      </c>
      <c r="H15" s="335">
        <f>G15/'- 3 -'!$D15*100</f>
        <v>5.2067214497595087</v>
      </c>
      <c r="I15" s="329">
        <f>G15/'- 7 -'!$E15</f>
        <v>662.40227958431115</v>
      </c>
    </row>
    <row r="16" spans="1:9" ht="14.1" customHeight="1">
      <c r="A16" s="26" t="s">
        <v>239</v>
      </c>
      <c r="B16" s="27">
        <v>68845</v>
      </c>
      <c r="C16" s="79">
        <f>B16/'- 3 -'!$D16*100</f>
        <v>0.52816598858065933</v>
      </c>
      <c r="D16" s="27">
        <v>783363</v>
      </c>
      <c r="E16" s="79">
        <f>D16/'- 3 -'!$D16*100</f>
        <v>6.009814704227046</v>
      </c>
      <c r="F16" s="27">
        <f>D16/'- 7 -'!$E16</f>
        <v>814.30665280665278</v>
      </c>
      <c r="G16" s="27">
        <v>862294</v>
      </c>
      <c r="H16" s="79">
        <f>G16/'- 3 -'!$D16*100</f>
        <v>6.6153586020360384</v>
      </c>
      <c r="I16" s="27">
        <f>G16/'- 7 -'!$E16</f>
        <v>896.35550935550941</v>
      </c>
    </row>
    <row r="17" spans="1:9" ht="14.1" customHeight="1">
      <c r="A17" s="328" t="s">
        <v>240</v>
      </c>
      <c r="B17" s="329">
        <v>0</v>
      </c>
      <c r="C17" s="335">
        <f>B17/'- 3 -'!$D17*100</f>
        <v>0</v>
      </c>
      <c r="D17" s="329">
        <v>330435</v>
      </c>
      <c r="E17" s="335">
        <f>D17/'- 3 -'!$D17*100</f>
        <v>2.0142745981097452</v>
      </c>
      <c r="F17" s="329">
        <f>D17/'- 7 -'!$E17</f>
        <v>256.7568017583003</v>
      </c>
      <c r="G17" s="329">
        <v>1074191</v>
      </c>
      <c r="H17" s="335">
        <f>G17/'- 3 -'!$D17*100</f>
        <v>6.5480825118952435</v>
      </c>
      <c r="I17" s="329">
        <f>G17/'- 7 -'!$E17</f>
        <v>834.67503635374692</v>
      </c>
    </row>
    <row r="18" spans="1:9" ht="14.1" customHeight="1">
      <c r="A18" s="26" t="s">
        <v>241</v>
      </c>
      <c r="B18" s="27">
        <v>0</v>
      </c>
      <c r="C18" s="79">
        <f>B18/'- 3 -'!$D18*100</f>
        <v>0</v>
      </c>
      <c r="D18" s="27">
        <v>9763675</v>
      </c>
      <c r="E18" s="79">
        <f>D18/'- 3 -'!$D18*100</f>
        <v>8.217641601436334</v>
      </c>
      <c r="F18" s="27">
        <f>D18/'- 7 -'!$E18</f>
        <v>1609.6269247255102</v>
      </c>
      <c r="G18" s="27">
        <v>3198601</v>
      </c>
      <c r="H18" s="79">
        <f>G18/'- 3 -'!$D18*100</f>
        <v>2.6921171222921552</v>
      </c>
      <c r="I18" s="27">
        <f>G18/'- 7 -'!$E18</f>
        <v>527.31725411322498</v>
      </c>
    </row>
    <row r="19" spans="1:9" ht="14.1" customHeight="1">
      <c r="A19" s="328" t="s">
        <v>242</v>
      </c>
      <c r="B19" s="329">
        <v>1503010</v>
      </c>
      <c r="C19" s="335">
        <f>B19/'- 3 -'!$D19*100</f>
        <v>3.4710912447051774</v>
      </c>
      <c r="D19" s="329">
        <v>1733427</v>
      </c>
      <c r="E19" s="335">
        <f>D19/'- 3 -'!$D19*100</f>
        <v>4.0032223890962548</v>
      </c>
      <c r="F19" s="329">
        <f>D19/'- 7 -'!$E19</f>
        <v>413.39001240103028</v>
      </c>
      <c r="G19" s="329">
        <v>2327258</v>
      </c>
      <c r="H19" s="335">
        <f>G19/'- 3 -'!$D19*100</f>
        <v>5.3746314848005552</v>
      </c>
      <c r="I19" s="329">
        <f>G19/'- 7 -'!$E19</f>
        <v>555.00763140322431</v>
      </c>
    </row>
    <row r="20" spans="1:9" ht="14.1" customHeight="1">
      <c r="A20" s="26" t="s">
        <v>243</v>
      </c>
      <c r="B20" s="27">
        <v>555048</v>
      </c>
      <c r="C20" s="79">
        <f>B20/'- 3 -'!$D20*100</f>
        <v>0.78560931231415232</v>
      </c>
      <c r="D20" s="27">
        <v>3782840</v>
      </c>
      <c r="E20" s="79">
        <f>D20/'- 3 -'!$D20*100</f>
        <v>5.3541933868682845</v>
      </c>
      <c r="F20" s="27">
        <f>D20/'- 7 -'!$E20</f>
        <v>512.64941048922617</v>
      </c>
      <c r="G20" s="27">
        <v>3429687</v>
      </c>
      <c r="H20" s="79">
        <f>G20/'- 3 -'!$D20*100</f>
        <v>4.8543442108120161</v>
      </c>
      <c r="I20" s="27">
        <f>G20/'- 7 -'!$E20</f>
        <v>464.79021547635182</v>
      </c>
    </row>
    <row r="21" spans="1:9" ht="14.1" customHeight="1">
      <c r="A21" s="328" t="s">
        <v>244</v>
      </c>
      <c r="B21" s="329">
        <v>50767</v>
      </c>
      <c r="C21" s="335">
        <f>B21/'- 3 -'!$D21*100</f>
        <v>0.14654284791405853</v>
      </c>
      <c r="D21" s="329">
        <v>2005473</v>
      </c>
      <c r="E21" s="335">
        <f>D21/'- 3 -'!$D21*100</f>
        <v>5.7889519734227095</v>
      </c>
      <c r="F21" s="329">
        <f>D21/'- 7 -'!$E21</f>
        <v>741.94339622641508</v>
      </c>
      <c r="G21" s="329">
        <v>1979864</v>
      </c>
      <c r="H21" s="335">
        <f>G21/'- 3 -'!$D21*100</f>
        <v>5.7150296263816962</v>
      </c>
      <c r="I21" s="329">
        <f>G21/'- 7 -'!$E21</f>
        <v>732.46910839807617</v>
      </c>
    </row>
    <row r="22" spans="1:9" ht="14.1" customHeight="1">
      <c r="A22" s="26" t="s">
        <v>245</v>
      </c>
      <c r="B22" s="27">
        <v>1499465</v>
      </c>
      <c r="C22" s="79">
        <f>B22/'- 3 -'!$D22*100</f>
        <v>7.7814401651665452</v>
      </c>
      <c r="D22" s="27">
        <v>929292</v>
      </c>
      <c r="E22" s="79">
        <f>D22/'- 3 -'!$D22*100</f>
        <v>4.8225401019483272</v>
      </c>
      <c r="F22" s="27">
        <f>D22/'- 7 -'!$E22</f>
        <v>592.58512944777453</v>
      </c>
      <c r="G22" s="27">
        <v>1140350</v>
      </c>
      <c r="H22" s="79">
        <f>G22/'- 3 -'!$D22*100</f>
        <v>5.9178208843471962</v>
      </c>
      <c r="I22" s="27">
        <f>G22/'- 7 -'!$E22</f>
        <v>727.17127917357482</v>
      </c>
    </row>
    <row r="23" spans="1:9" ht="14.1" customHeight="1">
      <c r="A23" s="328" t="s">
        <v>246</v>
      </c>
      <c r="B23" s="329">
        <v>0</v>
      </c>
      <c r="C23" s="335">
        <f>B23/'- 3 -'!$D23*100</f>
        <v>0</v>
      </c>
      <c r="D23" s="329">
        <v>1463567</v>
      </c>
      <c r="E23" s="335">
        <f>D23/'- 3 -'!$D23*100</f>
        <v>9.0167398107341423</v>
      </c>
      <c r="F23" s="329">
        <f>D23/'- 7 -'!$E23</f>
        <v>1265.6234866828086</v>
      </c>
      <c r="G23" s="329">
        <v>584356</v>
      </c>
      <c r="H23" s="335">
        <f>G23/'- 3 -'!$D23*100</f>
        <v>3.6000989424067091</v>
      </c>
      <c r="I23" s="329">
        <f>G23/'- 7 -'!$E23</f>
        <v>505.32341750259422</v>
      </c>
    </row>
    <row r="24" spans="1:9" ht="14.1" customHeight="1">
      <c r="A24" s="26" t="s">
        <v>247</v>
      </c>
      <c r="B24" s="27">
        <v>386597</v>
      </c>
      <c r="C24" s="79">
        <f>B24/'- 3 -'!$D24*100</f>
        <v>0.74016522239514582</v>
      </c>
      <c r="D24" s="27">
        <v>3540278</v>
      </c>
      <c r="E24" s="79">
        <f>D24/'- 3 -'!$D24*100</f>
        <v>6.7780936044786744</v>
      </c>
      <c r="F24" s="27">
        <f>D24/'- 7 -'!$E24</f>
        <v>858.47813962511225</v>
      </c>
      <c r="G24" s="27">
        <v>2603867</v>
      </c>
      <c r="H24" s="79">
        <f>G24/'- 3 -'!$D24*100</f>
        <v>4.9852735462054314</v>
      </c>
      <c r="I24" s="27">
        <f>G24/'- 7 -'!$E24</f>
        <v>631.4088605446301</v>
      </c>
    </row>
    <row r="25" spans="1:9" ht="14.1" customHeight="1">
      <c r="A25" s="328" t="s">
        <v>248</v>
      </c>
      <c r="B25" s="329">
        <v>8337622</v>
      </c>
      <c r="C25" s="335">
        <f>B25/'- 3 -'!$D25*100</f>
        <v>5.4103127299288429</v>
      </c>
      <c r="D25" s="329">
        <v>9175041</v>
      </c>
      <c r="E25" s="335">
        <f>D25/'- 3 -'!$D25*100</f>
        <v>5.9537169135179147</v>
      </c>
      <c r="F25" s="329">
        <f>D25/'- 7 -'!$E25</f>
        <v>663.65576853526215</v>
      </c>
      <c r="G25" s="329">
        <v>7114774</v>
      </c>
      <c r="H25" s="335">
        <f>G25/'- 3 -'!$D25*100</f>
        <v>4.616802290001484</v>
      </c>
      <c r="I25" s="329">
        <f>G25/'- 7 -'!$E25</f>
        <v>514.63103074141054</v>
      </c>
    </row>
    <row r="26" spans="1:9" ht="14.1" customHeight="1">
      <c r="A26" s="26" t="s">
        <v>249</v>
      </c>
      <c r="B26" s="27">
        <v>255823</v>
      </c>
      <c r="C26" s="79">
        <f>B26/'- 3 -'!$D26*100</f>
        <v>0.68038258105911253</v>
      </c>
      <c r="D26" s="27">
        <v>1561124</v>
      </c>
      <c r="E26" s="79">
        <f>D26/'- 3 -'!$D26*100</f>
        <v>4.1519393349047036</v>
      </c>
      <c r="F26" s="27">
        <f>D26/'- 7 -'!$E26</f>
        <v>501.00256739409497</v>
      </c>
      <c r="G26" s="27">
        <v>1853683</v>
      </c>
      <c r="H26" s="79">
        <f>G26/'- 3 -'!$D26*100</f>
        <v>4.9300243684320764</v>
      </c>
      <c r="I26" s="27">
        <f>G26/'- 7 -'!$E26</f>
        <v>594.89184852374842</v>
      </c>
    </row>
    <row r="27" spans="1:9" ht="14.1" customHeight="1">
      <c r="A27" s="328" t="s">
        <v>250</v>
      </c>
      <c r="B27" s="329">
        <v>1201183</v>
      </c>
      <c r="C27" s="335">
        <f>B27/'- 3 -'!$D27*100</f>
        <v>3.2645734815964946</v>
      </c>
      <c r="D27" s="329">
        <v>2099813</v>
      </c>
      <c r="E27" s="335">
        <f>D27/'- 3 -'!$D27*100</f>
        <v>5.7068688418930176</v>
      </c>
      <c r="F27" s="329">
        <f>D27/'- 7 -'!$E27</f>
        <v>756.49854090859958</v>
      </c>
      <c r="G27" s="329">
        <v>2135450</v>
      </c>
      <c r="H27" s="335">
        <f>G27/'- 3 -'!$D27*100</f>
        <v>5.8037230307748562</v>
      </c>
      <c r="I27" s="329">
        <f>G27/'- 7 -'!$E27</f>
        <v>769.33746442338861</v>
      </c>
    </row>
    <row r="28" spans="1:9" ht="14.1" customHeight="1">
      <c r="A28" s="26" t="s">
        <v>251</v>
      </c>
      <c r="B28" s="27">
        <v>0</v>
      </c>
      <c r="C28" s="79">
        <f>B28/'- 3 -'!$D28*100</f>
        <v>0</v>
      </c>
      <c r="D28" s="27">
        <v>1551918</v>
      </c>
      <c r="E28" s="79">
        <f>D28/'- 3 -'!$D28*100</f>
        <v>5.7493658970123764</v>
      </c>
      <c r="F28" s="27">
        <f>D28/'- 7 -'!$E28</f>
        <v>772.67513069454822</v>
      </c>
      <c r="G28" s="27">
        <v>851712</v>
      </c>
      <c r="H28" s="79">
        <f>G28/'- 3 -'!$D28*100</f>
        <v>3.1553238810789002</v>
      </c>
      <c r="I28" s="27">
        <f>G28/'- 7 -'!$E28</f>
        <v>424.05377147124722</v>
      </c>
    </row>
    <row r="29" spans="1:9" ht="14.1" customHeight="1">
      <c r="A29" s="328" t="s">
        <v>252</v>
      </c>
      <c r="B29" s="329">
        <v>295397</v>
      </c>
      <c r="C29" s="335">
        <f>B29/'- 3 -'!$D29*100</f>
        <v>0.20983286060436329</v>
      </c>
      <c r="D29" s="329">
        <v>12269859</v>
      </c>
      <c r="E29" s="335">
        <f>D29/'- 3 -'!$D29*100</f>
        <v>8.7157947209422986</v>
      </c>
      <c r="F29" s="329">
        <f>D29/'- 7 -'!$E29</f>
        <v>1005.5036180517426</v>
      </c>
      <c r="G29" s="329">
        <v>10201359</v>
      </c>
      <c r="H29" s="335">
        <f>G29/'- 3 -'!$D29*100</f>
        <v>7.2464525402155981</v>
      </c>
      <c r="I29" s="329">
        <f>G29/'- 7 -'!$E29</f>
        <v>835.99195260065392</v>
      </c>
    </row>
    <row r="30" spans="1:9" ht="14.1" customHeight="1">
      <c r="A30" s="26" t="s">
        <v>253</v>
      </c>
      <c r="B30" s="27">
        <v>0</v>
      </c>
      <c r="C30" s="79">
        <f>B30/'- 3 -'!$D30*100</f>
        <v>0</v>
      </c>
      <c r="D30" s="27">
        <v>537908</v>
      </c>
      <c r="E30" s="79">
        <f>D30/'- 3 -'!$D30*100</f>
        <v>3.9984779398280761</v>
      </c>
      <c r="F30" s="27">
        <f>D30/'- 7 -'!$E30</f>
        <v>507.68069162089199</v>
      </c>
      <c r="G30" s="27">
        <v>403195</v>
      </c>
      <c r="H30" s="79">
        <f>G30/'- 3 -'!$D30*100</f>
        <v>2.9971041757121686</v>
      </c>
      <c r="I30" s="27">
        <f>G30/'- 7 -'!$E30</f>
        <v>380.53778054627475</v>
      </c>
    </row>
    <row r="31" spans="1:9" ht="14.1" customHeight="1">
      <c r="A31" s="328" t="s">
        <v>254</v>
      </c>
      <c r="B31" s="329">
        <v>2162716</v>
      </c>
      <c r="C31" s="335">
        <f>B31/'- 3 -'!$D31*100</f>
        <v>6.41562525882423</v>
      </c>
      <c r="D31" s="329">
        <v>1829155</v>
      </c>
      <c r="E31" s="335">
        <f>D31/'- 3 -'!$D31*100</f>
        <v>5.4261276193012096</v>
      </c>
      <c r="F31" s="329">
        <f>D31/'- 7 -'!$E31</f>
        <v>574.93477919220493</v>
      </c>
      <c r="G31" s="329">
        <v>1002014</v>
      </c>
      <c r="H31" s="335">
        <f>G31/'- 3 -'!$D31*100</f>
        <v>2.9724412859087841</v>
      </c>
      <c r="I31" s="329">
        <f>G31/'- 7 -'!$E31</f>
        <v>314.95018073235894</v>
      </c>
    </row>
    <row r="32" spans="1:9" ht="14.1" customHeight="1">
      <c r="A32" s="26" t="s">
        <v>255</v>
      </c>
      <c r="B32" s="27">
        <v>0</v>
      </c>
      <c r="C32" s="79">
        <f>B32/'- 3 -'!$D32*100</f>
        <v>0</v>
      </c>
      <c r="D32" s="27">
        <v>1205716</v>
      </c>
      <c r="E32" s="79">
        <f>D32/'- 3 -'!$D32*100</f>
        <v>4.6324919294585776</v>
      </c>
      <c r="F32" s="27">
        <f>D32/'- 7 -'!$E32</f>
        <v>596.29871414441152</v>
      </c>
      <c r="G32" s="27">
        <v>1724165</v>
      </c>
      <c r="H32" s="79">
        <f>G32/'- 3 -'!$D32*100</f>
        <v>6.6244293412005373</v>
      </c>
      <c r="I32" s="27">
        <f>G32/'- 7 -'!$E32</f>
        <v>852.7027695351137</v>
      </c>
    </row>
    <row r="33" spans="1:9" ht="14.1" customHeight="1">
      <c r="A33" s="328" t="s">
        <v>256</v>
      </c>
      <c r="B33" s="329">
        <v>0</v>
      </c>
      <c r="C33" s="335">
        <f>B33/'- 3 -'!$D33*100</f>
        <v>0</v>
      </c>
      <c r="D33" s="329">
        <v>1539834</v>
      </c>
      <c r="E33" s="335">
        <f>D33/'- 3 -'!$D33*100</f>
        <v>5.8815798052750399</v>
      </c>
      <c r="F33" s="329">
        <f>D33/'- 7 -'!$E33</f>
        <v>769.99399939993998</v>
      </c>
      <c r="G33" s="329">
        <v>951725</v>
      </c>
      <c r="H33" s="335">
        <f>G33/'- 3 -'!$D33*100</f>
        <v>3.6352272648710104</v>
      </c>
      <c r="I33" s="329">
        <f>G33/'- 7 -'!$E33</f>
        <v>475.91009100910088</v>
      </c>
    </row>
    <row r="34" spans="1:9" ht="14.1" customHeight="1">
      <c r="A34" s="26" t="s">
        <v>257</v>
      </c>
      <c r="B34" s="27">
        <v>363012</v>
      </c>
      <c r="C34" s="79">
        <f>B34/'- 3 -'!$D34*100</f>
        <v>1.4391024674082808</v>
      </c>
      <c r="D34" s="27">
        <v>1011903</v>
      </c>
      <c r="E34" s="79">
        <f>D34/'- 3 -'!$D34*100</f>
        <v>4.0115260764873923</v>
      </c>
      <c r="F34" s="27">
        <f>D34/'- 7 -'!$E34</f>
        <v>513.656345177665</v>
      </c>
      <c r="G34" s="27">
        <v>1136020</v>
      </c>
      <c r="H34" s="79">
        <f>G34/'- 3 -'!$D34*100</f>
        <v>4.5035678848775111</v>
      </c>
      <c r="I34" s="27">
        <f>G34/'- 7 -'!$E34</f>
        <v>576.65989847715741</v>
      </c>
    </row>
    <row r="35" spans="1:9" ht="14.1" customHeight="1">
      <c r="A35" s="328" t="s">
        <v>258</v>
      </c>
      <c r="B35" s="329">
        <v>3083979</v>
      </c>
      <c r="C35" s="335">
        <f>B35/'- 3 -'!$D35*100</f>
        <v>1.8001862434936238</v>
      </c>
      <c r="D35" s="329">
        <v>13032779</v>
      </c>
      <c r="E35" s="335">
        <f>D35/'- 3 -'!$D35*100</f>
        <v>7.6075192049921814</v>
      </c>
      <c r="F35" s="329">
        <f>D35/'- 7 -'!$E35</f>
        <v>837.39383814694634</v>
      </c>
      <c r="G35" s="329">
        <v>9385428</v>
      </c>
      <c r="H35" s="335">
        <f>G35/'- 3 -'!$D35*100</f>
        <v>5.4784803576483085</v>
      </c>
      <c r="I35" s="329">
        <f>G35/'- 7 -'!$E35</f>
        <v>603.04096122337523</v>
      </c>
    </row>
    <row r="36" spans="1:9" ht="14.1" customHeight="1">
      <c r="A36" s="26" t="s">
        <v>259</v>
      </c>
      <c r="B36" s="27">
        <v>0</v>
      </c>
      <c r="C36" s="79">
        <f>B36/'- 3 -'!$D36*100</f>
        <v>0</v>
      </c>
      <c r="D36" s="27">
        <v>1071934</v>
      </c>
      <c r="E36" s="79">
        <f>D36/'- 3 -'!$D36*100</f>
        <v>5.0106759210324947</v>
      </c>
      <c r="F36" s="27">
        <f>D36/'- 7 -'!$E36</f>
        <v>658.63840245775725</v>
      </c>
      <c r="G36" s="27">
        <v>814053</v>
      </c>
      <c r="H36" s="79">
        <f>G36/'- 3 -'!$D36*100</f>
        <v>3.8052303271883017</v>
      </c>
      <c r="I36" s="27">
        <f>G36/'- 7 -'!$E36</f>
        <v>500.18617511520739</v>
      </c>
    </row>
    <row r="37" spans="1:9" ht="14.1" customHeight="1">
      <c r="A37" s="328" t="s">
        <v>260</v>
      </c>
      <c r="B37" s="329">
        <v>0</v>
      </c>
      <c r="C37" s="335">
        <f>B37/'- 3 -'!$D37*100</f>
        <v>0</v>
      </c>
      <c r="D37" s="329">
        <v>3617417</v>
      </c>
      <c r="E37" s="335">
        <f>D37/'- 3 -'!$D37*100</f>
        <v>8.538287420761753</v>
      </c>
      <c r="F37" s="329">
        <f>D37/'- 7 -'!$E37</f>
        <v>924.34317107448578</v>
      </c>
      <c r="G37" s="329">
        <v>1935364</v>
      </c>
      <c r="H37" s="335">
        <f>G37/'- 3 -'!$D37*100</f>
        <v>4.5680921209236178</v>
      </c>
      <c r="I37" s="329">
        <f>G37/'- 7 -'!$E37</f>
        <v>494.53532643413826</v>
      </c>
    </row>
    <row r="38" spans="1:9" ht="14.1" customHeight="1">
      <c r="A38" s="26" t="s">
        <v>261</v>
      </c>
      <c r="B38" s="27">
        <v>905569</v>
      </c>
      <c r="C38" s="79">
        <f>B38/'- 3 -'!$D38*100</f>
        <v>0.78723790126666005</v>
      </c>
      <c r="D38" s="27">
        <v>10736741</v>
      </c>
      <c r="E38" s="79">
        <f>D38/'- 3 -'!$D38*100</f>
        <v>9.3337663405921596</v>
      </c>
      <c r="F38" s="27">
        <f>D38/'- 7 -'!$E38</f>
        <v>1027.2623854264336</v>
      </c>
      <c r="G38" s="27">
        <v>3935967</v>
      </c>
      <c r="H38" s="79">
        <f>G38/'- 3 -'!$D38*100</f>
        <v>3.4216524644006499</v>
      </c>
      <c r="I38" s="27">
        <f>G38/'- 7 -'!$E38</f>
        <v>376.58269389004761</v>
      </c>
    </row>
    <row r="39" spans="1:9" ht="14.1" customHeight="1">
      <c r="A39" s="328" t="s">
        <v>262</v>
      </c>
      <c r="B39" s="329">
        <v>0</v>
      </c>
      <c r="C39" s="335">
        <f>B39/'- 3 -'!$D39*100</f>
        <v>0</v>
      </c>
      <c r="D39" s="329">
        <v>1225450</v>
      </c>
      <c r="E39" s="335">
        <f>D39/'- 3 -'!$D39*100</f>
        <v>6.0529539249907893</v>
      </c>
      <c r="F39" s="329">
        <f>D39/'- 7 -'!$E39</f>
        <v>787.81742205078751</v>
      </c>
      <c r="G39" s="329">
        <v>664362</v>
      </c>
      <c r="H39" s="335">
        <f>G39/'- 3 -'!$D39*100</f>
        <v>3.2815313358478364</v>
      </c>
      <c r="I39" s="329">
        <f>G39/'- 7 -'!$E39</f>
        <v>427.10511089681773</v>
      </c>
    </row>
    <row r="40" spans="1:9" ht="14.1" customHeight="1">
      <c r="A40" s="26" t="s">
        <v>263</v>
      </c>
      <c r="B40" s="27">
        <v>250984</v>
      </c>
      <c r="C40" s="79">
        <f>B40/'- 3 -'!$D40*100</f>
        <v>0.26376976455103524</v>
      </c>
      <c r="D40" s="27">
        <v>9662462</v>
      </c>
      <c r="E40" s="79">
        <f>D40/'- 3 -'!$D40*100</f>
        <v>10.15469243745946</v>
      </c>
      <c r="F40" s="27">
        <f>D40/'- 7 -'!$E40</f>
        <v>1216.3755956015182</v>
      </c>
      <c r="G40" s="27">
        <v>5139561</v>
      </c>
      <c r="H40" s="79">
        <f>G40/'- 3 -'!$D40*100</f>
        <v>5.4013833346575213</v>
      </c>
      <c r="I40" s="27">
        <f>G40/'- 7 -'!$E40</f>
        <v>647.00244849659794</v>
      </c>
    </row>
    <row r="41" spans="1:9" ht="14.1" customHeight="1">
      <c r="A41" s="328" t="s">
        <v>264</v>
      </c>
      <c r="B41" s="329">
        <v>606039</v>
      </c>
      <c r="C41" s="335">
        <f>B41/'- 3 -'!$D41*100</f>
        <v>1.0340779443935288</v>
      </c>
      <c r="D41" s="329">
        <v>5253686</v>
      </c>
      <c r="E41" s="335">
        <f>D41/'- 3 -'!$D41*100</f>
        <v>8.9643089295722884</v>
      </c>
      <c r="F41" s="329">
        <f>D41/'- 7 -'!$E41</f>
        <v>1192.1229861583845</v>
      </c>
      <c r="G41" s="329">
        <v>2580486</v>
      </c>
      <c r="H41" s="335">
        <f>G41/'- 3 -'!$D41*100</f>
        <v>4.4030560053334513</v>
      </c>
      <c r="I41" s="329">
        <f>G41/'- 7 -'!$E41</f>
        <v>585.54254594962561</v>
      </c>
    </row>
    <row r="42" spans="1:9" ht="14.1" customHeight="1">
      <c r="A42" s="26" t="s">
        <v>265</v>
      </c>
      <c r="B42" s="27">
        <v>0</v>
      </c>
      <c r="C42" s="79">
        <f>B42/'- 3 -'!$D42*100</f>
        <v>0</v>
      </c>
      <c r="D42" s="27">
        <v>1670695</v>
      </c>
      <c r="E42" s="79">
        <f>D42/'- 3 -'!$D42*100</f>
        <v>8.2925154748669314</v>
      </c>
      <c r="F42" s="27">
        <f>D42/'- 7 -'!$E42</f>
        <v>1151.1713636050438</v>
      </c>
      <c r="G42" s="27">
        <v>759978</v>
      </c>
      <c r="H42" s="79">
        <f>G42/'- 3 -'!$D42*100</f>
        <v>3.7721602839287964</v>
      </c>
      <c r="I42" s="27">
        <f>G42/'- 7 -'!$E42</f>
        <v>523.65327637290704</v>
      </c>
    </row>
    <row r="43" spans="1:9" ht="14.1" customHeight="1">
      <c r="A43" s="328" t="s">
        <v>266</v>
      </c>
      <c r="B43" s="329">
        <v>0</v>
      </c>
      <c r="C43" s="335">
        <f>B43/'- 3 -'!$D43*100</f>
        <v>0</v>
      </c>
      <c r="D43" s="329">
        <v>453372</v>
      </c>
      <c r="E43" s="335">
        <f>D43/'- 3 -'!$D43*100</f>
        <v>3.6745833134760661</v>
      </c>
      <c r="F43" s="329">
        <f>D43/'- 7 -'!$E43</f>
        <v>463.19166326113611</v>
      </c>
      <c r="G43" s="329">
        <v>1048969</v>
      </c>
      <c r="H43" s="335">
        <f>G43/'- 3 -'!$D43*100</f>
        <v>8.5019012725833871</v>
      </c>
      <c r="I43" s="329">
        <f>G43/'- 7 -'!$E43</f>
        <v>1071.6888026154475</v>
      </c>
    </row>
    <row r="44" spans="1:9" ht="14.1" customHeight="1">
      <c r="A44" s="26" t="s">
        <v>267</v>
      </c>
      <c r="B44" s="27">
        <v>0</v>
      </c>
      <c r="C44" s="79">
        <f>B44/'- 3 -'!$D44*100</f>
        <v>0</v>
      </c>
      <c r="D44" s="27">
        <v>927035</v>
      </c>
      <c r="E44" s="79">
        <f>D44/'- 3 -'!$D44*100</f>
        <v>9.0136730410148456</v>
      </c>
      <c r="F44" s="27">
        <f>D44/'- 7 -'!$E44</f>
        <v>1321.503920171062</v>
      </c>
      <c r="G44" s="27">
        <v>419592</v>
      </c>
      <c r="H44" s="79">
        <f>G44/'- 3 -'!$D44*100</f>
        <v>4.079743589643865</v>
      </c>
      <c r="I44" s="27">
        <f>G44/'- 7 -'!$E44</f>
        <v>598.13542409123306</v>
      </c>
    </row>
    <row r="45" spans="1:9" ht="14.1" customHeight="1">
      <c r="A45" s="328" t="s">
        <v>268</v>
      </c>
      <c r="B45" s="329">
        <v>203222</v>
      </c>
      <c r="C45" s="335">
        <f>B45/'- 3 -'!$D45*100</f>
        <v>1.2037870880444719</v>
      </c>
      <c r="D45" s="329">
        <v>823631</v>
      </c>
      <c r="E45" s="335">
        <f>D45/'- 3 -'!$D45*100</f>
        <v>4.878784595728594</v>
      </c>
      <c r="F45" s="329">
        <f>D45/'- 7 -'!$E45</f>
        <v>509.2</v>
      </c>
      <c r="G45" s="329">
        <v>794595</v>
      </c>
      <c r="H45" s="335">
        <f>G45/'- 3 -'!$D45*100</f>
        <v>4.7067896252605381</v>
      </c>
      <c r="I45" s="329">
        <f>G45/'- 7 -'!$E45</f>
        <v>491.24884080370941</v>
      </c>
    </row>
    <row r="46" spans="1:9" ht="14.1" customHeight="1">
      <c r="A46" s="26" t="s">
        <v>269</v>
      </c>
      <c r="B46" s="27">
        <v>29034308</v>
      </c>
      <c r="C46" s="79">
        <f>B46/'- 3 -'!$D46*100</f>
        <v>8.1545618478561277</v>
      </c>
      <c r="D46" s="27">
        <v>14705410</v>
      </c>
      <c r="E46" s="79">
        <f>D46/'- 3 -'!$D46*100</f>
        <v>4.1301544139809359</v>
      </c>
      <c r="F46" s="27">
        <f>D46/'- 7 -'!$E46</f>
        <v>492.66995885876634</v>
      </c>
      <c r="G46" s="27">
        <v>21837700</v>
      </c>
      <c r="H46" s="79">
        <f>G46/'- 3 -'!$D46*100</f>
        <v>6.133325969571163</v>
      </c>
      <c r="I46" s="27">
        <f>G46/'- 7 -'!$E46</f>
        <v>731.62045536779192</v>
      </c>
    </row>
    <row r="47" spans="1:9" ht="5.0999999999999996" customHeight="1">
      <c r="A47" s="28"/>
      <c r="B47" s="29"/>
      <c r="C47"/>
      <c r="D47" s="29"/>
      <c r="E47"/>
      <c r="F47" s="29"/>
      <c r="G47"/>
      <c r="H47"/>
      <c r="I47"/>
    </row>
    <row r="48" spans="1:9" ht="14.1" customHeight="1">
      <c r="A48" s="330" t="s">
        <v>270</v>
      </c>
      <c r="B48" s="331">
        <f>SUM(B11:B46)</f>
        <v>53775880</v>
      </c>
      <c r="C48" s="338">
        <f>B48/'- 3 -'!$D48*100</f>
        <v>2.6009495494248469</v>
      </c>
      <c r="D48" s="331">
        <f>SUM(D11:D46)</f>
        <v>134913717</v>
      </c>
      <c r="E48" s="338">
        <f>D48/'- 3 -'!$D48*100</f>
        <v>6.5253004031246213</v>
      </c>
      <c r="F48" s="331">
        <f>D48/'- 7 -'!$E48</f>
        <v>784.27561863425808</v>
      </c>
      <c r="G48" s="331">
        <f>SUM(G11:G46)</f>
        <v>104159468</v>
      </c>
      <c r="H48" s="338">
        <f>G48/'- 3 -'!$D48*100</f>
        <v>5.0378259056463932</v>
      </c>
      <c r="I48" s="331">
        <f>G48/'- 7 -'!$E48</f>
        <v>605.49611276602218</v>
      </c>
    </row>
    <row r="49" spans="1:9" ht="5.0999999999999996" customHeight="1">
      <c r="A49" s="28" t="s">
        <v>16</v>
      </c>
      <c r="B49" s="29"/>
      <c r="C49"/>
      <c r="D49" s="29"/>
      <c r="E49"/>
      <c r="G49"/>
      <c r="H49"/>
      <c r="I49"/>
    </row>
    <row r="50" spans="1:9" ht="14.1" customHeight="1">
      <c r="A50" s="26" t="s">
        <v>271</v>
      </c>
      <c r="B50" s="27">
        <v>42669</v>
      </c>
      <c r="C50" s="79">
        <f>B50/'- 3 -'!$D50*100</f>
        <v>1.3401732874935377</v>
      </c>
      <c r="D50" s="27">
        <v>241444</v>
      </c>
      <c r="E50" s="79">
        <f>D50/'- 3 -'!$D50*100</f>
        <v>7.5834165137591629</v>
      </c>
      <c r="F50" s="27">
        <f>D50/'- 7 -'!$E50</f>
        <v>1367.9546742209632</v>
      </c>
      <c r="G50" s="27">
        <v>23627</v>
      </c>
      <c r="H50" s="79">
        <f>G50/'- 3 -'!$D50*100</f>
        <v>0.74209084496027133</v>
      </c>
      <c r="I50" s="27">
        <f>G50/'- 7 -'!$E50</f>
        <v>133.86402266288951</v>
      </c>
    </row>
    <row r="51" spans="1:9" ht="14.1" customHeight="1">
      <c r="A51" s="328" t="s">
        <v>272</v>
      </c>
      <c r="B51" s="329">
        <v>0</v>
      </c>
      <c r="C51" s="335">
        <f>B51/'- 3 -'!$D51*100</f>
        <v>0</v>
      </c>
      <c r="D51" s="329">
        <v>128649</v>
      </c>
      <c r="E51" s="335">
        <f>D51/'- 3 -'!$D51*100</f>
        <v>0.65340067602735807</v>
      </c>
      <c r="F51" s="329">
        <f>D51/'- 7 -'!$E51</f>
        <v>177.96237377230599</v>
      </c>
      <c r="G51" s="329">
        <v>62079</v>
      </c>
      <c r="H51" s="335">
        <f>G51/'- 3 -'!$D51*100</f>
        <v>0.31529557607989456</v>
      </c>
      <c r="I51" s="329">
        <f>G51/'- 7 -'!$E51</f>
        <v>85.874948125605201</v>
      </c>
    </row>
    <row r="52" spans="1:9" ht="50.1" customHeight="1">
      <c r="A52" s="30"/>
      <c r="B52" s="30"/>
      <c r="C52" s="30"/>
      <c r="D52" s="30"/>
      <c r="E52" s="30"/>
      <c r="F52" s="30"/>
      <c r="G52" s="30"/>
      <c r="H52" s="30"/>
      <c r="I52" s="30"/>
    </row>
    <row r="53" spans="1:9">
      <c r="A53" s="148" t="s">
        <v>612</v>
      </c>
      <c r="B53" s="148"/>
    </row>
    <row r="54" spans="1:9">
      <c r="A54" s="148" t="s">
        <v>588</v>
      </c>
      <c r="B54" s="148"/>
    </row>
  </sheetData>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sheetPr codeName="Sheet26">
    <pageSetUpPr fitToPage="1"/>
  </sheetPr>
  <dimension ref="A1:G59"/>
  <sheetViews>
    <sheetView showGridLines="0" showZeros="0" workbookViewId="0"/>
  </sheetViews>
  <sheetFormatPr defaultColWidth="15.83203125" defaultRowHeight="12"/>
  <cols>
    <col min="1" max="1" width="36.83203125" style="1" customWidth="1"/>
    <col min="2" max="2" width="24.83203125" style="1" customWidth="1"/>
    <col min="3" max="4" width="15.83203125" style="1" customWidth="1"/>
    <col min="5" max="5" width="40.83203125" style="1" customWidth="1"/>
    <col min="6" max="16384" width="15.83203125" style="1"/>
  </cols>
  <sheetData>
    <row r="1" spans="1:7" ht="6.95" customHeight="1">
      <c r="A1" s="6"/>
      <c r="B1" s="7"/>
      <c r="C1" s="7"/>
      <c r="D1" s="7"/>
      <c r="E1" s="7"/>
    </row>
    <row r="2" spans="1:7" ht="15.95" customHeight="1">
      <c r="A2" s="152"/>
      <c r="B2" s="8" t="s">
        <v>478</v>
      </c>
      <c r="C2" s="9"/>
      <c r="D2" s="9"/>
      <c r="E2" s="153" t="s">
        <v>437</v>
      </c>
    </row>
    <row r="3" spans="1:7" ht="15.95" customHeight="1">
      <c r="A3" s="697"/>
      <c r="B3" s="10" t="str">
        <f>OPYEAR</f>
        <v>OPERATING FUND 2013/2014 ACTUAL</v>
      </c>
      <c r="C3" s="11"/>
      <c r="D3" s="11"/>
      <c r="E3" s="74"/>
    </row>
    <row r="4" spans="1:7" ht="15.95" customHeight="1">
      <c r="B4" s="7"/>
      <c r="C4" s="7"/>
      <c r="D4" s="7"/>
      <c r="E4" s="7"/>
    </row>
    <row r="5" spans="1:7" ht="15.95" customHeight="1">
      <c r="B5" s="477" t="s">
        <v>428</v>
      </c>
      <c r="C5" s="175"/>
      <c r="D5" s="177"/>
      <c r="E5" s="50"/>
    </row>
    <row r="6" spans="1:7" ht="15.95" customHeight="1">
      <c r="B6" s="481" t="s">
        <v>31</v>
      </c>
      <c r="C6" s="482"/>
      <c r="D6" s="483"/>
      <c r="E6" s="78"/>
    </row>
    <row r="7" spans="1:7" ht="15.95" customHeight="1">
      <c r="B7" s="484" t="s">
        <v>518</v>
      </c>
      <c r="C7" s="485"/>
      <c r="D7" s="486"/>
      <c r="E7" s="78"/>
    </row>
    <row r="8" spans="1:7" ht="15.95" customHeight="1">
      <c r="A8" s="75"/>
      <c r="B8" s="155"/>
      <c r="C8" s="157"/>
      <c r="D8" s="157" t="s">
        <v>73</v>
      </c>
      <c r="E8" s="78"/>
    </row>
    <row r="9" spans="1:7" ht="15.95" customHeight="1">
      <c r="A9" s="42" t="s">
        <v>93</v>
      </c>
      <c r="B9" s="87" t="s">
        <v>94</v>
      </c>
      <c r="C9" s="558" t="s">
        <v>95</v>
      </c>
      <c r="D9" s="558" t="s">
        <v>96</v>
      </c>
    </row>
    <row r="10" spans="1:7" ht="5.0999999999999996" customHeight="1">
      <c r="A10" s="5"/>
    </row>
    <row r="11" spans="1:7" ht="14.1" customHeight="1">
      <c r="A11" s="328" t="s">
        <v>235</v>
      </c>
      <c r="B11" s="329">
        <v>266067</v>
      </c>
      <c r="C11" s="335">
        <f>B11/'- 3 -'!$D11*100</f>
        <v>1.596937580925891</v>
      </c>
      <c r="D11" s="329">
        <f>B11/'- 7 -'!$E11</f>
        <v>179.4113283884019</v>
      </c>
      <c r="E11" s="559"/>
      <c r="G11" s="559"/>
    </row>
    <row r="12" spans="1:7" ht="14.1" customHeight="1">
      <c r="A12" s="26" t="s">
        <v>236</v>
      </c>
      <c r="B12" s="27">
        <v>337924</v>
      </c>
      <c r="C12" s="79">
        <f>B12/'- 3 -'!$D12*100</f>
        <v>1.1349303043089898</v>
      </c>
      <c r="D12" s="27">
        <f>B12/'- 7 -'!$E12</f>
        <v>154.43012521707337</v>
      </c>
      <c r="E12" s="559"/>
    </row>
    <row r="13" spans="1:7" ht="14.1" customHeight="1">
      <c r="A13" s="328" t="s">
        <v>237</v>
      </c>
      <c r="B13" s="329">
        <v>2118562</v>
      </c>
      <c r="C13" s="335">
        <f>B13/'- 3 -'!$D13*100</f>
        <v>2.5260491417777127</v>
      </c>
      <c r="D13" s="329">
        <f>B13/'- 7 -'!$E13</f>
        <v>264.80369976876443</v>
      </c>
      <c r="E13" s="559"/>
    </row>
    <row r="14" spans="1:7" ht="14.1" customHeight="1">
      <c r="A14" s="26" t="s">
        <v>636</v>
      </c>
      <c r="B14" s="27">
        <v>1267759</v>
      </c>
      <c r="C14" s="79">
        <f>B14/'- 3 -'!$D14*100</f>
        <v>1.7364529518141461</v>
      </c>
      <c r="D14" s="27">
        <f>B14/'- 7 -'!$E14</f>
        <v>243.75293212843684</v>
      </c>
      <c r="E14" s="559"/>
    </row>
    <row r="15" spans="1:7" ht="14.1" customHeight="1">
      <c r="A15" s="328" t="s">
        <v>238</v>
      </c>
      <c r="B15" s="329">
        <v>548250</v>
      </c>
      <c r="C15" s="335">
        <f>B15/'- 3 -'!$D15*100</f>
        <v>2.8893350676897556</v>
      </c>
      <c r="D15" s="329">
        <f>B15/'- 7 -'!$E15</f>
        <v>367.58297016426417</v>
      </c>
      <c r="E15" s="559"/>
    </row>
    <row r="16" spans="1:7" ht="14.1" customHeight="1">
      <c r="A16" s="26" t="s">
        <v>239</v>
      </c>
      <c r="B16" s="27">
        <v>282159</v>
      </c>
      <c r="C16" s="79">
        <f>B16/'- 3 -'!$D16*100</f>
        <v>2.1646711768745766</v>
      </c>
      <c r="D16" s="27">
        <f>B16/'- 7 -'!$E16</f>
        <v>293.30457380457381</v>
      </c>
      <c r="E16" s="559"/>
    </row>
    <row r="17" spans="1:5" ht="14.1" customHeight="1">
      <c r="A17" s="328" t="s">
        <v>240</v>
      </c>
      <c r="B17" s="329">
        <v>213735</v>
      </c>
      <c r="C17" s="335">
        <f>B17/'- 3 -'!$D17*100</f>
        <v>1.3028915860214152</v>
      </c>
      <c r="D17" s="329">
        <f>B17/'- 7 -'!$E17</f>
        <v>166.07779146824737</v>
      </c>
      <c r="E17" s="559"/>
    </row>
    <row r="18" spans="1:5" ht="14.1" customHeight="1">
      <c r="A18" s="26" t="s">
        <v>241</v>
      </c>
      <c r="B18" s="27">
        <v>1435489</v>
      </c>
      <c r="C18" s="79">
        <f>B18/'- 3 -'!$D18*100</f>
        <v>1.2081858649334642</v>
      </c>
      <c r="D18" s="27">
        <f>B18/'- 7 -'!$E18</f>
        <v>236.65287348742126</v>
      </c>
      <c r="E18" s="559"/>
    </row>
    <row r="19" spans="1:5" ht="14.1" customHeight="1">
      <c r="A19" s="328" t="s">
        <v>242</v>
      </c>
      <c r="B19" s="329">
        <v>796702</v>
      </c>
      <c r="C19" s="335">
        <f>B19/'- 3 -'!$D19*100</f>
        <v>1.8399247755098798</v>
      </c>
      <c r="D19" s="329">
        <f>B19/'- 7 -'!$E19</f>
        <v>189.99856911189545</v>
      </c>
      <c r="E19" s="559"/>
    </row>
    <row r="20" spans="1:5" ht="14.1" customHeight="1">
      <c r="A20" s="26" t="s">
        <v>243</v>
      </c>
      <c r="B20" s="27">
        <v>651411</v>
      </c>
      <c r="C20" s="79">
        <f>B20/'- 3 -'!$D20*100</f>
        <v>0.92200052561917933</v>
      </c>
      <c r="D20" s="27">
        <f>B20/'- 7 -'!$E20</f>
        <v>88.279035099606986</v>
      </c>
      <c r="E20" s="559"/>
    </row>
    <row r="21" spans="1:5" ht="14.1" customHeight="1">
      <c r="A21" s="328" t="s">
        <v>244</v>
      </c>
      <c r="B21" s="329">
        <v>921284</v>
      </c>
      <c r="C21" s="335">
        <f>B21/'- 3 -'!$D21*100</f>
        <v>2.6593570842802507</v>
      </c>
      <c r="D21" s="329">
        <f>B21/'- 7 -'!$E21</f>
        <v>340.8375878653348</v>
      </c>
      <c r="E21" s="559"/>
    </row>
    <row r="22" spans="1:5" ht="14.1" customHeight="1">
      <c r="A22" s="26" t="s">
        <v>245</v>
      </c>
      <c r="B22" s="27">
        <v>507464</v>
      </c>
      <c r="C22" s="79">
        <f>B22/'- 3 -'!$D22*100</f>
        <v>2.6334731067254489</v>
      </c>
      <c r="D22" s="27">
        <f>B22/'- 7 -'!$E22</f>
        <v>323.59648004081112</v>
      </c>
      <c r="E22" s="559"/>
    </row>
    <row r="23" spans="1:5" ht="14.1" customHeight="1">
      <c r="A23" s="328" t="s">
        <v>246</v>
      </c>
      <c r="B23" s="329">
        <v>312000</v>
      </c>
      <c r="C23" s="335">
        <f>B23/'- 3 -'!$D23*100</f>
        <v>1.9221687978405173</v>
      </c>
      <c r="D23" s="329">
        <f>B23/'- 7 -'!$E23</f>
        <v>269.8028363887928</v>
      </c>
      <c r="E23" s="559"/>
    </row>
    <row r="24" spans="1:5" ht="14.1" customHeight="1">
      <c r="A24" s="26" t="s">
        <v>247</v>
      </c>
      <c r="B24" s="27">
        <v>1097979</v>
      </c>
      <c r="C24" s="79">
        <f>B24/'- 3 -'!$D24*100</f>
        <v>2.1021525534864463</v>
      </c>
      <c r="D24" s="27">
        <f>B24/'- 7 -'!$E24</f>
        <v>266.24772666650506</v>
      </c>
      <c r="E24" s="559"/>
    </row>
    <row r="25" spans="1:5" ht="14.1" customHeight="1">
      <c r="A25" s="328" t="s">
        <v>248</v>
      </c>
      <c r="B25" s="329">
        <v>3048826</v>
      </c>
      <c r="C25" s="335">
        <f>B25/'- 3 -'!$D25*100</f>
        <v>1.9783940935602544</v>
      </c>
      <c r="D25" s="329">
        <f>B25/'- 7 -'!$E25</f>
        <v>220.52990958408679</v>
      </c>
      <c r="E25" s="559"/>
    </row>
    <row r="26" spans="1:5" ht="14.1" customHeight="1">
      <c r="A26" s="26" t="s">
        <v>249</v>
      </c>
      <c r="B26" s="27">
        <v>997958</v>
      </c>
      <c r="C26" s="79">
        <f>B26/'- 3 -'!$D26*100</f>
        <v>2.6541524406663584</v>
      </c>
      <c r="D26" s="27">
        <f>B26/'- 7 -'!$E26</f>
        <v>320.26893453145055</v>
      </c>
      <c r="E26" s="559"/>
    </row>
    <row r="27" spans="1:5" ht="14.1" customHeight="1">
      <c r="A27" s="328" t="s">
        <v>250</v>
      </c>
      <c r="B27" s="329">
        <v>898129</v>
      </c>
      <c r="C27" s="335">
        <f>B27/'- 3 -'!$D27*100</f>
        <v>2.4409337431954814</v>
      </c>
      <c r="D27" s="329">
        <f>B27/'- 7 -'!$E27</f>
        <v>323.56846921497277</v>
      </c>
      <c r="E27" s="559"/>
    </row>
    <row r="28" spans="1:5" ht="14.1" customHeight="1">
      <c r="A28" s="26" t="s">
        <v>251</v>
      </c>
      <c r="B28" s="27">
        <v>494445</v>
      </c>
      <c r="C28" s="79">
        <f>B28/'- 3 -'!$D28*100</f>
        <v>1.8317625164140661</v>
      </c>
      <c r="D28" s="27">
        <f>B28/'- 7 -'!$E28</f>
        <v>246.17625093353249</v>
      </c>
      <c r="E28" s="559"/>
    </row>
    <row r="29" spans="1:5" ht="14.1" customHeight="1">
      <c r="A29" s="328" t="s">
        <v>252</v>
      </c>
      <c r="B29" s="329">
        <v>2986566</v>
      </c>
      <c r="C29" s="335">
        <f>B29/'- 3 -'!$D29*100</f>
        <v>2.1214829099947896</v>
      </c>
      <c r="D29" s="329">
        <f>B29/'- 7 -'!$E29</f>
        <v>244.74632663263046</v>
      </c>
      <c r="E29" s="559"/>
    </row>
    <row r="30" spans="1:5" ht="14.1" customHeight="1">
      <c r="A30" s="26" t="s">
        <v>253</v>
      </c>
      <c r="B30" s="27">
        <v>205158</v>
      </c>
      <c r="C30" s="79">
        <f>B30/'- 3 -'!$D30*100</f>
        <v>1.5250186596578754</v>
      </c>
      <c r="D30" s="27">
        <f>B30/'- 7 -'!$E30</f>
        <v>193.62931083300296</v>
      </c>
      <c r="E30" s="559"/>
    </row>
    <row r="31" spans="1:5" ht="14.1" customHeight="1">
      <c r="A31" s="328" t="s">
        <v>254</v>
      </c>
      <c r="B31" s="329">
        <v>790540</v>
      </c>
      <c r="C31" s="335">
        <f>B31/'- 3 -'!$D31*100</f>
        <v>2.3451106812502922</v>
      </c>
      <c r="D31" s="329">
        <f>B31/'- 7 -'!$E31</f>
        <v>248.48027659908848</v>
      </c>
      <c r="E31" s="559"/>
    </row>
    <row r="32" spans="1:5" ht="14.1" customHeight="1">
      <c r="A32" s="26" t="s">
        <v>255</v>
      </c>
      <c r="B32" s="27">
        <v>313402</v>
      </c>
      <c r="C32" s="79">
        <f>B32/'- 3 -'!$D32*100</f>
        <v>1.2041245497913082</v>
      </c>
      <c r="D32" s="27">
        <f>B32/'- 7 -'!$E32</f>
        <v>154.99604352126607</v>
      </c>
      <c r="E32" s="559"/>
    </row>
    <row r="33" spans="1:5" ht="14.1" customHeight="1">
      <c r="A33" s="328" t="s">
        <v>256</v>
      </c>
      <c r="B33" s="329">
        <v>374607</v>
      </c>
      <c r="C33" s="335">
        <f>B33/'- 3 -'!$D33*100</f>
        <v>1.430856161193133</v>
      </c>
      <c r="D33" s="329">
        <f>B33/'- 7 -'!$E33</f>
        <v>187.3222322232223</v>
      </c>
      <c r="E33" s="559"/>
    </row>
    <row r="34" spans="1:5" ht="14.1" customHeight="1">
      <c r="A34" s="26" t="s">
        <v>257</v>
      </c>
      <c r="B34" s="27">
        <v>585897</v>
      </c>
      <c r="C34" s="79">
        <f>B34/'- 3 -'!$D34*100</f>
        <v>2.3226940661661586</v>
      </c>
      <c r="D34" s="27">
        <f>B34/'- 7 -'!$E34</f>
        <v>297.40964467005074</v>
      </c>
      <c r="E34" s="559"/>
    </row>
    <row r="35" spans="1:5" ht="14.1" customHeight="1">
      <c r="A35" s="328" t="s">
        <v>258</v>
      </c>
      <c r="B35" s="329">
        <v>2873597</v>
      </c>
      <c r="C35" s="335">
        <f>B35/'- 3 -'!$D35*100</f>
        <v>1.6773816516729025</v>
      </c>
      <c r="D35" s="329">
        <f>B35/'- 7 -'!$E35</f>
        <v>184.636938991872</v>
      </c>
      <c r="E35" s="559"/>
    </row>
    <row r="36" spans="1:5" ht="14.1" customHeight="1">
      <c r="A36" s="26" t="s">
        <v>259</v>
      </c>
      <c r="B36" s="27">
        <v>457729</v>
      </c>
      <c r="C36" s="79">
        <f>B36/'- 3 -'!$D36*100</f>
        <v>2.1396202365614703</v>
      </c>
      <c r="D36" s="27">
        <f>B36/'- 7 -'!$E36</f>
        <v>281.24669738863287</v>
      </c>
      <c r="E36" s="559"/>
    </row>
    <row r="37" spans="1:5" ht="14.1" customHeight="1">
      <c r="A37" s="328" t="s">
        <v>260</v>
      </c>
      <c r="B37" s="329">
        <v>1221115</v>
      </c>
      <c r="C37" s="335">
        <f>B37/'- 3 -'!$D37*100</f>
        <v>2.8822308414549633</v>
      </c>
      <c r="D37" s="329">
        <f>B37/'- 7 -'!$E37</f>
        <v>312.02631915165455</v>
      </c>
      <c r="E37" s="559"/>
    </row>
    <row r="38" spans="1:5" ht="14.1" customHeight="1">
      <c r="A38" s="26" t="s">
        <v>261</v>
      </c>
      <c r="B38" s="27">
        <v>2668699</v>
      </c>
      <c r="C38" s="79">
        <f>B38/'- 3 -'!$D38*100</f>
        <v>2.3199789302332947</v>
      </c>
      <c r="D38" s="27">
        <f>B38/'- 7 -'!$E38</f>
        <v>255.33391377561756</v>
      </c>
      <c r="E38" s="559"/>
    </row>
    <row r="39" spans="1:5" ht="14.1" customHeight="1">
      <c r="A39" s="328" t="s">
        <v>262</v>
      </c>
      <c r="B39" s="329">
        <v>256319</v>
      </c>
      <c r="C39" s="335">
        <f>B39/'- 3 -'!$D39*100</f>
        <v>1.2660549978372957</v>
      </c>
      <c r="D39" s="329">
        <f>B39/'- 7 -'!$E39</f>
        <v>164.7823850851816</v>
      </c>
      <c r="E39" s="559"/>
    </row>
    <row r="40" spans="1:5" ht="14.1" customHeight="1">
      <c r="A40" s="26" t="s">
        <v>263</v>
      </c>
      <c r="B40" s="27">
        <v>2441765</v>
      </c>
      <c r="C40" s="79">
        <f>B40/'- 3 -'!$D40*100</f>
        <v>2.5661547315325226</v>
      </c>
      <c r="D40" s="27">
        <f>B40/'- 7 -'!$E40</f>
        <v>307.38577354238924</v>
      </c>
      <c r="E40" s="559"/>
    </row>
    <row r="41" spans="1:5" ht="14.1" customHeight="1">
      <c r="A41" s="328" t="s">
        <v>264</v>
      </c>
      <c r="B41" s="329">
        <v>968529</v>
      </c>
      <c r="C41" s="335">
        <f>B41/'- 3 -'!$D41*100</f>
        <v>1.6525908025812202</v>
      </c>
      <c r="D41" s="329">
        <f>B41/'- 7 -'!$E41</f>
        <v>219.77059223961879</v>
      </c>
      <c r="E41" s="559"/>
    </row>
    <row r="42" spans="1:5" ht="14.1" customHeight="1">
      <c r="A42" s="26" t="s">
        <v>265</v>
      </c>
      <c r="B42" s="27">
        <v>284168</v>
      </c>
      <c r="C42" s="79">
        <f>B42/'- 3 -'!$D42*100</f>
        <v>1.4104714130717972</v>
      </c>
      <c r="D42" s="27">
        <f>B42/'- 7 -'!$E42</f>
        <v>195.80238406945497</v>
      </c>
      <c r="E42" s="559"/>
    </row>
    <row r="43" spans="1:5" ht="14.1" customHeight="1">
      <c r="A43" s="328" t="s">
        <v>266</v>
      </c>
      <c r="B43" s="329">
        <v>192872</v>
      </c>
      <c r="C43" s="335">
        <f>B43/'- 3 -'!$D43*100</f>
        <v>1.5632289440829072</v>
      </c>
      <c r="D43" s="329">
        <f>B43/'- 7 -'!$E43</f>
        <v>197.04944830404577</v>
      </c>
      <c r="E43" s="559"/>
    </row>
    <row r="44" spans="1:5" ht="14.1" customHeight="1">
      <c r="A44" s="26" t="s">
        <v>267</v>
      </c>
      <c r="B44" s="27">
        <v>61649</v>
      </c>
      <c r="C44" s="79">
        <f>B44/'- 3 -'!$D44*100</f>
        <v>0.59942065758630925</v>
      </c>
      <c r="D44" s="27">
        <f>B44/'- 7 -'!$E44</f>
        <v>87.881682109764796</v>
      </c>
      <c r="E44" s="559"/>
    </row>
    <row r="45" spans="1:5" ht="14.1" customHeight="1">
      <c r="A45" s="328" t="s">
        <v>268</v>
      </c>
      <c r="B45" s="329">
        <v>409829</v>
      </c>
      <c r="C45" s="335">
        <f>B45/'- 3 -'!$D45*100</f>
        <v>2.4276252497572992</v>
      </c>
      <c r="D45" s="329">
        <f>B45/'- 7 -'!$E45</f>
        <v>253.37187017001546</v>
      </c>
      <c r="E45" s="559"/>
    </row>
    <row r="46" spans="1:5" ht="14.1" customHeight="1">
      <c r="A46" s="26" t="s">
        <v>269</v>
      </c>
      <c r="B46" s="27">
        <v>5817393</v>
      </c>
      <c r="C46" s="79">
        <f>B46/'- 3 -'!$D46*100</f>
        <v>1.6338702135344607</v>
      </c>
      <c r="D46" s="27">
        <f>B46/'- 7 -'!$E46</f>
        <v>194.89798448158027</v>
      </c>
      <c r="E46" s="559"/>
    </row>
    <row r="47" spans="1:5" ht="5.0999999999999996" customHeight="1">
      <c r="A47" s="28"/>
      <c r="B47" s="29"/>
      <c r="C47"/>
      <c r="D47" s="29"/>
      <c r="E47" s="559"/>
    </row>
    <row r="48" spans="1:5" ht="14.1" customHeight="1">
      <c r="A48" s="330" t="s">
        <v>270</v>
      </c>
      <c r="B48" s="331">
        <f>SUM(B11:B46)</f>
        <v>39105977</v>
      </c>
      <c r="C48" s="338">
        <f>B48/'- 3 -'!$D48*100</f>
        <v>1.8914181089731759</v>
      </c>
      <c r="D48" s="331">
        <f>B48/'- 7 -'!$E48</f>
        <v>227.32947387382461</v>
      </c>
      <c r="E48" s="559"/>
    </row>
    <row r="49" spans="1:5" ht="5.0999999999999996" customHeight="1">
      <c r="A49" s="28" t="s">
        <v>16</v>
      </c>
      <c r="B49" s="29"/>
      <c r="C49"/>
      <c r="D49" s="29"/>
      <c r="E49" s="559"/>
    </row>
    <row r="50" spans="1:5" ht="14.1" customHeight="1">
      <c r="A50" s="26" t="s">
        <v>271</v>
      </c>
      <c r="B50" s="27">
        <v>98151</v>
      </c>
      <c r="C50" s="79">
        <f>B50/'- 3 -'!$D50*100</f>
        <v>3.0827848869384851</v>
      </c>
      <c r="D50" s="27">
        <f>B50/'- 7 -'!$E50</f>
        <v>556.09631728045326</v>
      </c>
      <c r="E50" s="559"/>
    </row>
    <row r="51" spans="1:5" ht="14.1" customHeight="1">
      <c r="A51" s="328" t="s">
        <v>272</v>
      </c>
      <c r="B51" s="329">
        <v>402269</v>
      </c>
      <c r="C51" s="335">
        <f>B51/'- 3 -'!$D51*100</f>
        <v>2.0431005024901032</v>
      </c>
      <c r="D51" s="329">
        <f>B51/'- 7 -'!$E51</f>
        <v>556.46562456771335</v>
      </c>
      <c r="E51" s="559"/>
    </row>
    <row r="52" spans="1:5" ht="50.1" customHeight="1">
      <c r="A52" s="206"/>
      <c r="B52" s="206"/>
      <c r="C52" s="206"/>
      <c r="D52" s="206"/>
      <c r="E52" s="206"/>
    </row>
    <row r="53" spans="1:5" ht="15" customHeight="1">
      <c r="A53" s="676"/>
      <c r="B53" s="206"/>
      <c r="C53" s="206"/>
      <c r="D53" s="206"/>
      <c r="E53" s="206"/>
    </row>
    <row r="54" spans="1:5" ht="14.45" customHeight="1"/>
    <row r="55" spans="1:5" ht="14.45" customHeight="1"/>
    <row r="56" spans="1:5" ht="14.45" customHeight="1"/>
    <row r="57" spans="1:5" ht="14.45" customHeight="1"/>
    <row r="58" spans="1:5" ht="14.45" customHeight="1"/>
    <row r="59" spans="1:5" ht="14.45" customHeight="1"/>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sheetPr transitionEntry="1" codeName="Sheet1">
    <pageSetUpPr fitToPage="1"/>
  </sheetPr>
  <dimension ref="A1:G58"/>
  <sheetViews>
    <sheetView showGridLines="0" showZeros="0" workbookViewId="0"/>
  </sheetViews>
  <sheetFormatPr defaultColWidth="15.83203125" defaultRowHeight="12"/>
  <cols>
    <col min="1" max="1" width="32.83203125" style="1" customWidth="1"/>
    <col min="2" max="2" width="18.83203125" style="1" customWidth="1"/>
    <col min="3" max="3" width="19.83203125" style="1" customWidth="1"/>
    <col min="4" max="4" width="21.83203125" style="1" customWidth="1"/>
    <col min="5" max="5" width="19.83203125" style="1" customWidth="1"/>
    <col min="6" max="6" width="20.83203125" style="1" customWidth="1"/>
    <col min="7" max="16384" width="15.83203125" style="1"/>
  </cols>
  <sheetData>
    <row r="1" spans="1:6" ht="6.95" customHeight="1">
      <c r="A1" s="6"/>
      <c r="B1" s="7"/>
      <c r="C1" s="7"/>
      <c r="D1" s="7"/>
      <c r="E1" s="7"/>
      <c r="F1" s="7"/>
    </row>
    <row r="2" spans="1:6" ht="15.95" customHeight="1">
      <c r="A2" s="8" t="s">
        <v>460</v>
      </c>
      <c r="B2" s="9"/>
      <c r="C2" s="9"/>
      <c r="D2" s="9"/>
      <c r="E2" s="9"/>
      <c r="F2" s="9"/>
    </row>
    <row r="3" spans="1:6" ht="15.95" customHeight="1">
      <c r="A3" s="10" t="str">
        <f>"OPERATING FUND "&amp;FALLYR&amp;"/"&amp;SPRINGYR&amp;" ACTUAL"</f>
        <v>OPERATING FUND 2013/2014 ACTUAL</v>
      </c>
      <c r="B3" s="11"/>
      <c r="C3" s="12"/>
      <c r="D3" s="11"/>
      <c r="E3" s="11"/>
      <c r="F3" s="11"/>
    </row>
    <row r="4" spans="1:6" ht="15.95" customHeight="1">
      <c r="B4" s="7"/>
      <c r="C4" s="7"/>
      <c r="D4" s="7"/>
      <c r="E4" s="7"/>
      <c r="F4" s="7"/>
    </row>
    <row r="5" spans="1:6" ht="15.95" customHeight="1">
      <c r="B5" s="7"/>
      <c r="C5" s="7"/>
      <c r="D5" s="7"/>
      <c r="E5" s="7"/>
      <c r="F5" s="7"/>
    </row>
    <row r="6" spans="1:6" ht="15.95" customHeight="1">
      <c r="B6" s="13"/>
      <c r="C6" s="14" t="s">
        <v>41</v>
      </c>
      <c r="D6" s="15"/>
      <c r="E6" s="16" t="s">
        <v>41</v>
      </c>
      <c r="F6" s="16" t="s">
        <v>42</v>
      </c>
    </row>
    <row r="7" spans="1:6" ht="15.95" customHeight="1">
      <c r="B7" s="13"/>
      <c r="C7" s="17" t="s">
        <v>121</v>
      </c>
      <c r="D7" s="18"/>
      <c r="E7" s="19" t="s">
        <v>421</v>
      </c>
      <c r="F7" s="500" t="s">
        <v>276</v>
      </c>
    </row>
    <row r="8" spans="1:6" ht="15.95" customHeight="1">
      <c r="A8" s="20"/>
      <c r="B8" s="21" t="s">
        <v>67</v>
      </c>
      <c r="C8" s="17" t="s">
        <v>134</v>
      </c>
      <c r="D8" s="19" t="s">
        <v>475</v>
      </c>
      <c r="E8" s="19" t="s">
        <v>89</v>
      </c>
      <c r="F8" s="19" t="s">
        <v>90</v>
      </c>
    </row>
    <row r="9" spans="1:6" ht="14.25">
      <c r="A9" s="22" t="s">
        <v>93</v>
      </c>
      <c r="B9" s="23" t="s">
        <v>389</v>
      </c>
      <c r="C9" s="23" t="s">
        <v>390</v>
      </c>
      <c r="D9" s="499" t="s">
        <v>474</v>
      </c>
      <c r="E9" s="24" t="s">
        <v>391</v>
      </c>
      <c r="F9" s="24" t="s">
        <v>392</v>
      </c>
    </row>
    <row r="10" spans="1:6" ht="5.0999999999999996" customHeight="1">
      <c r="A10" s="25"/>
    </row>
    <row r="11" spans="1:6" ht="14.1" customHeight="1">
      <c r="A11" s="328" t="s">
        <v>235</v>
      </c>
      <c r="B11" s="329">
        <v>16746005</v>
      </c>
      <c r="C11" s="329">
        <f>-Data!K11</f>
        <v>-84928</v>
      </c>
      <c r="D11" s="329">
        <f>B11+C11</f>
        <v>16661077</v>
      </c>
      <c r="E11" s="329">
        <f>-'- 15 -'!H11-'- 16 -'!B11</f>
        <v>-22633</v>
      </c>
      <c r="F11" s="329">
        <f>D11+E11</f>
        <v>16638444</v>
      </c>
    </row>
    <row r="12" spans="1:6" ht="14.1" customHeight="1">
      <c r="A12" s="26" t="s">
        <v>236</v>
      </c>
      <c r="B12" s="27">
        <v>30109074</v>
      </c>
      <c r="C12" s="27">
        <f>-Data!K12</f>
        <v>-334206</v>
      </c>
      <c r="D12" s="27">
        <f t="shared" ref="D12:D46" si="0">B12+C12</f>
        <v>29774868</v>
      </c>
      <c r="E12" s="27">
        <f>-'- 15 -'!H12-'- 16 -'!B12</f>
        <v>-563903</v>
      </c>
      <c r="F12" s="27">
        <f t="shared" ref="F12:F46" si="1">D12+E12</f>
        <v>29210965</v>
      </c>
    </row>
    <row r="13" spans="1:6" ht="14.1" customHeight="1">
      <c r="A13" s="328" t="s">
        <v>237</v>
      </c>
      <c r="B13" s="329">
        <v>83991448</v>
      </c>
      <c r="C13" s="329">
        <f>-Data!K13</f>
        <v>-122850</v>
      </c>
      <c r="D13" s="329">
        <f t="shared" si="0"/>
        <v>83868598</v>
      </c>
      <c r="E13" s="329">
        <f>-'- 15 -'!H13-'- 16 -'!B13</f>
        <v>-245769</v>
      </c>
      <c r="F13" s="329">
        <f t="shared" si="1"/>
        <v>83622829</v>
      </c>
    </row>
    <row r="14" spans="1:6" ht="14.1" customHeight="1">
      <c r="A14" s="26" t="s">
        <v>636</v>
      </c>
      <c r="B14" s="27">
        <v>73273887</v>
      </c>
      <c r="C14" s="27">
        <f>-Data!K14</f>
        <v>-265344</v>
      </c>
      <c r="D14" s="27">
        <f t="shared" si="0"/>
        <v>73008543</v>
      </c>
      <c r="E14" s="27">
        <f>-'- 15 -'!H14-'- 16 -'!B14</f>
        <v>-1116831</v>
      </c>
      <c r="F14" s="27">
        <f t="shared" si="1"/>
        <v>71891712</v>
      </c>
    </row>
    <row r="15" spans="1:6" ht="14.1" customHeight="1">
      <c r="A15" s="328" t="s">
        <v>238</v>
      </c>
      <c r="B15" s="329">
        <v>19020704</v>
      </c>
      <c r="C15" s="329">
        <f>-Data!K15</f>
        <v>-45750</v>
      </c>
      <c r="D15" s="329">
        <f t="shared" si="0"/>
        <v>18974954</v>
      </c>
      <c r="E15" s="329">
        <f>-'- 15 -'!H15-'- 16 -'!B15</f>
        <v>-60586</v>
      </c>
      <c r="F15" s="329">
        <f t="shared" si="1"/>
        <v>18914368</v>
      </c>
    </row>
    <row r="16" spans="1:6" ht="14.1" customHeight="1">
      <c r="A16" s="26" t="s">
        <v>239</v>
      </c>
      <c r="B16" s="27">
        <v>13042887</v>
      </c>
      <c r="C16" s="27">
        <f>-Data!K16</f>
        <v>-8159</v>
      </c>
      <c r="D16" s="27">
        <f t="shared" si="0"/>
        <v>13034728</v>
      </c>
      <c r="E16" s="27">
        <f>-'- 15 -'!H16-'- 16 -'!B16</f>
        <v>-109238</v>
      </c>
      <c r="F16" s="27">
        <f t="shared" si="1"/>
        <v>12925490</v>
      </c>
    </row>
    <row r="17" spans="1:6" ht="14.1" customHeight="1">
      <c r="A17" s="328" t="s">
        <v>240</v>
      </c>
      <c r="B17" s="329">
        <v>16571968</v>
      </c>
      <c r="C17" s="329">
        <f>-Data!K17</f>
        <v>-167303</v>
      </c>
      <c r="D17" s="329">
        <f t="shared" si="0"/>
        <v>16404665</v>
      </c>
      <c r="E17" s="329">
        <f>-'- 15 -'!H17-'- 16 -'!B17</f>
        <v>-311299</v>
      </c>
      <c r="F17" s="329">
        <f t="shared" si="1"/>
        <v>16093366</v>
      </c>
    </row>
    <row r="18" spans="1:6" ht="14.1" customHeight="1">
      <c r="A18" s="26" t="s">
        <v>241</v>
      </c>
      <c r="B18" s="27">
        <v>123442118</v>
      </c>
      <c r="C18" s="27">
        <f>-Data!K18</f>
        <v>-4628528</v>
      </c>
      <c r="D18" s="27">
        <f t="shared" si="0"/>
        <v>118813590</v>
      </c>
      <c r="E18" s="27">
        <f>-'- 15 -'!H18-'- 16 -'!B18</f>
        <v>-4503351</v>
      </c>
      <c r="F18" s="27">
        <f t="shared" si="1"/>
        <v>114310239</v>
      </c>
    </row>
    <row r="19" spans="1:6" ht="14.1" customHeight="1">
      <c r="A19" s="328" t="s">
        <v>242</v>
      </c>
      <c r="B19" s="329">
        <v>43695507</v>
      </c>
      <c r="C19" s="329">
        <f>-Data!K19</f>
        <v>-394715</v>
      </c>
      <c r="D19" s="329">
        <f t="shared" si="0"/>
        <v>43300792</v>
      </c>
      <c r="E19" s="329">
        <f>-'- 15 -'!H19-'- 16 -'!B19</f>
        <v>-64003</v>
      </c>
      <c r="F19" s="329">
        <f t="shared" si="1"/>
        <v>43236789</v>
      </c>
    </row>
    <row r="20" spans="1:6" ht="14.1" customHeight="1">
      <c r="A20" s="26" t="s">
        <v>243</v>
      </c>
      <c r="B20" s="27">
        <v>71678130</v>
      </c>
      <c r="C20" s="27">
        <f>-Data!K20</f>
        <v>-1026218</v>
      </c>
      <c r="D20" s="27">
        <f t="shared" si="0"/>
        <v>70651912</v>
      </c>
      <c r="E20" s="27">
        <f>-'- 15 -'!H20-'- 16 -'!B20</f>
        <v>-164509</v>
      </c>
      <c r="F20" s="27">
        <f t="shared" si="1"/>
        <v>70487403</v>
      </c>
    </row>
    <row r="21" spans="1:6" ht="14.1" customHeight="1">
      <c r="A21" s="328" t="s">
        <v>244</v>
      </c>
      <c r="B21" s="329">
        <v>34967316</v>
      </c>
      <c r="C21" s="329">
        <f>-Data!K21</f>
        <v>-324206</v>
      </c>
      <c r="D21" s="329">
        <f t="shared" si="0"/>
        <v>34643110</v>
      </c>
      <c r="E21" s="329">
        <f>-'- 15 -'!H21-'- 16 -'!B21</f>
        <v>-257328</v>
      </c>
      <c r="F21" s="329">
        <f t="shared" si="1"/>
        <v>34385782</v>
      </c>
    </row>
    <row r="22" spans="1:6" ht="14.1" customHeight="1">
      <c r="A22" s="26" t="s">
        <v>245</v>
      </c>
      <c r="B22" s="27">
        <v>19289239</v>
      </c>
      <c r="C22" s="27">
        <f>-Data!K22</f>
        <v>-19477</v>
      </c>
      <c r="D22" s="27">
        <f t="shared" si="0"/>
        <v>19269762</v>
      </c>
      <c r="E22" s="27">
        <f>-'- 15 -'!H22-'- 16 -'!B22</f>
        <v>-648869</v>
      </c>
      <c r="F22" s="27">
        <f t="shared" si="1"/>
        <v>18620893</v>
      </c>
    </row>
    <row r="23" spans="1:6" ht="14.1" customHeight="1">
      <c r="A23" s="328" t="s">
        <v>246</v>
      </c>
      <c r="B23" s="329">
        <v>16281174</v>
      </c>
      <c r="C23" s="329">
        <f>-Data!K23</f>
        <v>-49509</v>
      </c>
      <c r="D23" s="329">
        <f t="shared" si="0"/>
        <v>16231665</v>
      </c>
      <c r="E23" s="329">
        <f>-'- 15 -'!H23-'- 16 -'!B23</f>
        <v>-555745</v>
      </c>
      <c r="F23" s="329">
        <f t="shared" si="1"/>
        <v>15675920</v>
      </c>
    </row>
    <row r="24" spans="1:6" ht="14.1" customHeight="1">
      <c r="A24" s="26" t="s">
        <v>247</v>
      </c>
      <c r="B24" s="27">
        <v>52471411</v>
      </c>
      <c r="C24" s="27">
        <f>-Data!K24</f>
        <v>-240235</v>
      </c>
      <c r="D24" s="27">
        <f t="shared" si="0"/>
        <v>52231176</v>
      </c>
      <c r="E24" s="27">
        <f>-'- 15 -'!H24-'- 16 -'!B24</f>
        <v>-715697</v>
      </c>
      <c r="F24" s="27">
        <f t="shared" si="1"/>
        <v>51515479</v>
      </c>
    </row>
    <row r="25" spans="1:6" ht="14.1" customHeight="1">
      <c r="A25" s="328" t="s">
        <v>248</v>
      </c>
      <c r="B25" s="329">
        <v>155403286</v>
      </c>
      <c r="C25" s="329">
        <f>-Data!K25</f>
        <v>-1297185</v>
      </c>
      <c r="D25" s="329">
        <f t="shared" si="0"/>
        <v>154106101</v>
      </c>
      <c r="E25" s="329">
        <f>-'- 15 -'!H25-'- 16 -'!B25</f>
        <v>-1158227</v>
      </c>
      <c r="F25" s="329">
        <f t="shared" si="1"/>
        <v>152947874</v>
      </c>
    </row>
    <row r="26" spans="1:6" ht="14.1" customHeight="1">
      <c r="A26" s="26" t="s">
        <v>249</v>
      </c>
      <c r="B26" s="27">
        <v>37605259</v>
      </c>
      <c r="C26" s="27">
        <f>-Data!K26</f>
        <v>-5384</v>
      </c>
      <c r="D26" s="27">
        <f t="shared" si="0"/>
        <v>37599875</v>
      </c>
      <c r="E26" s="27">
        <f>-'- 15 -'!H26-'- 16 -'!B26</f>
        <v>-95495</v>
      </c>
      <c r="F26" s="27">
        <f t="shared" si="1"/>
        <v>37504380</v>
      </c>
    </row>
    <row r="27" spans="1:6" ht="14.1" customHeight="1">
      <c r="A27" s="328" t="s">
        <v>250</v>
      </c>
      <c r="B27" s="329">
        <v>36795785</v>
      </c>
      <c r="C27" s="329">
        <f>-Data!K27</f>
        <v>-1300</v>
      </c>
      <c r="D27" s="329">
        <f t="shared" si="0"/>
        <v>36794485</v>
      </c>
      <c r="E27" s="329">
        <f>-'- 15 -'!H27-'- 16 -'!B27</f>
        <v>-29100</v>
      </c>
      <c r="F27" s="329">
        <f t="shared" si="1"/>
        <v>36765385</v>
      </c>
    </row>
    <row r="28" spans="1:6" ht="14.1" customHeight="1">
      <c r="A28" s="26" t="s">
        <v>251</v>
      </c>
      <c r="B28" s="27">
        <v>27118351</v>
      </c>
      <c r="C28" s="27">
        <f>-Data!K28</f>
        <v>-125496</v>
      </c>
      <c r="D28" s="27">
        <f t="shared" si="0"/>
        <v>26992855</v>
      </c>
      <c r="E28" s="27">
        <f>-'- 15 -'!H28-'- 16 -'!B28</f>
        <v>-237661</v>
      </c>
      <c r="F28" s="27">
        <f t="shared" si="1"/>
        <v>26755194</v>
      </c>
    </row>
    <row r="29" spans="1:6" ht="14.1" customHeight="1">
      <c r="A29" s="328" t="s">
        <v>252</v>
      </c>
      <c r="B29" s="329">
        <v>142793051</v>
      </c>
      <c r="C29" s="329">
        <f>-Data!K29</f>
        <v>-2015768</v>
      </c>
      <c r="D29" s="329">
        <f t="shared" si="0"/>
        <v>140777283</v>
      </c>
      <c r="E29" s="329">
        <f>-'- 15 -'!H29-'- 16 -'!B29</f>
        <v>-1047738</v>
      </c>
      <c r="F29" s="329">
        <f t="shared" si="1"/>
        <v>139729545</v>
      </c>
    </row>
    <row r="30" spans="1:6" ht="14.1" customHeight="1">
      <c r="A30" s="26" t="s">
        <v>253</v>
      </c>
      <c r="B30" s="27">
        <v>13487922</v>
      </c>
      <c r="C30" s="27">
        <f>-Data!K30</f>
        <v>-35103</v>
      </c>
      <c r="D30" s="27">
        <f t="shared" si="0"/>
        <v>13452819</v>
      </c>
      <c r="E30" s="27">
        <f>-'- 15 -'!H30-'- 16 -'!B30</f>
        <v>-12341</v>
      </c>
      <c r="F30" s="27">
        <f t="shared" si="1"/>
        <v>13440478</v>
      </c>
    </row>
    <row r="31" spans="1:6" ht="14.1" customHeight="1">
      <c r="A31" s="328" t="s">
        <v>254</v>
      </c>
      <c r="B31" s="329">
        <v>33753036</v>
      </c>
      <c r="C31" s="329">
        <f>-Data!K31</f>
        <v>-42900</v>
      </c>
      <c r="D31" s="329">
        <f t="shared" si="0"/>
        <v>33710136</v>
      </c>
      <c r="E31" s="329">
        <f>-'- 15 -'!H31-'- 16 -'!B31</f>
        <v>-48936</v>
      </c>
      <c r="F31" s="329">
        <f t="shared" si="1"/>
        <v>33661200</v>
      </c>
    </row>
    <row r="32" spans="1:6" ht="14.1" customHeight="1">
      <c r="A32" s="26" t="s">
        <v>255</v>
      </c>
      <c r="B32" s="27">
        <v>26258725</v>
      </c>
      <c r="C32" s="27">
        <f>-Data!K32</f>
        <v>-231351</v>
      </c>
      <c r="D32" s="27">
        <f t="shared" si="0"/>
        <v>26027374</v>
      </c>
      <c r="E32" s="27">
        <f>-'- 15 -'!H32-'- 16 -'!B32</f>
        <v>-288415</v>
      </c>
      <c r="F32" s="27">
        <f t="shared" si="1"/>
        <v>25738959</v>
      </c>
    </row>
    <row r="33" spans="1:7" ht="14.1" customHeight="1">
      <c r="A33" s="328" t="s">
        <v>256</v>
      </c>
      <c r="B33" s="329">
        <v>26286278</v>
      </c>
      <c r="C33" s="329">
        <f>-Data!K33</f>
        <v>-105659</v>
      </c>
      <c r="D33" s="329">
        <f t="shared" si="0"/>
        <v>26180619</v>
      </c>
      <c r="E33" s="329">
        <f>-'- 15 -'!H33-'- 16 -'!B33</f>
        <v>-31800</v>
      </c>
      <c r="F33" s="329">
        <f t="shared" si="1"/>
        <v>26148819</v>
      </c>
    </row>
    <row r="34" spans="1:7" ht="14.1" customHeight="1">
      <c r="A34" s="26" t="s">
        <v>257</v>
      </c>
      <c r="B34" s="27">
        <v>25636631</v>
      </c>
      <c r="C34" s="27">
        <f>-Data!K34</f>
        <v>-411742</v>
      </c>
      <c r="D34" s="27">
        <f t="shared" si="0"/>
        <v>25224889</v>
      </c>
      <c r="E34" s="27">
        <f>-'- 15 -'!H34-'- 16 -'!B34</f>
        <v>-36807</v>
      </c>
      <c r="F34" s="27">
        <f t="shared" si="1"/>
        <v>25188082</v>
      </c>
    </row>
    <row r="35" spans="1:7" ht="14.1" customHeight="1">
      <c r="A35" s="328" t="s">
        <v>258</v>
      </c>
      <c r="B35" s="329">
        <v>171907549</v>
      </c>
      <c r="C35" s="329">
        <f>-Data!K35</f>
        <v>-593108</v>
      </c>
      <c r="D35" s="329">
        <f t="shared" si="0"/>
        <v>171314441</v>
      </c>
      <c r="E35" s="329">
        <f>-'- 15 -'!H35-'- 16 -'!B35</f>
        <v>-2367325</v>
      </c>
      <c r="F35" s="329">
        <f t="shared" si="1"/>
        <v>168947116</v>
      </c>
    </row>
    <row r="36" spans="1:7" ht="14.1" customHeight="1">
      <c r="A36" s="26" t="s">
        <v>259</v>
      </c>
      <c r="B36" s="27">
        <v>21631340</v>
      </c>
      <c r="C36" s="27">
        <f>-Data!K36</f>
        <v>-238338</v>
      </c>
      <c r="D36" s="27">
        <f t="shared" si="0"/>
        <v>21393002</v>
      </c>
      <c r="E36" s="27">
        <f>-'- 15 -'!H36-'- 16 -'!B36</f>
        <v>-147156</v>
      </c>
      <c r="F36" s="27">
        <f t="shared" si="1"/>
        <v>21245846</v>
      </c>
    </row>
    <row r="37" spans="1:7" ht="14.1" customHeight="1">
      <c r="A37" s="328" t="s">
        <v>260</v>
      </c>
      <c r="B37" s="329">
        <v>43023615</v>
      </c>
      <c r="C37" s="329">
        <f>-Data!K37</f>
        <v>-656606</v>
      </c>
      <c r="D37" s="329">
        <f t="shared" si="0"/>
        <v>42367009</v>
      </c>
      <c r="E37" s="329">
        <f>-'- 15 -'!H37-'- 16 -'!B37</f>
        <v>-472507</v>
      </c>
      <c r="F37" s="329">
        <f t="shared" si="1"/>
        <v>41894502</v>
      </c>
    </row>
    <row r="38" spans="1:7" ht="14.1" customHeight="1">
      <c r="A38" s="26" t="s">
        <v>261</v>
      </c>
      <c r="B38" s="27">
        <v>116292071</v>
      </c>
      <c r="C38" s="27">
        <f>-Data!K38</f>
        <v>-1260897</v>
      </c>
      <c r="D38" s="27">
        <f t="shared" si="0"/>
        <v>115031174</v>
      </c>
      <c r="E38" s="27">
        <f>-'- 15 -'!H38-'- 16 -'!B38</f>
        <v>-2263955</v>
      </c>
      <c r="F38" s="27">
        <f t="shared" si="1"/>
        <v>112767219</v>
      </c>
    </row>
    <row r="39" spans="1:7" ht="14.1" customHeight="1">
      <c r="A39" s="328" t="s">
        <v>262</v>
      </c>
      <c r="B39" s="329">
        <v>20394689</v>
      </c>
      <c r="C39" s="329">
        <f>-Data!K39</f>
        <v>-149202</v>
      </c>
      <c r="D39" s="329">
        <f t="shared" si="0"/>
        <v>20245487</v>
      </c>
      <c r="E39" s="329">
        <f>-'- 15 -'!H39-'- 16 -'!B39</f>
        <v>-59767</v>
      </c>
      <c r="F39" s="329">
        <f t="shared" si="1"/>
        <v>20185720</v>
      </c>
    </row>
    <row r="40" spans="1:7" ht="14.1" customHeight="1">
      <c r="A40" s="26" t="s">
        <v>263</v>
      </c>
      <c r="B40" s="27">
        <v>95618172</v>
      </c>
      <c r="C40" s="27">
        <f>-Data!K40</f>
        <v>-465492</v>
      </c>
      <c r="D40" s="27">
        <f t="shared" si="0"/>
        <v>95152680</v>
      </c>
      <c r="E40" s="27">
        <f>-'- 15 -'!H40-'- 16 -'!B40</f>
        <v>-1094118</v>
      </c>
      <c r="F40" s="27">
        <f t="shared" si="1"/>
        <v>94058562</v>
      </c>
    </row>
    <row r="41" spans="1:7" ht="14.1" customHeight="1">
      <c r="A41" s="328" t="s">
        <v>264</v>
      </c>
      <c r="B41" s="329">
        <v>59361579</v>
      </c>
      <c r="C41" s="329">
        <f>-Data!K41</f>
        <v>-754875</v>
      </c>
      <c r="D41" s="329">
        <f t="shared" si="0"/>
        <v>58606704</v>
      </c>
      <c r="E41" s="329">
        <f>-'- 15 -'!H41-'- 16 -'!B41</f>
        <v>-1259418</v>
      </c>
      <c r="F41" s="329">
        <f t="shared" si="1"/>
        <v>57347286</v>
      </c>
    </row>
    <row r="42" spans="1:7" ht="14.1" customHeight="1">
      <c r="A42" s="26" t="s">
        <v>265</v>
      </c>
      <c r="B42" s="27">
        <v>20148323</v>
      </c>
      <c r="C42" s="27">
        <f>-Data!K42</f>
        <v>-1300</v>
      </c>
      <c r="D42" s="27">
        <f t="shared" si="0"/>
        <v>20147023</v>
      </c>
      <c r="E42" s="27">
        <f>-'- 15 -'!H42-'- 16 -'!B42</f>
        <v>-205577</v>
      </c>
      <c r="F42" s="27">
        <f t="shared" si="1"/>
        <v>19941446</v>
      </c>
    </row>
    <row r="43" spans="1:7" ht="14.1" customHeight="1">
      <c r="A43" s="328" t="s">
        <v>266</v>
      </c>
      <c r="B43" s="329">
        <v>12360152</v>
      </c>
      <c r="C43" s="329">
        <f>-Data!K43</f>
        <v>-22100</v>
      </c>
      <c r="D43" s="329">
        <f t="shared" si="0"/>
        <v>12338052</v>
      </c>
      <c r="E43" s="329">
        <f>-'- 15 -'!H43-'- 16 -'!B43</f>
        <v>-224154</v>
      </c>
      <c r="F43" s="329">
        <f t="shared" si="1"/>
        <v>12113898</v>
      </c>
    </row>
    <row r="44" spans="1:7" ht="14.1" customHeight="1">
      <c r="A44" s="26" t="s">
        <v>267</v>
      </c>
      <c r="B44" s="27">
        <v>10470890</v>
      </c>
      <c r="C44" s="27">
        <f>-Data!K44</f>
        <v>-186126</v>
      </c>
      <c r="D44" s="27">
        <f t="shared" si="0"/>
        <v>10284764</v>
      </c>
      <c r="E44" s="27">
        <f>-'- 15 -'!H44-'- 16 -'!B44</f>
        <v>-10868</v>
      </c>
      <c r="F44" s="27">
        <f t="shared" si="1"/>
        <v>10273896</v>
      </c>
    </row>
    <row r="45" spans="1:7" ht="14.1" customHeight="1">
      <c r="A45" s="328" t="s">
        <v>268</v>
      </c>
      <c r="B45" s="329">
        <v>17131425</v>
      </c>
      <c r="C45" s="329">
        <f>-Data!K45</f>
        <v>-249536</v>
      </c>
      <c r="D45" s="329">
        <f t="shared" si="0"/>
        <v>16881889</v>
      </c>
      <c r="E45" s="329">
        <f>-'- 15 -'!H45-'- 16 -'!B45</f>
        <v>-401315</v>
      </c>
      <c r="F45" s="329">
        <f t="shared" si="1"/>
        <v>16480574</v>
      </c>
    </row>
    <row r="46" spans="1:7" ht="14.1" customHeight="1">
      <c r="A46" s="26" t="s">
        <v>269</v>
      </c>
      <c r="B46" s="27">
        <v>358343492</v>
      </c>
      <c r="C46" s="27">
        <f>-Data!K46</f>
        <v>-2293608</v>
      </c>
      <c r="D46" s="27">
        <f t="shared" si="0"/>
        <v>356049884</v>
      </c>
      <c r="E46" s="27">
        <f>-'- 15 -'!H46-'- 16 -'!B46</f>
        <v>-9148794</v>
      </c>
      <c r="F46" s="27">
        <f t="shared" si="1"/>
        <v>346901090</v>
      </c>
    </row>
    <row r="47" spans="1:7" ht="5.0999999999999996" customHeight="1">
      <c r="A47"/>
      <c r="B47"/>
      <c r="C47"/>
      <c r="D47"/>
      <c r="E47"/>
      <c r="F47"/>
      <c r="G47"/>
    </row>
    <row r="48" spans="1:7" ht="14.1" customHeight="1">
      <c r="A48" s="330" t="s">
        <v>270</v>
      </c>
      <c r="B48" s="331">
        <f>SUM(B11:B46)</f>
        <v>2086402489</v>
      </c>
      <c r="C48" s="331">
        <f>SUM(C11:C46)</f>
        <v>-18854504</v>
      </c>
      <c r="D48" s="331">
        <f>SUM(D11:D46)</f>
        <v>2067547985</v>
      </c>
      <c r="E48" s="331">
        <f>SUM(E11:E46)</f>
        <v>-29981235</v>
      </c>
      <c r="F48" s="331">
        <f>SUM(F11:F46)</f>
        <v>2037566750</v>
      </c>
    </row>
    <row r="49" spans="1:6" ht="5.0999999999999996" customHeight="1">
      <c r="A49" s="28" t="s">
        <v>16</v>
      </c>
      <c r="B49" s="29"/>
      <c r="C49" s="29"/>
      <c r="D49" s="29"/>
      <c r="E49" s="29"/>
      <c r="F49" s="29"/>
    </row>
    <row r="50" spans="1:6" ht="14.1" customHeight="1">
      <c r="A50" s="26" t="s">
        <v>271</v>
      </c>
      <c r="B50" s="27">
        <v>3189342</v>
      </c>
      <c r="C50" s="27">
        <f>-Data!K50</f>
        <v>-5500</v>
      </c>
      <c r="D50" s="27">
        <f>B50+C50</f>
        <v>3183842</v>
      </c>
      <c r="E50" s="27">
        <f>-'- 15 -'!H50-'- 16 -'!B50</f>
        <v>-7500</v>
      </c>
      <c r="F50" s="27">
        <f>D50+E50</f>
        <v>3176342</v>
      </c>
    </row>
    <row r="51" spans="1:6" ht="14.1" customHeight="1">
      <c r="A51" s="328" t="s">
        <v>272</v>
      </c>
      <c r="B51" s="329">
        <v>20143434</v>
      </c>
      <c r="C51" s="329">
        <f>-Data!K51</f>
        <v>-454290</v>
      </c>
      <c r="D51" s="329">
        <f>B51+C51</f>
        <v>19689144</v>
      </c>
      <c r="E51" s="329">
        <f>-'- 15 -'!H51-'- 16 -'!B51</f>
        <v>-9852764</v>
      </c>
      <c r="F51" s="329">
        <f>D51+E51</f>
        <v>9836380</v>
      </c>
    </row>
    <row r="52" spans="1:6" ht="50.1" customHeight="1">
      <c r="A52" s="30"/>
      <c r="B52" s="30"/>
      <c r="C52" s="30"/>
      <c r="D52" s="30"/>
      <c r="E52" s="30"/>
      <c r="F52" s="30"/>
    </row>
    <row r="53" spans="1:6" ht="14.45" customHeight="1">
      <c r="A53" s="1" t="s">
        <v>605</v>
      </c>
    </row>
    <row r="54" spans="1:6" ht="12" customHeight="1">
      <c r="A54" s="639" t="s">
        <v>709</v>
      </c>
    </row>
    <row r="55" spans="1:6" ht="12" customHeight="1">
      <c r="A55" s="1" t="s">
        <v>594</v>
      </c>
    </row>
    <row r="56" spans="1:6" ht="12" customHeight="1">
      <c r="A56" s="1" t="s">
        <v>606</v>
      </c>
    </row>
    <row r="57" spans="1:6" ht="12" customHeight="1">
      <c r="A57" s="1" t="s">
        <v>607</v>
      </c>
    </row>
    <row r="58" spans="1:6" ht="12" customHeight="1">
      <c r="A58" s="1" t="s">
        <v>608</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sheetPr codeName="Sheet171">
    <pageSetUpPr fitToPage="1"/>
  </sheetPr>
  <dimension ref="A1:F52"/>
  <sheetViews>
    <sheetView showGridLines="0" showZeros="0" workbookViewId="0"/>
  </sheetViews>
  <sheetFormatPr defaultColWidth="15.83203125" defaultRowHeight="12"/>
  <cols>
    <col min="1" max="1" width="32.83203125" style="1" customWidth="1"/>
    <col min="2" max="2" width="23.83203125" style="1" customWidth="1"/>
    <col min="3" max="3" width="12.83203125" style="1" customWidth="1"/>
    <col min="4" max="4" width="22.83203125" style="1" customWidth="1"/>
    <col min="5" max="5" width="12.83203125" style="1" customWidth="1"/>
    <col min="6" max="6" width="27.83203125" style="1" customWidth="1"/>
    <col min="7" max="16384" width="15.83203125" style="1"/>
  </cols>
  <sheetData>
    <row r="1" spans="1:6" ht="6.95" customHeight="1">
      <c r="A1" s="6"/>
      <c r="B1" s="7"/>
      <c r="C1" s="7"/>
      <c r="D1" s="7"/>
      <c r="E1" s="7"/>
    </row>
    <row r="2" spans="1:6" ht="15.95" customHeight="1">
      <c r="A2" s="152"/>
      <c r="B2" s="8" t="s">
        <v>478</v>
      </c>
      <c r="C2" s="9"/>
      <c r="D2" s="9"/>
      <c r="E2" s="153"/>
      <c r="F2" s="487" t="s">
        <v>448</v>
      </c>
    </row>
    <row r="3" spans="1:6" ht="15.95" customHeight="1">
      <c r="A3" s="697"/>
      <c r="B3" s="10" t="str">
        <f>OPYEAR</f>
        <v>OPERATING FUND 2013/2014 ACTUAL</v>
      </c>
      <c r="C3" s="11"/>
      <c r="D3" s="11"/>
      <c r="E3" s="74"/>
      <c r="F3" s="74"/>
    </row>
    <row r="4" spans="1:6" ht="15.95" customHeight="1">
      <c r="B4" s="7"/>
      <c r="C4" s="7"/>
      <c r="D4" s="7"/>
      <c r="E4" s="7"/>
    </row>
    <row r="5" spans="1:6" ht="15.95" customHeight="1">
      <c r="B5" s="174" t="s">
        <v>318</v>
      </c>
      <c r="C5" s="194"/>
      <c r="D5" s="46"/>
      <c r="E5" s="205"/>
    </row>
    <row r="6" spans="1:6" ht="15.95" customHeight="1">
      <c r="B6" s="355" t="s">
        <v>43</v>
      </c>
      <c r="C6" s="358"/>
      <c r="D6" s="389"/>
      <c r="E6" s="390"/>
    </row>
    <row r="7" spans="1:6" ht="15.95" customHeight="1">
      <c r="B7" s="342" t="s">
        <v>220</v>
      </c>
      <c r="C7" s="343"/>
      <c r="D7" s="342" t="s">
        <v>174</v>
      </c>
      <c r="E7" s="344"/>
    </row>
    <row r="8" spans="1:6" ht="15.95" customHeight="1">
      <c r="A8" s="75"/>
      <c r="B8" s="157"/>
      <c r="C8" s="155"/>
      <c r="D8" s="157"/>
      <c r="E8" s="155"/>
    </row>
    <row r="9" spans="1:6" ht="15.95" customHeight="1">
      <c r="A9" s="42" t="s">
        <v>93</v>
      </c>
      <c r="B9" s="87" t="s">
        <v>94</v>
      </c>
      <c r="C9" s="87" t="s">
        <v>95</v>
      </c>
      <c r="D9" s="87" t="s">
        <v>94</v>
      </c>
      <c r="E9" s="87" t="s">
        <v>95</v>
      </c>
    </row>
    <row r="10" spans="1:6" ht="5.0999999999999996" customHeight="1">
      <c r="A10" s="5"/>
    </row>
    <row r="11" spans="1:6" ht="14.1" customHeight="1">
      <c r="A11" s="328" t="s">
        <v>235</v>
      </c>
      <c r="B11" s="329">
        <v>0</v>
      </c>
      <c r="C11" s="335">
        <f>B11/'- 3 -'!$D11*100</f>
        <v>0</v>
      </c>
      <c r="D11" s="329">
        <v>0</v>
      </c>
      <c r="E11" s="335">
        <f>D11/'- 3 -'!$D11*100</f>
        <v>0</v>
      </c>
    </row>
    <row r="12" spans="1:6" ht="14.1" customHeight="1">
      <c r="A12" s="26" t="s">
        <v>236</v>
      </c>
      <c r="B12" s="27">
        <v>117044</v>
      </c>
      <c r="C12" s="79">
        <f>B12/'- 3 -'!$D12*100</f>
        <v>0.39309662094891573</v>
      </c>
      <c r="D12" s="27">
        <v>398821</v>
      </c>
      <c r="E12" s="79">
        <f>D12/'- 3 -'!$D12*100</f>
        <v>1.3394551404896238</v>
      </c>
    </row>
    <row r="13" spans="1:6" ht="14.1" customHeight="1">
      <c r="A13" s="328" t="s">
        <v>237</v>
      </c>
      <c r="B13" s="329">
        <v>0</v>
      </c>
      <c r="C13" s="335">
        <f>B13/'- 3 -'!$D13*100</f>
        <v>0</v>
      </c>
      <c r="D13" s="329">
        <v>0</v>
      </c>
      <c r="E13" s="335">
        <f>D13/'- 3 -'!$D13*100</f>
        <v>0</v>
      </c>
    </row>
    <row r="14" spans="1:6" ht="14.1" customHeight="1">
      <c r="A14" s="26" t="s">
        <v>636</v>
      </c>
      <c r="B14" s="27">
        <v>68329</v>
      </c>
      <c r="C14" s="79">
        <f>B14/'- 3 -'!$D14*100</f>
        <v>9.3590417220077937E-2</v>
      </c>
      <c r="D14" s="27">
        <v>173183</v>
      </c>
      <c r="E14" s="79">
        <f>D14/'- 3 -'!$D14*100</f>
        <v>0.23720922632300714</v>
      </c>
    </row>
    <row r="15" spans="1:6" ht="14.1" customHeight="1">
      <c r="A15" s="328" t="s">
        <v>238</v>
      </c>
      <c r="B15" s="329">
        <v>0</v>
      </c>
      <c r="C15" s="335">
        <f>B15/'- 3 -'!$D15*100</f>
        <v>0</v>
      </c>
      <c r="D15" s="329">
        <v>0</v>
      </c>
      <c r="E15" s="335">
        <f>D15/'- 3 -'!$D15*100</f>
        <v>0</v>
      </c>
    </row>
    <row r="16" spans="1:6" ht="14.1" customHeight="1">
      <c r="A16" s="26" t="s">
        <v>239</v>
      </c>
      <c r="B16" s="27">
        <v>22530</v>
      </c>
      <c r="C16" s="79">
        <f>B16/'- 3 -'!$D16*100</f>
        <v>0.17284595428458499</v>
      </c>
      <c r="D16" s="27">
        <v>69770</v>
      </c>
      <c r="E16" s="79">
        <f>D16/'- 3 -'!$D16*100</f>
        <v>0.53526241590925416</v>
      </c>
    </row>
    <row r="17" spans="1:5" ht="14.1" customHeight="1">
      <c r="A17" s="328" t="s">
        <v>240</v>
      </c>
      <c r="B17" s="329">
        <v>0</v>
      </c>
      <c r="C17" s="335">
        <f>B17/'- 3 -'!$D17*100</f>
        <v>0</v>
      </c>
      <c r="D17" s="329">
        <v>0</v>
      </c>
      <c r="E17" s="335">
        <f>D17/'- 3 -'!$D17*100</f>
        <v>0</v>
      </c>
    </row>
    <row r="18" spans="1:5" ht="14.1" customHeight="1">
      <c r="A18" s="26" t="s">
        <v>241</v>
      </c>
      <c r="B18" s="27">
        <v>221723</v>
      </c>
      <c r="C18" s="79">
        <f>B18/'- 3 -'!$D18*100</f>
        <v>0.18661417435497069</v>
      </c>
      <c r="D18" s="27">
        <v>1748114</v>
      </c>
      <c r="E18" s="79">
        <f>D18/'- 3 -'!$D18*100</f>
        <v>1.4713081222442652</v>
      </c>
    </row>
    <row r="19" spans="1:5" ht="14.1" customHeight="1">
      <c r="A19" s="328" t="s">
        <v>242</v>
      </c>
      <c r="B19" s="329">
        <v>0</v>
      </c>
      <c r="C19" s="335">
        <f>B19/'- 3 -'!$D19*100</f>
        <v>0</v>
      </c>
      <c r="D19" s="329">
        <v>0</v>
      </c>
      <c r="E19" s="335">
        <f>D19/'- 3 -'!$D19*100</f>
        <v>0</v>
      </c>
    </row>
    <row r="20" spans="1:5" ht="14.1" customHeight="1">
      <c r="A20" s="26" t="s">
        <v>243</v>
      </c>
      <c r="B20" s="27">
        <v>0</v>
      </c>
      <c r="C20" s="79">
        <f>B20/'- 3 -'!$D20*100</f>
        <v>0</v>
      </c>
      <c r="D20" s="27">
        <v>0</v>
      </c>
      <c r="E20" s="79">
        <f>D20/'- 3 -'!$D20*100</f>
        <v>0</v>
      </c>
    </row>
    <row r="21" spans="1:5" ht="14.1" customHeight="1">
      <c r="A21" s="328" t="s">
        <v>244</v>
      </c>
      <c r="B21" s="329">
        <v>0</v>
      </c>
      <c r="C21" s="335">
        <f>B21/'- 3 -'!$D21*100</f>
        <v>0</v>
      </c>
      <c r="D21" s="329">
        <v>0</v>
      </c>
      <c r="E21" s="335">
        <f>D21/'- 3 -'!$D21*100</f>
        <v>0</v>
      </c>
    </row>
    <row r="22" spans="1:5" ht="14.1" customHeight="1">
      <c r="A22" s="26" t="s">
        <v>245</v>
      </c>
      <c r="B22" s="27">
        <v>174877</v>
      </c>
      <c r="C22" s="79">
        <f>B22/'- 3 -'!$D22*100</f>
        <v>0.90752029007934809</v>
      </c>
      <c r="D22" s="27">
        <v>419447</v>
      </c>
      <c r="E22" s="79">
        <f>D22/'- 3 -'!$D22*100</f>
        <v>2.1767108488418279</v>
      </c>
    </row>
    <row r="23" spans="1:5" ht="14.1" customHeight="1">
      <c r="A23" s="328" t="s">
        <v>246</v>
      </c>
      <c r="B23" s="329">
        <v>48424</v>
      </c>
      <c r="C23" s="335">
        <f>B23/'- 3 -'!$D23*100</f>
        <v>0.29833045470073466</v>
      </c>
      <c r="D23" s="329">
        <v>235520</v>
      </c>
      <c r="E23" s="335">
        <f>D23/'- 3 -'!$D23*100</f>
        <v>1.4509910104724315</v>
      </c>
    </row>
    <row r="24" spans="1:5" ht="14.1" customHeight="1">
      <c r="A24" s="26" t="s">
        <v>247</v>
      </c>
      <c r="B24" s="27">
        <v>144138</v>
      </c>
      <c r="C24" s="79">
        <f>B24/'- 3 -'!$D24*100</f>
        <v>0.27596162108239725</v>
      </c>
      <c r="D24" s="27">
        <v>198381</v>
      </c>
      <c r="E24" s="79">
        <f>D24/'- 3 -'!$D24*100</f>
        <v>0.37981338961236483</v>
      </c>
    </row>
    <row r="25" spans="1:5" ht="14.1" customHeight="1">
      <c r="A25" s="328" t="s">
        <v>248</v>
      </c>
      <c r="B25" s="329">
        <v>0</v>
      </c>
      <c r="C25" s="335">
        <f>B25/'- 3 -'!$D25*100</f>
        <v>0</v>
      </c>
      <c r="D25" s="329">
        <v>0</v>
      </c>
      <c r="E25" s="335">
        <f>D25/'- 3 -'!$D25*100</f>
        <v>0</v>
      </c>
    </row>
    <row r="26" spans="1:5" ht="14.1" customHeight="1">
      <c r="A26" s="26" t="s">
        <v>249</v>
      </c>
      <c r="B26" s="27">
        <v>0</v>
      </c>
      <c r="C26" s="79">
        <f>B26/'- 3 -'!$D26*100</f>
        <v>0</v>
      </c>
      <c r="D26" s="27">
        <v>0</v>
      </c>
      <c r="E26" s="79">
        <f>D26/'- 3 -'!$D26*100</f>
        <v>0</v>
      </c>
    </row>
    <row r="27" spans="1:5" ht="14.1" customHeight="1">
      <c r="A27" s="328" t="s">
        <v>250</v>
      </c>
      <c r="B27" s="329">
        <v>0</v>
      </c>
      <c r="C27" s="335">
        <f>B27/'- 3 -'!$D27*100</f>
        <v>0</v>
      </c>
      <c r="D27" s="329">
        <v>0</v>
      </c>
      <c r="E27" s="335">
        <f>D27/'- 3 -'!$D27*100</f>
        <v>0</v>
      </c>
    </row>
    <row r="28" spans="1:5" ht="14.1" customHeight="1">
      <c r="A28" s="26" t="s">
        <v>251</v>
      </c>
      <c r="B28" s="27">
        <v>0</v>
      </c>
      <c r="C28" s="79">
        <f>B28/'- 3 -'!$D28*100</f>
        <v>0</v>
      </c>
      <c r="D28" s="27">
        <v>120942</v>
      </c>
      <c r="E28" s="79">
        <f>D28/'- 3 -'!$D28*100</f>
        <v>0.44805190114198745</v>
      </c>
    </row>
    <row r="29" spans="1:5" ht="14.1" customHeight="1">
      <c r="A29" s="328" t="s">
        <v>252</v>
      </c>
      <c r="B29" s="329">
        <v>0</v>
      </c>
      <c r="C29" s="335">
        <f>B29/'- 3 -'!$D29*100</f>
        <v>0</v>
      </c>
      <c r="D29" s="329">
        <v>0</v>
      </c>
      <c r="E29" s="335">
        <f>D29/'- 3 -'!$D29*100</f>
        <v>0</v>
      </c>
    </row>
    <row r="30" spans="1:5" ht="14.1" customHeight="1">
      <c r="A30" s="26" t="s">
        <v>253</v>
      </c>
      <c r="B30" s="27">
        <v>0</v>
      </c>
      <c r="C30" s="79">
        <f>B30/'- 3 -'!$D30*100</f>
        <v>0</v>
      </c>
      <c r="D30" s="27">
        <v>0</v>
      </c>
      <c r="E30" s="79">
        <f>D30/'- 3 -'!$D30*100</f>
        <v>0</v>
      </c>
    </row>
    <row r="31" spans="1:5" ht="14.1" customHeight="1">
      <c r="A31" s="328" t="s">
        <v>254</v>
      </c>
      <c r="B31" s="329">
        <v>0</v>
      </c>
      <c r="C31" s="335">
        <f>B31/'- 3 -'!$D31*100</f>
        <v>0</v>
      </c>
      <c r="D31" s="329">
        <v>0</v>
      </c>
      <c r="E31" s="335">
        <f>D31/'- 3 -'!$D31*100</f>
        <v>0</v>
      </c>
    </row>
    <row r="32" spans="1:5" ht="14.1" customHeight="1">
      <c r="A32" s="26" t="s">
        <v>255</v>
      </c>
      <c r="B32" s="27">
        <v>71197</v>
      </c>
      <c r="C32" s="79">
        <f>B32/'- 3 -'!$D32*100</f>
        <v>0.27354661288534143</v>
      </c>
      <c r="D32" s="27">
        <v>186913</v>
      </c>
      <c r="E32" s="79">
        <f>D32/'- 3 -'!$D32*100</f>
        <v>0.71814006284306675</v>
      </c>
    </row>
    <row r="33" spans="1:6" ht="14.1" customHeight="1">
      <c r="A33" s="328" t="s">
        <v>256</v>
      </c>
      <c r="B33" s="329">
        <v>0</v>
      </c>
      <c r="C33" s="335">
        <f>B33/'- 3 -'!$D33*100</f>
        <v>0</v>
      </c>
      <c r="D33" s="329">
        <v>0</v>
      </c>
      <c r="E33" s="335">
        <f>D33/'- 3 -'!$D33*100</f>
        <v>0</v>
      </c>
    </row>
    <row r="34" spans="1:6" ht="14.1" customHeight="1">
      <c r="A34" s="26" t="s">
        <v>257</v>
      </c>
      <c r="B34" s="27">
        <v>0</v>
      </c>
      <c r="C34" s="79">
        <f>B34/'- 3 -'!$D34*100</f>
        <v>0</v>
      </c>
      <c r="D34" s="27">
        <v>0</v>
      </c>
      <c r="E34" s="79">
        <f>D34/'- 3 -'!$D34*100</f>
        <v>0</v>
      </c>
    </row>
    <row r="35" spans="1:6" ht="14.1" customHeight="1">
      <c r="A35" s="328" t="s">
        <v>258</v>
      </c>
      <c r="B35" s="329">
        <v>249249</v>
      </c>
      <c r="C35" s="335">
        <f>B35/'- 3 -'!$D35*100</f>
        <v>0.14549211295036127</v>
      </c>
      <c r="D35" s="329">
        <v>731374</v>
      </c>
      <c r="E35" s="335">
        <f>D35/'- 3 -'!$D35*100</f>
        <v>0.4269190593220335</v>
      </c>
    </row>
    <row r="36" spans="1:6" ht="14.1" customHeight="1">
      <c r="A36" s="26" t="s">
        <v>259</v>
      </c>
      <c r="B36" s="27">
        <v>31029</v>
      </c>
      <c r="C36" s="79">
        <f>B36/'- 3 -'!$D36*100</f>
        <v>0.14504275744002643</v>
      </c>
      <c r="D36" s="27">
        <v>84195</v>
      </c>
      <c r="E36" s="79">
        <f>D36/'- 3 -'!$D36*100</f>
        <v>0.39356327830942101</v>
      </c>
    </row>
    <row r="37" spans="1:6" ht="14.1" customHeight="1">
      <c r="A37" s="328" t="s">
        <v>260</v>
      </c>
      <c r="B37" s="329">
        <v>98358</v>
      </c>
      <c r="C37" s="335">
        <f>B37/'- 3 -'!$D37*100</f>
        <v>0.23215705408894927</v>
      </c>
      <c r="D37" s="329">
        <v>194778</v>
      </c>
      <c r="E37" s="335">
        <f>D37/'- 3 -'!$D37*100</f>
        <v>0.45973979423470751</v>
      </c>
    </row>
    <row r="38" spans="1:6" ht="14.1" customHeight="1">
      <c r="A38" s="26" t="s">
        <v>261</v>
      </c>
      <c r="B38" s="27">
        <v>268645</v>
      </c>
      <c r="C38" s="79">
        <f>B38/'- 3 -'!$D38*100</f>
        <v>0.23354103992714184</v>
      </c>
      <c r="D38" s="27">
        <v>552073</v>
      </c>
      <c r="E38" s="79">
        <f>D38/'- 3 -'!$D38*100</f>
        <v>0.47993337875522335</v>
      </c>
    </row>
    <row r="39" spans="1:6" ht="14.1" customHeight="1">
      <c r="A39" s="328" t="s">
        <v>262</v>
      </c>
      <c r="B39" s="329">
        <v>0</v>
      </c>
      <c r="C39" s="335">
        <f>B39/'- 3 -'!$D39*100</f>
        <v>0</v>
      </c>
      <c r="D39" s="329">
        <v>0</v>
      </c>
      <c r="E39" s="335">
        <f>D39/'- 3 -'!$D39*100</f>
        <v>0</v>
      </c>
    </row>
    <row r="40" spans="1:6" ht="14.1" customHeight="1">
      <c r="A40" s="26" t="s">
        <v>263</v>
      </c>
      <c r="B40" s="27">
        <v>0</v>
      </c>
      <c r="C40" s="79">
        <f>B40/'- 3 -'!$D40*100</f>
        <v>0</v>
      </c>
      <c r="D40" s="27">
        <v>0</v>
      </c>
      <c r="E40" s="79">
        <f>D40/'- 3 -'!$D40*100</f>
        <v>0</v>
      </c>
    </row>
    <row r="41" spans="1:6" ht="14.1" customHeight="1">
      <c r="A41" s="328" t="s">
        <v>264</v>
      </c>
      <c r="B41" s="329">
        <v>370826</v>
      </c>
      <c r="C41" s="335">
        <f>B41/'- 3 -'!$D41*100</f>
        <v>0.63273648693842266</v>
      </c>
      <c r="D41" s="329">
        <v>572947</v>
      </c>
      <c r="E41" s="335">
        <f>D41/'- 3 -'!$D41*100</f>
        <v>0.97761341432884541</v>
      </c>
    </row>
    <row r="42" spans="1:6" ht="14.1" customHeight="1">
      <c r="A42" s="26" t="s">
        <v>265</v>
      </c>
      <c r="B42" s="27">
        <v>0</v>
      </c>
      <c r="C42" s="79">
        <f>B42/'- 3 -'!$D42*100</f>
        <v>0</v>
      </c>
      <c r="D42" s="27">
        <v>0</v>
      </c>
      <c r="E42" s="79">
        <f>D42/'- 3 -'!$D42*100</f>
        <v>0</v>
      </c>
    </row>
    <row r="43" spans="1:6" ht="14.1" customHeight="1">
      <c r="A43" s="328" t="s">
        <v>266</v>
      </c>
      <c r="B43" s="329">
        <v>0</v>
      </c>
      <c r="C43" s="335">
        <f>B43/'- 3 -'!$D43*100</f>
        <v>0</v>
      </c>
      <c r="D43" s="329">
        <v>208707</v>
      </c>
      <c r="E43" s="335">
        <f>D43/'- 3 -'!$D43*100</f>
        <v>1.6915717327176121</v>
      </c>
    </row>
    <row r="44" spans="1:6" ht="14.1" customHeight="1">
      <c r="A44" s="26" t="s">
        <v>267</v>
      </c>
      <c r="B44" s="27">
        <v>0</v>
      </c>
      <c r="C44" s="79">
        <f>B44/'- 3 -'!$D44*100</f>
        <v>0</v>
      </c>
      <c r="D44" s="27">
        <v>0</v>
      </c>
      <c r="E44" s="79">
        <f>D44/'- 3 -'!$D44*100</f>
        <v>0</v>
      </c>
    </row>
    <row r="45" spans="1:6" ht="14.1" customHeight="1">
      <c r="A45" s="328" t="s">
        <v>268</v>
      </c>
      <c r="B45" s="329">
        <v>148000</v>
      </c>
      <c r="C45" s="335">
        <f>B45/'- 3 -'!$D45*100</f>
        <v>0.87667914414080084</v>
      </c>
      <c r="D45" s="329">
        <v>213890</v>
      </c>
      <c r="E45" s="335">
        <f>D45/'- 3 -'!$D45*100</f>
        <v>1.2669790685153777</v>
      </c>
    </row>
    <row r="46" spans="1:6" ht="14.1" customHeight="1">
      <c r="A46" s="26" t="s">
        <v>269</v>
      </c>
      <c r="B46" s="27">
        <v>119000</v>
      </c>
      <c r="C46" s="79">
        <f>B46/'- 3 -'!$D46*100</f>
        <v>3.342228304166503E-2</v>
      </c>
      <c r="D46" s="27">
        <v>631992</v>
      </c>
      <c r="E46" s="79">
        <f>D46/'- 3 -'!$D46*100</f>
        <v>0.17750097062241987</v>
      </c>
    </row>
    <row r="47" spans="1:6" ht="5.0999999999999996" customHeight="1">
      <c r="A47"/>
      <c r="B47"/>
      <c r="C47"/>
      <c r="D47"/>
      <c r="E47"/>
      <c r="F47"/>
    </row>
    <row r="48" spans="1:6" ht="14.1" customHeight="1">
      <c r="A48" s="330" t="s">
        <v>270</v>
      </c>
      <c r="B48" s="331">
        <f>SUM(B11:B46)</f>
        <v>2153369</v>
      </c>
      <c r="C48" s="338">
        <f>B48/'- 3 -'!$D48*100</f>
        <v>0.10415085964740015</v>
      </c>
      <c r="D48" s="331">
        <f>SUM(D11:D46)</f>
        <v>6741047</v>
      </c>
      <c r="E48" s="338">
        <f>D48/'- 3 -'!$D48*100</f>
        <v>0.32604065535146454</v>
      </c>
    </row>
    <row r="49" spans="1:5" ht="5.0999999999999996" customHeight="1">
      <c r="A49" s="28" t="s">
        <v>16</v>
      </c>
      <c r="B49"/>
      <c r="C49"/>
      <c r="D49"/>
      <c r="E49"/>
    </row>
    <row r="50" spans="1:5" ht="14.1" customHeight="1">
      <c r="A50" s="26" t="s">
        <v>271</v>
      </c>
      <c r="B50" s="27">
        <v>0</v>
      </c>
      <c r="C50" s="79">
        <f>B50/'- 3 -'!$D50*100</f>
        <v>0</v>
      </c>
      <c r="D50" s="27">
        <v>0</v>
      </c>
      <c r="E50" s="79">
        <f>D50/'- 3 -'!$D50*100</f>
        <v>0</v>
      </c>
    </row>
    <row r="51" spans="1:5" ht="14.1" customHeight="1">
      <c r="A51" s="328" t="s">
        <v>272</v>
      </c>
      <c r="B51" s="329">
        <v>1034678</v>
      </c>
      <c r="C51" s="335">
        <f>B51/'- 3 -'!$D51*100</f>
        <v>5.2550684783452244</v>
      </c>
      <c r="D51" s="329">
        <v>1776134</v>
      </c>
      <c r="E51" s="335">
        <f>D51/'- 3 -'!$D51*100</f>
        <v>9.0208797294590362</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sheetPr codeName="Sheet20">
    <pageSetUpPr fitToPage="1"/>
  </sheetPr>
  <dimension ref="A1:J52"/>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14.83203125" style="1" customWidth="1"/>
    <col min="5" max="5" width="10.5" style="1" customWidth="1"/>
    <col min="6" max="6" width="18.83203125" style="1" customWidth="1"/>
    <col min="7" max="7" width="8.83203125" style="1" customWidth="1"/>
    <col min="8" max="8" width="16.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52"/>
      <c r="B2" s="8" t="s">
        <v>478</v>
      </c>
      <c r="C2" s="9"/>
      <c r="D2" s="9"/>
      <c r="E2" s="9"/>
      <c r="F2" s="9"/>
      <c r="G2" s="82"/>
      <c r="H2" s="82"/>
      <c r="I2" s="487" t="s">
        <v>447</v>
      </c>
    </row>
    <row r="3" spans="1:9" ht="15.95" customHeight="1">
      <c r="A3" s="697"/>
      <c r="B3" s="10" t="str">
        <f>OPYEAR</f>
        <v>OPERATING FUND 2013/2014 ACTUAL</v>
      </c>
      <c r="C3" s="11"/>
      <c r="D3" s="11"/>
      <c r="E3" s="11"/>
      <c r="F3" s="11"/>
      <c r="G3" s="84"/>
      <c r="H3" s="84"/>
      <c r="I3" s="74"/>
    </row>
    <row r="4" spans="1:9" ht="15.95" customHeight="1">
      <c r="B4" s="7"/>
      <c r="C4" s="7"/>
      <c r="D4" s="7"/>
      <c r="E4" s="7"/>
      <c r="F4" s="7"/>
      <c r="G4" s="7"/>
      <c r="H4" s="7"/>
      <c r="I4" s="7"/>
    </row>
    <row r="5" spans="1:9" ht="15.95" customHeight="1">
      <c r="B5" s="185" t="s">
        <v>26</v>
      </c>
      <c r="C5" s="186"/>
      <c r="D5" s="187"/>
      <c r="E5" s="187"/>
      <c r="F5" s="187"/>
      <c r="G5" s="187"/>
      <c r="H5" s="187"/>
      <c r="I5" s="188"/>
    </row>
    <row r="6" spans="1:9" ht="15.95" customHeight="1">
      <c r="B6" s="355"/>
      <c r="C6" s="356"/>
      <c r="D6" s="355" t="s">
        <v>435</v>
      </c>
      <c r="E6" s="356"/>
      <c r="F6" s="389"/>
      <c r="G6" s="390"/>
      <c r="H6" s="355"/>
      <c r="I6" s="356"/>
    </row>
    <row r="7" spans="1:9" ht="15.95" customHeight="1">
      <c r="B7" s="391" t="s">
        <v>232</v>
      </c>
      <c r="C7" s="392"/>
      <c r="D7" s="391" t="s">
        <v>522</v>
      </c>
      <c r="E7" s="392"/>
      <c r="F7" s="391" t="s">
        <v>50</v>
      </c>
      <c r="G7" s="392"/>
      <c r="H7" s="391" t="s">
        <v>194</v>
      </c>
      <c r="I7" s="392"/>
    </row>
    <row r="8" spans="1:9" ht="15.95" customHeight="1">
      <c r="A8" s="75"/>
      <c r="B8" s="342" t="s">
        <v>89</v>
      </c>
      <c r="C8" s="344"/>
      <c r="D8" s="342" t="s">
        <v>410</v>
      </c>
      <c r="E8" s="344"/>
      <c r="F8" s="342" t="s">
        <v>74</v>
      </c>
      <c r="G8" s="344"/>
      <c r="H8" s="342" t="s">
        <v>89</v>
      </c>
      <c r="I8" s="344"/>
    </row>
    <row r="9" spans="1:9" ht="15.95" customHeight="1">
      <c r="A9" s="42" t="s">
        <v>93</v>
      </c>
      <c r="B9" s="189" t="s">
        <v>94</v>
      </c>
      <c r="C9" s="189" t="s">
        <v>95</v>
      </c>
      <c r="D9" s="189" t="s">
        <v>94</v>
      </c>
      <c r="E9" s="189" t="s">
        <v>95</v>
      </c>
      <c r="F9" s="189" t="s">
        <v>94</v>
      </c>
      <c r="G9" s="189" t="s">
        <v>95</v>
      </c>
      <c r="H9" s="189" t="s">
        <v>94</v>
      </c>
      <c r="I9" s="189" t="s">
        <v>95</v>
      </c>
    </row>
    <row r="10" spans="1:9" ht="5.0999999999999996" customHeight="1">
      <c r="A10" s="5"/>
    </row>
    <row r="11" spans="1:9" ht="14.1" customHeight="1">
      <c r="A11" s="328" t="s">
        <v>235</v>
      </c>
      <c r="B11" s="329">
        <v>0</v>
      </c>
      <c r="C11" s="335">
        <f>B11/'- 3 -'!$D11*100</f>
        <v>0</v>
      </c>
      <c r="D11" s="329">
        <v>0</v>
      </c>
      <c r="E11" s="335">
        <f>D11/'- 3 -'!$D11*100</f>
        <v>0</v>
      </c>
      <c r="F11" s="329">
        <v>0</v>
      </c>
      <c r="G11" s="335">
        <f>F11/'- 3 -'!$D11*100</f>
        <v>0</v>
      </c>
      <c r="H11" s="329">
        <v>22633</v>
      </c>
      <c r="I11" s="335">
        <f>H11/'- 3 -'!$D11*100</f>
        <v>0.13584355921288882</v>
      </c>
    </row>
    <row r="12" spans="1:9" ht="14.1" customHeight="1">
      <c r="A12" s="26" t="s">
        <v>236</v>
      </c>
      <c r="B12" s="27">
        <v>0</v>
      </c>
      <c r="C12" s="79">
        <f>B12/'- 3 -'!$D12*100</f>
        <v>0</v>
      </c>
      <c r="D12" s="27">
        <v>0</v>
      </c>
      <c r="E12" s="79">
        <f>D12/'- 3 -'!$D12*100</f>
        <v>0</v>
      </c>
      <c r="F12" s="27">
        <v>0</v>
      </c>
      <c r="G12" s="79">
        <f>F12/'- 3 -'!$D12*100</f>
        <v>0</v>
      </c>
      <c r="H12" s="27">
        <v>48038</v>
      </c>
      <c r="I12" s="79">
        <f>H12/'- 3 -'!$D12*100</f>
        <v>0.16133740710454197</v>
      </c>
    </row>
    <row r="13" spans="1:9" ht="14.1" customHeight="1">
      <c r="A13" s="328" t="s">
        <v>237</v>
      </c>
      <c r="B13" s="329">
        <v>0</v>
      </c>
      <c r="C13" s="335">
        <f>B13/'- 3 -'!$D13*100</f>
        <v>0</v>
      </c>
      <c r="D13" s="329">
        <v>0</v>
      </c>
      <c r="E13" s="335">
        <f>D13/'- 3 -'!$D13*100</f>
        <v>0</v>
      </c>
      <c r="F13" s="329">
        <v>120256</v>
      </c>
      <c r="G13" s="335">
        <f>F13/'- 3 -'!$D13*100</f>
        <v>0.14338620516823233</v>
      </c>
      <c r="H13" s="329">
        <v>125513</v>
      </c>
      <c r="I13" s="335">
        <f>H13/'- 3 -'!$D13*100</f>
        <v>0.14965434381054038</v>
      </c>
    </row>
    <row r="14" spans="1:9" ht="14.1" customHeight="1">
      <c r="A14" s="26" t="s">
        <v>636</v>
      </c>
      <c r="B14" s="27">
        <v>0</v>
      </c>
      <c r="C14" s="79">
        <f>B14/'- 3 -'!$D14*100</f>
        <v>0</v>
      </c>
      <c r="D14" s="27">
        <v>0</v>
      </c>
      <c r="E14" s="79">
        <f>D14/'- 3 -'!$D14*100</f>
        <v>0</v>
      </c>
      <c r="F14" s="27">
        <v>0</v>
      </c>
      <c r="G14" s="79">
        <f>F14/'- 3 -'!$D14*100</f>
        <v>0</v>
      </c>
      <c r="H14" s="27">
        <v>875319</v>
      </c>
      <c r="I14" s="79">
        <f>H14/'- 3 -'!$D14*100</f>
        <v>1.1989268160028888</v>
      </c>
    </row>
    <row r="15" spans="1:9" ht="14.1" customHeight="1">
      <c r="A15" s="328" t="s">
        <v>238</v>
      </c>
      <c r="B15" s="329">
        <v>0</v>
      </c>
      <c r="C15" s="335">
        <f>B15/'- 3 -'!$D15*100</f>
        <v>0</v>
      </c>
      <c r="D15" s="329">
        <v>0</v>
      </c>
      <c r="E15" s="335">
        <f>D15/'- 3 -'!$D15*100</f>
        <v>0</v>
      </c>
      <c r="F15" s="329">
        <v>0</v>
      </c>
      <c r="G15" s="335">
        <f>F15/'- 3 -'!$D15*100</f>
        <v>0</v>
      </c>
      <c r="H15" s="329">
        <v>60586</v>
      </c>
      <c r="I15" s="335">
        <f>H15/'- 3 -'!$D15*100</f>
        <v>0.31929458168910446</v>
      </c>
    </row>
    <row r="16" spans="1:9" ht="14.1" customHeight="1">
      <c r="A16" s="26" t="s">
        <v>239</v>
      </c>
      <c r="B16" s="27">
        <v>0</v>
      </c>
      <c r="C16" s="79">
        <f>B16/'- 3 -'!$D16*100</f>
        <v>0</v>
      </c>
      <c r="D16" s="27">
        <v>0</v>
      </c>
      <c r="E16" s="79">
        <f>D16/'- 3 -'!$D16*100</f>
        <v>0</v>
      </c>
      <c r="F16" s="27">
        <v>0</v>
      </c>
      <c r="G16" s="79">
        <f>F16/'- 3 -'!$D16*100</f>
        <v>0</v>
      </c>
      <c r="H16" s="27">
        <v>16938</v>
      </c>
      <c r="I16" s="79">
        <f>H16/'- 3 -'!$D16*100</f>
        <v>0.12994517415323129</v>
      </c>
    </row>
    <row r="17" spans="1:9" ht="14.1" customHeight="1">
      <c r="A17" s="328" t="s">
        <v>240</v>
      </c>
      <c r="B17" s="329">
        <v>0</v>
      </c>
      <c r="C17" s="335">
        <f>B17/'- 3 -'!$D17*100</f>
        <v>0</v>
      </c>
      <c r="D17" s="329">
        <v>0</v>
      </c>
      <c r="E17" s="335">
        <f>D17/'- 3 -'!$D17*100</f>
        <v>0</v>
      </c>
      <c r="F17" s="329">
        <v>66388</v>
      </c>
      <c r="G17" s="335">
        <f>F17/'- 3 -'!$D17*100</f>
        <v>0.40468976355201397</v>
      </c>
      <c r="H17" s="329">
        <v>244911</v>
      </c>
      <c r="I17" s="335">
        <f>H17/'- 3 -'!$D17*100</f>
        <v>1.4929350888908735</v>
      </c>
    </row>
    <row r="18" spans="1:9" ht="14.1" customHeight="1">
      <c r="A18" s="26" t="s">
        <v>241</v>
      </c>
      <c r="B18" s="27">
        <v>0</v>
      </c>
      <c r="C18" s="79">
        <f>B18/'- 3 -'!$D18*100</f>
        <v>0</v>
      </c>
      <c r="D18" s="27">
        <v>0</v>
      </c>
      <c r="E18" s="79">
        <f>D18/'- 3 -'!$D18*100</f>
        <v>0</v>
      </c>
      <c r="F18" s="27">
        <v>1034498</v>
      </c>
      <c r="G18" s="79">
        <f>F18/'- 3 -'!$D18*100</f>
        <v>0.8706899606349745</v>
      </c>
      <c r="H18" s="27">
        <v>1499016</v>
      </c>
      <c r="I18" s="79">
        <f>H18/'- 3 -'!$D18*100</f>
        <v>1.2616536542663175</v>
      </c>
    </row>
    <row r="19" spans="1:9" ht="14.1" customHeight="1">
      <c r="A19" s="328" t="s">
        <v>242</v>
      </c>
      <c r="B19" s="329">
        <v>0</v>
      </c>
      <c r="C19" s="335">
        <f>B19/'- 3 -'!$D19*100</f>
        <v>0</v>
      </c>
      <c r="D19" s="329">
        <v>0</v>
      </c>
      <c r="E19" s="335">
        <f>D19/'- 3 -'!$D19*100</f>
        <v>0</v>
      </c>
      <c r="F19" s="329">
        <v>0</v>
      </c>
      <c r="G19" s="335">
        <f>F19/'- 3 -'!$D19*100</f>
        <v>0</v>
      </c>
      <c r="H19" s="329">
        <v>64003</v>
      </c>
      <c r="I19" s="335">
        <f>H19/'- 3 -'!$D19*100</f>
        <v>0.14781022942952177</v>
      </c>
    </row>
    <row r="20" spans="1:9" ht="14.1" customHeight="1">
      <c r="A20" s="26" t="s">
        <v>243</v>
      </c>
      <c r="B20" s="27">
        <v>0</v>
      </c>
      <c r="C20" s="79">
        <f>B20/'- 3 -'!$D20*100</f>
        <v>0</v>
      </c>
      <c r="D20" s="27">
        <v>0</v>
      </c>
      <c r="E20" s="79">
        <f>D20/'- 3 -'!$D20*100</f>
        <v>0</v>
      </c>
      <c r="F20" s="27">
        <v>0</v>
      </c>
      <c r="G20" s="79">
        <f>F20/'- 3 -'!$D20*100</f>
        <v>0</v>
      </c>
      <c r="H20" s="27">
        <v>164509</v>
      </c>
      <c r="I20" s="79">
        <f>H20/'- 3 -'!$D20*100</f>
        <v>0.23284437086430157</v>
      </c>
    </row>
    <row r="21" spans="1:9" ht="14.1" customHeight="1">
      <c r="A21" s="328" t="s">
        <v>244</v>
      </c>
      <c r="B21" s="329">
        <v>171793</v>
      </c>
      <c r="C21" s="335">
        <f>B21/'- 3 -'!$D21*100</f>
        <v>0.4958937000748489</v>
      </c>
      <c r="D21" s="329">
        <v>0</v>
      </c>
      <c r="E21" s="335">
        <f>D21/'- 3 -'!$D21*100</f>
        <v>0</v>
      </c>
      <c r="F21" s="329">
        <v>0</v>
      </c>
      <c r="G21" s="335">
        <f>F21/'- 3 -'!$D21*100</f>
        <v>0</v>
      </c>
      <c r="H21" s="329">
        <v>85535</v>
      </c>
      <c r="I21" s="335">
        <f>H21/'- 3 -'!$D21*100</f>
        <v>0.24690335249924156</v>
      </c>
    </row>
    <row r="22" spans="1:9" ht="14.1" customHeight="1">
      <c r="A22" s="26" t="s">
        <v>245</v>
      </c>
      <c r="B22" s="27">
        <v>0</v>
      </c>
      <c r="C22" s="79">
        <f>B22/'- 3 -'!$D22*100</f>
        <v>0</v>
      </c>
      <c r="D22" s="27">
        <v>0</v>
      </c>
      <c r="E22" s="79">
        <f>D22/'- 3 -'!$D22*100</f>
        <v>0</v>
      </c>
      <c r="F22" s="27">
        <v>54545</v>
      </c>
      <c r="G22" s="79">
        <f>F22/'- 3 -'!$D22*100</f>
        <v>0.28306006062762995</v>
      </c>
      <c r="H22" s="27">
        <v>0</v>
      </c>
      <c r="I22" s="79">
        <f>H22/'- 3 -'!$D22*100</f>
        <v>0</v>
      </c>
    </row>
    <row r="23" spans="1:9" ht="14.1" customHeight="1">
      <c r="A23" s="328" t="s">
        <v>246</v>
      </c>
      <c r="B23" s="329">
        <v>113307</v>
      </c>
      <c r="C23" s="335">
        <f>B23/'- 3 -'!$D23*100</f>
        <v>0.69806147428498555</v>
      </c>
      <c r="D23" s="329">
        <v>0</v>
      </c>
      <c r="E23" s="335">
        <f>D23/'- 3 -'!$D23*100</f>
        <v>0</v>
      </c>
      <c r="F23" s="329">
        <v>121788</v>
      </c>
      <c r="G23" s="335">
        <f>F23/'- 3 -'!$D23*100</f>
        <v>0.75031119728013118</v>
      </c>
      <c r="H23" s="329">
        <v>36706</v>
      </c>
      <c r="I23" s="335">
        <f>H23/'- 3 -'!$D23*100</f>
        <v>0.22613823042799369</v>
      </c>
    </row>
    <row r="24" spans="1:9" ht="14.1" customHeight="1">
      <c r="A24" s="26" t="s">
        <v>247</v>
      </c>
      <c r="B24" s="27">
        <v>270693</v>
      </c>
      <c r="C24" s="79">
        <f>B24/'- 3 -'!$D24*100</f>
        <v>0.51825943953473308</v>
      </c>
      <c r="D24" s="27">
        <v>0</v>
      </c>
      <c r="E24" s="79">
        <f>D24/'- 3 -'!$D24*100</f>
        <v>0</v>
      </c>
      <c r="F24" s="27">
        <v>102485</v>
      </c>
      <c r="G24" s="79">
        <f>F24/'- 3 -'!$D24*100</f>
        <v>0.19621423036693642</v>
      </c>
      <c r="H24" s="27">
        <v>0</v>
      </c>
      <c r="I24" s="79">
        <f>H24/'- 3 -'!$D24*100</f>
        <v>0</v>
      </c>
    </row>
    <row r="25" spans="1:9" ht="14.1" customHeight="1">
      <c r="A25" s="328" t="s">
        <v>248</v>
      </c>
      <c r="B25" s="329">
        <v>334794</v>
      </c>
      <c r="C25" s="335">
        <f>B25/'- 3 -'!$D25*100</f>
        <v>0.21724902377486016</v>
      </c>
      <c r="D25" s="329">
        <v>185649</v>
      </c>
      <c r="E25" s="335">
        <f>D25/'- 3 -'!$D25*100</f>
        <v>0.12046829995393889</v>
      </c>
      <c r="F25" s="329">
        <v>114480</v>
      </c>
      <c r="G25" s="335">
        <f>F25/'- 3 -'!$D25*100</f>
        <v>7.4286481363901355E-2</v>
      </c>
      <c r="H25" s="329">
        <v>523304</v>
      </c>
      <c r="I25" s="335">
        <f>H25/'- 3 -'!$D25*100</f>
        <v>0.33957383685932069</v>
      </c>
    </row>
    <row r="26" spans="1:9" ht="14.1" customHeight="1">
      <c r="A26" s="26" t="s">
        <v>249</v>
      </c>
      <c r="B26" s="27">
        <v>0</v>
      </c>
      <c r="C26" s="79">
        <f>B26/'- 3 -'!$D26*100</f>
        <v>0</v>
      </c>
      <c r="D26" s="27">
        <v>0</v>
      </c>
      <c r="E26" s="79">
        <f>D26/'- 3 -'!$D26*100</f>
        <v>0</v>
      </c>
      <c r="F26" s="27">
        <v>0</v>
      </c>
      <c r="G26" s="79">
        <f>F26/'- 3 -'!$D26*100</f>
        <v>0</v>
      </c>
      <c r="H26" s="27">
        <v>95495</v>
      </c>
      <c r="I26" s="79">
        <f>H26/'- 3 -'!$D26*100</f>
        <v>0.2539769081679128</v>
      </c>
    </row>
    <row r="27" spans="1:9" ht="14.1" customHeight="1">
      <c r="A27" s="328" t="s">
        <v>250</v>
      </c>
      <c r="B27" s="329">
        <v>0</v>
      </c>
      <c r="C27" s="335">
        <f>B27/'- 3 -'!$D27*100</f>
        <v>0</v>
      </c>
      <c r="D27" s="329">
        <v>0</v>
      </c>
      <c r="E27" s="335">
        <f>D27/'- 3 -'!$D27*100</f>
        <v>0</v>
      </c>
      <c r="F27" s="329">
        <v>0</v>
      </c>
      <c r="G27" s="335">
        <f>F27/'- 3 -'!$D27*100</f>
        <v>0</v>
      </c>
      <c r="H27" s="329">
        <v>29100</v>
      </c>
      <c r="I27" s="335">
        <f>H27/'- 3 -'!$D27*100</f>
        <v>7.9087939401788071E-2</v>
      </c>
    </row>
    <row r="28" spans="1:9" ht="14.1" customHeight="1">
      <c r="A28" s="26" t="s">
        <v>251</v>
      </c>
      <c r="B28" s="27">
        <v>0</v>
      </c>
      <c r="C28" s="79">
        <f>B28/'- 3 -'!$D28*100</f>
        <v>0</v>
      </c>
      <c r="D28" s="27">
        <v>0</v>
      </c>
      <c r="E28" s="79">
        <f>D28/'- 3 -'!$D28*100</f>
        <v>0</v>
      </c>
      <c r="F28" s="27">
        <v>0</v>
      </c>
      <c r="G28" s="79">
        <f>F28/'- 3 -'!$D28*100</f>
        <v>0</v>
      </c>
      <c r="H28" s="27">
        <v>116719</v>
      </c>
      <c r="I28" s="79">
        <f>H28/'- 3 -'!$D28*100</f>
        <v>0.43240702030222444</v>
      </c>
    </row>
    <row r="29" spans="1:9" ht="14.1" customHeight="1">
      <c r="A29" s="328" t="s">
        <v>252</v>
      </c>
      <c r="B29" s="329">
        <v>0</v>
      </c>
      <c r="C29" s="335">
        <f>B29/'- 3 -'!$D29*100</f>
        <v>0</v>
      </c>
      <c r="D29" s="329">
        <v>0</v>
      </c>
      <c r="E29" s="335">
        <f>D29/'- 3 -'!$D29*100</f>
        <v>0</v>
      </c>
      <c r="F29" s="329">
        <v>794320</v>
      </c>
      <c r="G29" s="335">
        <f>F29/'- 3 -'!$D29*100</f>
        <v>0.56423876286914842</v>
      </c>
      <c r="H29" s="329">
        <v>253418</v>
      </c>
      <c r="I29" s="335">
        <f>H29/'- 3 -'!$D29*100</f>
        <v>0.1800134187843361</v>
      </c>
    </row>
    <row r="30" spans="1:9" ht="14.1" customHeight="1">
      <c r="A30" s="26" t="s">
        <v>253</v>
      </c>
      <c r="B30" s="27">
        <v>0</v>
      </c>
      <c r="C30" s="79">
        <f>B30/'- 3 -'!$D30*100</f>
        <v>0</v>
      </c>
      <c r="D30" s="27">
        <v>0</v>
      </c>
      <c r="E30" s="79">
        <f>D30/'- 3 -'!$D30*100</f>
        <v>0</v>
      </c>
      <c r="F30" s="27">
        <v>0</v>
      </c>
      <c r="G30" s="79">
        <f>F30/'- 3 -'!$D30*100</f>
        <v>0</v>
      </c>
      <c r="H30" s="27">
        <v>12341</v>
      </c>
      <c r="I30" s="79">
        <f>H30/'- 3 -'!$D30*100</f>
        <v>9.1735419914591887E-2</v>
      </c>
    </row>
    <row r="31" spans="1:9" ht="14.1" customHeight="1">
      <c r="A31" s="328" t="s">
        <v>254</v>
      </c>
      <c r="B31" s="329">
        <v>0</v>
      </c>
      <c r="C31" s="335">
        <f>B31/'- 3 -'!$D31*100</f>
        <v>0</v>
      </c>
      <c r="D31" s="329">
        <v>0</v>
      </c>
      <c r="E31" s="335">
        <f>D31/'- 3 -'!$D31*100</f>
        <v>0</v>
      </c>
      <c r="F31" s="329">
        <v>0</v>
      </c>
      <c r="G31" s="335">
        <f>F31/'- 3 -'!$D31*100</f>
        <v>0</v>
      </c>
      <c r="H31" s="329">
        <v>48936</v>
      </c>
      <c r="I31" s="335">
        <f>H31/'- 3 -'!$D31*100</f>
        <v>0.14516702038817048</v>
      </c>
    </row>
    <row r="32" spans="1:9" ht="14.1" customHeight="1">
      <c r="A32" s="26" t="s">
        <v>255</v>
      </c>
      <c r="B32" s="27">
        <v>0</v>
      </c>
      <c r="C32" s="79">
        <f>B32/'- 3 -'!$D32*100</f>
        <v>0</v>
      </c>
      <c r="D32" s="27">
        <v>0</v>
      </c>
      <c r="E32" s="79">
        <f>D32/'- 3 -'!$D32*100</f>
        <v>0</v>
      </c>
      <c r="F32" s="27">
        <v>0</v>
      </c>
      <c r="G32" s="79">
        <f>F32/'- 3 -'!$D32*100</f>
        <v>0</v>
      </c>
      <c r="H32" s="27">
        <v>30305</v>
      </c>
      <c r="I32" s="79">
        <f>H32/'- 3 -'!$D32*100</f>
        <v>0.11643510405621406</v>
      </c>
    </row>
    <row r="33" spans="1:10" ht="14.1" customHeight="1">
      <c r="A33" s="328" t="s">
        <v>256</v>
      </c>
      <c r="B33" s="329">
        <v>0</v>
      </c>
      <c r="C33" s="335">
        <f>B33/'- 3 -'!$D33*100</f>
        <v>0</v>
      </c>
      <c r="D33" s="329">
        <v>0</v>
      </c>
      <c r="E33" s="335">
        <f>D33/'- 3 -'!$D33*100</f>
        <v>0</v>
      </c>
      <c r="F33" s="329">
        <v>0</v>
      </c>
      <c r="G33" s="335">
        <f>F33/'- 3 -'!$D33*100</f>
        <v>0</v>
      </c>
      <c r="H33" s="329">
        <v>31800</v>
      </c>
      <c r="I33" s="335">
        <f>H33/'- 3 -'!$D33*100</f>
        <v>0.12146389663284891</v>
      </c>
    </row>
    <row r="34" spans="1:10" ht="14.1" customHeight="1">
      <c r="A34" s="26" t="s">
        <v>257</v>
      </c>
      <c r="B34" s="27">
        <v>0</v>
      </c>
      <c r="C34" s="79">
        <f>B34/'- 3 -'!$D34*100</f>
        <v>0</v>
      </c>
      <c r="D34" s="27">
        <v>0</v>
      </c>
      <c r="E34" s="79">
        <f>D34/'- 3 -'!$D34*100</f>
        <v>0</v>
      </c>
      <c r="F34" s="27">
        <v>0</v>
      </c>
      <c r="G34" s="79">
        <f>F34/'- 3 -'!$D34*100</f>
        <v>0</v>
      </c>
      <c r="H34" s="27">
        <v>36807</v>
      </c>
      <c r="I34" s="79">
        <f>H34/'- 3 -'!$D34*100</f>
        <v>0.14591540918178073</v>
      </c>
    </row>
    <row r="35" spans="1:10" ht="14.1" customHeight="1">
      <c r="A35" s="328" t="s">
        <v>258</v>
      </c>
      <c r="B35" s="329">
        <v>343320</v>
      </c>
      <c r="C35" s="335">
        <f>B35/'- 3 -'!$D35*100</f>
        <v>0.20040342074840031</v>
      </c>
      <c r="D35" s="329">
        <v>117354</v>
      </c>
      <c r="E35" s="335">
        <f>D35/'- 3 -'!$D35*100</f>
        <v>6.8502106019188422E-2</v>
      </c>
      <c r="F35" s="329">
        <v>649312</v>
      </c>
      <c r="G35" s="335">
        <f>F35/'- 3 -'!$D35*100</f>
        <v>0.37901766845213009</v>
      </c>
      <c r="H35" s="329">
        <v>276716</v>
      </c>
      <c r="I35" s="335">
        <f>H35/'- 3 -'!$D35*100</f>
        <v>0.16152520382096686</v>
      </c>
    </row>
    <row r="36" spans="1:10" ht="14.1" customHeight="1">
      <c r="A36" s="26" t="s">
        <v>259</v>
      </c>
      <c r="B36" s="27">
        <v>0</v>
      </c>
      <c r="C36" s="79">
        <f>B36/'- 3 -'!$D36*100</f>
        <v>0</v>
      </c>
      <c r="D36" s="27">
        <v>0</v>
      </c>
      <c r="E36" s="79">
        <f>D36/'- 3 -'!$D36*100</f>
        <v>0</v>
      </c>
      <c r="F36" s="27">
        <v>0</v>
      </c>
      <c r="G36" s="79">
        <f>F36/'- 3 -'!$D36*100</f>
        <v>0</v>
      </c>
      <c r="H36" s="27">
        <v>31932</v>
      </c>
      <c r="I36" s="79">
        <f>H36/'- 3 -'!$D36*100</f>
        <v>0.14926376391681728</v>
      </c>
    </row>
    <row r="37" spans="1:10" ht="14.1" customHeight="1">
      <c r="A37" s="328" t="s">
        <v>260</v>
      </c>
      <c r="B37" s="329">
        <v>0</v>
      </c>
      <c r="C37" s="335">
        <f>B37/'- 3 -'!$D37*100</f>
        <v>0</v>
      </c>
      <c r="D37" s="329">
        <v>0</v>
      </c>
      <c r="E37" s="335">
        <f>D37/'- 3 -'!$D37*100</f>
        <v>0</v>
      </c>
      <c r="F37" s="329">
        <v>0</v>
      </c>
      <c r="G37" s="335">
        <f>F37/'- 3 -'!$D37*100</f>
        <v>0</v>
      </c>
      <c r="H37" s="329">
        <v>179371</v>
      </c>
      <c r="I37" s="335">
        <f>H37/'- 3 -'!$D37*100</f>
        <v>0.42337423441904992</v>
      </c>
    </row>
    <row r="38" spans="1:10" ht="14.1" customHeight="1">
      <c r="A38" s="26" t="s">
        <v>261</v>
      </c>
      <c r="B38" s="27">
        <v>51614</v>
      </c>
      <c r="C38" s="79">
        <f>B38/'- 3 -'!$D38*100</f>
        <v>4.4869575963816556E-2</v>
      </c>
      <c r="D38" s="27">
        <v>439343</v>
      </c>
      <c r="E38" s="79">
        <f>D38/'- 3 -'!$D38*100</f>
        <v>0.3819338573385333</v>
      </c>
      <c r="F38" s="27">
        <v>629273</v>
      </c>
      <c r="G38" s="79">
        <f>F38/'- 3 -'!$D38*100</f>
        <v>0.54704562086795705</v>
      </c>
      <c r="H38" s="27">
        <v>323007</v>
      </c>
      <c r="I38" s="79">
        <f>H38/'- 3 -'!$D38*100</f>
        <v>0.28079953352471221</v>
      </c>
    </row>
    <row r="39" spans="1:10" ht="14.1" customHeight="1">
      <c r="A39" s="328" t="s">
        <v>262</v>
      </c>
      <c r="B39" s="329">
        <v>0</v>
      </c>
      <c r="C39" s="335">
        <f>B39/'- 3 -'!$D39*100</f>
        <v>0</v>
      </c>
      <c r="D39" s="329">
        <v>0</v>
      </c>
      <c r="E39" s="335">
        <f>D39/'- 3 -'!$D39*100</f>
        <v>0</v>
      </c>
      <c r="F39" s="329">
        <v>0</v>
      </c>
      <c r="G39" s="335">
        <f>F39/'- 3 -'!$D39*100</f>
        <v>0</v>
      </c>
      <c r="H39" s="329">
        <v>59767</v>
      </c>
      <c r="I39" s="335">
        <f>H39/'- 3 -'!$D39*100</f>
        <v>0.29521147107994983</v>
      </c>
    </row>
    <row r="40" spans="1:10" ht="14.1" customHeight="1">
      <c r="A40" s="26" t="s">
        <v>263</v>
      </c>
      <c r="B40" s="27">
        <v>502776</v>
      </c>
      <c r="C40" s="79">
        <f>B40/'- 3 -'!$D40*100</f>
        <v>0.52838869068112426</v>
      </c>
      <c r="D40" s="27">
        <v>0</v>
      </c>
      <c r="E40" s="79">
        <f>D40/'- 3 -'!$D40*100</f>
        <v>0</v>
      </c>
      <c r="F40" s="27">
        <v>498604</v>
      </c>
      <c r="G40" s="79">
        <f>F40/'- 3 -'!$D40*100</f>
        <v>0.52400415836947523</v>
      </c>
      <c r="H40" s="27">
        <v>92738</v>
      </c>
      <c r="I40" s="79">
        <f>H40/'- 3 -'!$D40*100</f>
        <v>9.7462310047389103E-2</v>
      </c>
    </row>
    <row r="41" spans="1:10" ht="14.1" customHeight="1">
      <c r="A41" s="328" t="s">
        <v>264</v>
      </c>
      <c r="B41" s="329">
        <v>0</v>
      </c>
      <c r="C41" s="335">
        <f>B41/'- 3 -'!$D41*100</f>
        <v>0</v>
      </c>
      <c r="D41" s="329">
        <v>0</v>
      </c>
      <c r="E41" s="335">
        <f>D41/'- 3 -'!$D41*100</f>
        <v>0</v>
      </c>
      <c r="F41" s="329">
        <v>0</v>
      </c>
      <c r="G41" s="335">
        <f>F41/'- 3 -'!$D41*100</f>
        <v>0</v>
      </c>
      <c r="H41" s="329">
        <v>315645</v>
      </c>
      <c r="I41" s="335">
        <f>H41/'- 3 -'!$D41*100</f>
        <v>0.53858172948951366</v>
      </c>
    </row>
    <row r="42" spans="1:10" ht="14.1" customHeight="1">
      <c r="A42" s="26" t="s">
        <v>265</v>
      </c>
      <c r="B42" s="27">
        <v>0</v>
      </c>
      <c r="C42" s="79">
        <f>B42/'- 3 -'!$D42*100</f>
        <v>0</v>
      </c>
      <c r="D42" s="27">
        <v>0</v>
      </c>
      <c r="E42" s="79">
        <f>D42/'- 3 -'!$D42*100</f>
        <v>0</v>
      </c>
      <c r="F42" s="27">
        <v>518</v>
      </c>
      <c r="G42" s="79">
        <f>F42/'- 3 -'!$D42*100</f>
        <v>2.5710994621885325E-3</v>
      </c>
      <c r="H42" s="27">
        <v>205059</v>
      </c>
      <c r="I42" s="79">
        <f>H42/'- 3 -'!$D42*100</f>
        <v>1.0178129046658655</v>
      </c>
    </row>
    <row r="43" spans="1:10" ht="14.1" customHeight="1">
      <c r="A43" s="328" t="s">
        <v>266</v>
      </c>
      <c r="B43" s="329">
        <v>0</v>
      </c>
      <c r="C43" s="335">
        <f>B43/'- 3 -'!$D43*100</f>
        <v>0</v>
      </c>
      <c r="D43" s="329">
        <v>0</v>
      </c>
      <c r="E43" s="335">
        <f>D43/'- 3 -'!$D43*100</f>
        <v>0</v>
      </c>
      <c r="F43" s="329">
        <v>0</v>
      </c>
      <c r="G43" s="335">
        <f>F43/'- 3 -'!$D43*100</f>
        <v>0</v>
      </c>
      <c r="H43" s="329">
        <v>15447</v>
      </c>
      <c r="I43" s="335">
        <f>H43/'- 3 -'!$D43*100</f>
        <v>0.1251980458503498</v>
      </c>
    </row>
    <row r="44" spans="1:10" ht="14.1" customHeight="1">
      <c r="A44" s="26" t="s">
        <v>267</v>
      </c>
      <c r="B44" s="27">
        <v>0</v>
      </c>
      <c r="C44" s="79">
        <f>B44/'- 3 -'!$D44*100</f>
        <v>0</v>
      </c>
      <c r="D44" s="27">
        <v>0</v>
      </c>
      <c r="E44" s="79">
        <f>D44/'- 3 -'!$D44*100</f>
        <v>0</v>
      </c>
      <c r="F44" s="27">
        <v>0</v>
      </c>
      <c r="G44" s="79">
        <f>F44/'- 3 -'!$D44*100</f>
        <v>0</v>
      </c>
      <c r="H44" s="27">
        <v>10868</v>
      </c>
      <c r="I44" s="79">
        <f>H44/'- 3 -'!$D44*100</f>
        <v>0.10567087392574102</v>
      </c>
    </row>
    <row r="45" spans="1:10" ht="14.1" customHeight="1">
      <c r="A45" s="328" t="s">
        <v>268</v>
      </c>
      <c r="B45" s="329">
        <v>0</v>
      </c>
      <c r="C45" s="335">
        <f>B45/'- 3 -'!$D45*100</f>
        <v>0</v>
      </c>
      <c r="D45" s="329">
        <v>0</v>
      </c>
      <c r="E45" s="335">
        <f>D45/'- 3 -'!$D45*100</f>
        <v>0</v>
      </c>
      <c r="F45" s="329">
        <v>4560</v>
      </c>
      <c r="G45" s="335">
        <f>F45/'- 3 -'!$D45*100</f>
        <v>2.7011195251905758E-2</v>
      </c>
      <c r="H45" s="329">
        <v>34865</v>
      </c>
      <c r="I45" s="335">
        <f>H45/'- 3 -'!$D45*100</f>
        <v>0.20652309703019606</v>
      </c>
    </row>
    <row r="46" spans="1:10" ht="14.1" customHeight="1">
      <c r="A46" s="26" t="s">
        <v>269</v>
      </c>
      <c r="B46" s="27">
        <v>0</v>
      </c>
      <c r="C46" s="79">
        <f>B46/'- 3 -'!$D46*100</f>
        <v>0</v>
      </c>
      <c r="D46" s="27">
        <v>2933679</v>
      </c>
      <c r="E46" s="79">
        <f>D46/'- 3 -'!$D46*100</f>
        <v>0.82395167975956984</v>
      </c>
      <c r="F46" s="27">
        <v>162687</v>
      </c>
      <c r="G46" s="79">
        <f>F46/'- 3 -'!$D46*100</f>
        <v>4.5692192951255116E-2</v>
      </c>
      <c r="H46" s="27">
        <v>5301436</v>
      </c>
      <c r="I46" s="79">
        <f>H46/'- 3 -'!$D46*100</f>
        <v>1.4889587774728779</v>
      </c>
    </row>
    <row r="47" spans="1:10" ht="5.0999999999999996" customHeight="1">
      <c r="A47"/>
      <c r="B47"/>
      <c r="C47"/>
      <c r="D47"/>
      <c r="E47"/>
      <c r="F47"/>
      <c r="G47"/>
      <c r="H47"/>
      <c r="I47"/>
      <c r="J47"/>
    </row>
    <row r="48" spans="1:10" ht="14.1" customHeight="1">
      <c r="A48" s="330" t="s">
        <v>270</v>
      </c>
      <c r="B48" s="331">
        <f>SUM(B11:B46)</f>
        <v>1788297</v>
      </c>
      <c r="C48" s="338">
        <f>B48/'- 3 -'!$D48*100</f>
        <v>8.649361528603168E-2</v>
      </c>
      <c r="D48" s="331">
        <f>SUM(D11:D46)</f>
        <v>3676025</v>
      </c>
      <c r="E48" s="338">
        <f>D48/'- 3 -'!$D48*100</f>
        <v>0.17779635716653028</v>
      </c>
      <c r="F48" s="331">
        <f>SUM(F11:F46)</f>
        <v>4353714</v>
      </c>
      <c r="G48" s="338">
        <f>F48/'- 3 -'!$D48*100</f>
        <v>0.21057378264427562</v>
      </c>
      <c r="H48" s="331">
        <f>SUM(H11:H46)</f>
        <v>11268783</v>
      </c>
      <c r="I48" s="338">
        <f>H48/'- 3 -'!$D48*100</f>
        <v>0.54503126804092039</v>
      </c>
    </row>
    <row r="49" spans="1:9" ht="5.0999999999999996" customHeight="1">
      <c r="A49" s="28" t="s">
        <v>16</v>
      </c>
      <c r="B49"/>
      <c r="C49"/>
      <c r="D49"/>
      <c r="E49"/>
      <c r="F49"/>
      <c r="G49"/>
      <c r="H49"/>
      <c r="I49"/>
    </row>
    <row r="50" spans="1:9" ht="14.1" customHeight="1">
      <c r="A50" s="26" t="s">
        <v>271</v>
      </c>
      <c r="B50" s="27">
        <v>0</v>
      </c>
      <c r="C50" s="79">
        <f>B50/'- 3 -'!$D50*100</f>
        <v>0</v>
      </c>
      <c r="D50" s="27">
        <v>0</v>
      </c>
      <c r="E50" s="79">
        <f>D50/'- 3 -'!$D50*100</f>
        <v>0</v>
      </c>
      <c r="F50" s="27">
        <v>0</v>
      </c>
      <c r="G50" s="79">
        <f>F50/'- 3 -'!$D50*100</f>
        <v>0</v>
      </c>
      <c r="H50" s="27">
        <v>7500</v>
      </c>
      <c r="I50" s="79">
        <f>H50/'- 3 -'!$D50*100</f>
        <v>0.23556445326118569</v>
      </c>
    </row>
    <row r="51" spans="1:9" ht="14.1" customHeight="1">
      <c r="A51" s="328" t="s">
        <v>272</v>
      </c>
      <c r="B51" s="329">
        <v>34</v>
      </c>
      <c r="C51" s="335">
        <f>B51/'- 3 -'!$D51*100</f>
        <v>1.7268399276271229E-4</v>
      </c>
      <c r="D51" s="329">
        <v>3799253</v>
      </c>
      <c r="E51" s="335">
        <f>D51/'- 3 -'!$D51*100</f>
        <v>19.296181692815086</v>
      </c>
      <c r="F51" s="329">
        <v>3242665</v>
      </c>
      <c r="G51" s="335">
        <f>F51/'- 3 -'!$D51*100</f>
        <v>16.469304099761779</v>
      </c>
      <c r="H51" s="329">
        <v>0</v>
      </c>
      <c r="I51" s="335">
        <f>H51/'- 3 -'!$D51*100</f>
        <v>0</v>
      </c>
    </row>
    <row r="52" spans="1:9"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sheetPr codeName="Sheet21">
    <pageSetUpPr fitToPage="1"/>
  </sheetPr>
  <dimension ref="A1:J52"/>
  <sheetViews>
    <sheetView showGridLines="0" showZeros="0" workbookViewId="0"/>
  </sheetViews>
  <sheetFormatPr defaultColWidth="15.83203125" defaultRowHeight="12"/>
  <cols>
    <col min="1" max="1" width="32.83203125" style="1" customWidth="1"/>
    <col min="2" max="2" width="14.83203125" style="1" customWidth="1"/>
    <col min="3" max="3" width="7.83203125" style="1" customWidth="1"/>
    <col min="4" max="4" width="9.83203125" style="1" customWidth="1"/>
    <col min="5" max="5" width="16.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478</v>
      </c>
      <c r="C2" s="9"/>
      <c r="D2" s="9"/>
      <c r="E2" s="9"/>
      <c r="F2" s="9"/>
      <c r="G2" s="82"/>
      <c r="H2" s="82"/>
      <c r="I2" s="173"/>
      <c r="J2" s="487" t="s">
        <v>446</v>
      </c>
    </row>
    <row r="3" spans="1:10" ht="15.95" customHeight="1">
      <c r="A3" s="697"/>
      <c r="B3" s="10" t="str">
        <f>OPYEAR</f>
        <v>OPERATING FUND 2013/2014 ACTUAL</v>
      </c>
      <c r="C3" s="11"/>
      <c r="D3" s="11"/>
      <c r="E3" s="11"/>
      <c r="F3" s="11"/>
      <c r="G3" s="84"/>
      <c r="H3" s="84"/>
      <c r="I3" s="84"/>
      <c r="J3" s="74"/>
    </row>
    <row r="4" spans="1:10" ht="15.95" customHeight="1">
      <c r="B4" s="7"/>
      <c r="C4" s="7"/>
      <c r="D4" s="7"/>
      <c r="E4" s="7"/>
      <c r="F4" s="7"/>
      <c r="G4" s="7"/>
      <c r="H4" s="7"/>
      <c r="I4" s="7"/>
      <c r="J4" s="7"/>
    </row>
    <row r="5" spans="1:10" ht="15.95" customHeight="1">
      <c r="B5" s="185" t="s">
        <v>193</v>
      </c>
      <c r="C5" s="186"/>
      <c r="D5" s="187"/>
      <c r="E5" s="187"/>
      <c r="F5" s="187"/>
      <c r="G5" s="187"/>
      <c r="H5" s="187"/>
      <c r="I5" s="187"/>
      <c r="J5" s="188"/>
    </row>
    <row r="6" spans="1:10" ht="15.95" customHeight="1">
      <c r="B6" s="355"/>
      <c r="C6" s="358"/>
      <c r="D6" s="356"/>
      <c r="E6" s="355" t="s">
        <v>27</v>
      </c>
      <c r="F6" s="358"/>
      <c r="G6" s="356"/>
      <c r="H6" s="355" t="s">
        <v>25</v>
      </c>
      <c r="I6" s="358"/>
      <c r="J6" s="356"/>
    </row>
    <row r="7" spans="1:10" ht="15.95" customHeight="1">
      <c r="B7" s="342" t="s">
        <v>51</v>
      </c>
      <c r="C7" s="343"/>
      <c r="D7" s="344"/>
      <c r="E7" s="342" t="s">
        <v>52</v>
      </c>
      <c r="F7" s="343"/>
      <c r="G7" s="344"/>
      <c r="H7" s="342" t="s">
        <v>53</v>
      </c>
      <c r="I7" s="343"/>
      <c r="J7" s="344"/>
    </row>
    <row r="8" spans="1:10" ht="15.95" customHeight="1">
      <c r="A8" s="75"/>
      <c r="B8" s="155"/>
      <c r="C8" s="156"/>
      <c r="D8" s="157" t="s">
        <v>73</v>
      </c>
      <c r="E8" s="155"/>
      <c r="F8" s="157"/>
      <c r="G8" s="157" t="s">
        <v>73</v>
      </c>
      <c r="H8" s="155"/>
      <c r="I8" s="157"/>
      <c r="J8" s="157" t="s">
        <v>73</v>
      </c>
    </row>
    <row r="9" spans="1:10" ht="15.95" customHeight="1">
      <c r="A9" s="42" t="s">
        <v>93</v>
      </c>
      <c r="B9" s="87" t="s">
        <v>94</v>
      </c>
      <c r="C9" s="87" t="s">
        <v>95</v>
      </c>
      <c r="D9" s="87" t="s">
        <v>96</v>
      </c>
      <c r="E9" s="87" t="s">
        <v>94</v>
      </c>
      <c r="F9" s="87" t="s">
        <v>95</v>
      </c>
      <c r="G9" s="87" t="s">
        <v>96</v>
      </c>
      <c r="H9" s="87" t="s">
        <v>94</v>
      </c>
      <c r="I9" s="87" t="s">
        <v>95</v>
      </c>
      <c r="J9" s="87" t="s">
        <v>96</v>
      </c>
    </row>
    <row r="10" spans="1:10" ht="5.0999999999999996" customHeight="1">
      <c r="A10" s="5"/>
    </row>
    <row r="11" spans="1:10" ht="14.1" customHeight="1">
      <c r="A11" s="328" t="s">
        <v>235</v>
      </c>
      <c r="B11" s="329">
        <v>101343</v>
      </c>
      <c r="C11" s="335">
        <f>B11/'- 3 -'!$D11*100</f>
        <v>0.60826199890919419</v>
      </c>
      <c r="D11" s="329">
        <f>B11/'- 7 -'!$E11</f>
        <v>68.336480107889415</v>
      </c>
      <c r="E11" s="329">
        <v>167818</v>
      </c>
      <c r="F11" s="335">
        <f>E11/'- 3 -'!$D11*100</f>
        <v>1.0072458100997912</v>
      </c>
      <c r="G11" s="329">
        <f>E11/'- 7 -'!$E11</f>
        <v>113.16115981119353</v>
      </c>
      <c r="H11" s="329">
        <v>327530</v>
      </c>
      <c r="I11" s="335">
        <f>H11/'- 3 -'!$D11*100</f>
        <v>1.9658393031855026</v>
      </c>
      <c r="J11" s="329">
        <f>H11/'- 7 -'!$E11</f>
        <v>220.85637221847605</v>
      </c>
    </row>
    <row r="12" spans="1:10" ht="14.1" customHeight="1">
      <c r="A12" s="26" t="s">
        <v>236</v>
      </c>
      <c r="B12" s="27">
        <v>130881</v>
      </c>
      <c r="C12" s="79">
        <f>B12/'- 3 -'!$D12*100</f>
        <v>0.43956869934738252</v>
      </c>
      <c r="D12" s="27">
        <f>B12/'- 7 -'!$E12</f>
        <v>59.812174389909508</v>
      </c>
      <c r="E12" s="27">
        <v>158844</v>
      </c>
      <c r="F12" s="79">
        <f>E12/'- 3 -'!$D12*100</f>
        <v>0.53348347337761493</v>
      </c>
      <c r="G12" s="27">
        <f>E12/'- 7 -'!$E12</f>
        <v>72.59117082533588</v>
      </c>
      <c r="H12" s="27">
        <v>555962</v>
      </c>
      <c r="I12" s="79">
        <f>H12/'- 3 -'!$D12*100</f>
        <v>1.8672190251187679</v>
      </c>
      <c r="J12" s="27">
        <f>H12/'- 7 -'!$E12</f>
        <v>254.07275386162138</v>
      </c>
    </row>
    <row r="13" spans="1:10" ht="14.1" customHeight="1">
      <c r="A13" s="328" t="s">
        <v>237</v>
      </c>
      <c r="B13" s="329">
        <v>257668</v>
      </c>
      <c r="C13" s="335">
        <f>B13/'- 3 -'!$D13*100</f>
        <v>0.30722821907670378</v>
      </c>
      <c r="D13" s="329">
        <f>B13/'- 7 -'!$E13</f>
        <v>32.206487094556593</v>
      </c>
      <c r="E13" s="329">
        <v>526496</v>
      </c>
      <c r="F13" s="335">
        <f>E13/'- 3 -'!$D13*100</f>
        <v>0.62776296797044351</v>
      </c>
      <c r="G13" s="329">
        <f>E13/'- 7 -'!$E13</f>
        <v>65.807887007062064</v>
      </c>
      <c r="H13" s="329">
        <v>1398224</v>
      </c>
      <c r="I13" s="335">
        <f>H13/'- 3 -'!$D13*100</f>
        <v>1.6671603357433018</v>
      </c>
      <c r="J13" s="329">
        <f>H13/'- 7 -'!$E13</f>
        <v>174.76707705768391</v>
      </c>
    </row>
    <row r="14" spans="1:10" ht="14.1" customHeight="1">
      <c r="A14" s="26" t="s">
        <v>636</v>
      </c>
      <c r="B14" s="27">
        <v>699005</v>
      </c>
      <c r="C14" s="79">
        <f>B14/'- 3 -'!$D14*100</f>
        <v>0.95742905046057414</v>
      </c>
      <c r="D14" s="27">
        <f>B14/'- 7 -'!$E14</f>
        <v>134.39819265525861</v>
      </c>
      <c r="E14" s="27">
        <v>1395668</v>
      </c>
      <c r="F14" s="79">
        <f>E14/'- 3 -'!$D14*100</f>
        <v>1.9116502571486738</v>
      </c>
      <c r="G14" s="27">
        <f>E14/'- 7 -'!$E14</f>
        <v>268.34608729090559</v>
      </c>
      <c r="H14" s="27">
        <v>892212</v>
      </c>
      <c r="I14" s="79">
        <f>H14/'- 3 -'!$D14*100</f>
        <v>1.2220652040679676</v>
      </c>
      <c r="J14" s="27">
        <f>H14/'- 7 -'!$E14</f>
        <v>171.54624110747932</v>
      </c>
    </row>
    <row r="15" spans="1:10" ht="14.1" customHeight="1">
      <c r="A15" s="328" t="s">
        <v>238</v>
      </c>
      <c r="B15" s="329">
        <v>147916</v>
      </c>
      <c r="C15" s="335">
        <f>B15/'- 3 -'!$D15*100</f>
        <v>0.77953285156844121</v>
      </c>
      <c r="D15" s="329">
        <f>B15/'- 7 -'!$E15</f>
        <v>99.172644988266839</v>
      </c>
      <c r="E15" s="329">
        <v>209104</v>
      </c>
      <c r="F15" s="335">
        <f>E15/'- 3 -'!$D15*100</f>
        <v>1.1020000364691265</v>
      </c>
      <c r="G15" s="329">
        <f>E15/'- 7 -'!$E15</f>
        <v>140.19711699631245</v>
      </c>
      <c r="H15" s="329">
        <v>375858</v>
      </c>
      <c r="I15" s="335">
        <f>H15/'- 3 -'!$D15*100</f>
        <v>1.980811126077038</v>
      </c>
      <c r="J15" s="329">
        <f>H15/'- 7 -'!$E15</f>
        <v>252</v>
      </c>
    </row>
    <row r="16" spans="1:10" ht="14.1" customHeight="1">
      <c r="A16" s="26" t="s">
        <v>239</v>
      </c>
      <c r="B16" s="27">
        <v>94932</v>
      </c>
      <c r="C16" s="79">
        <f>B16/'- 3 -'!$D16*100</f>
        <v>0.72830058287368948</v>
      </c>
      <c r="D16" s="27">
        <f>B16/'- 7 -'!$E16</f>
        <v>98.681912681912678</v>
      </c>
      <c r="E16" s="27">
        <v>194169</v>
      </c>
      <c r="F16" s="79">
        <f>E16/'- 3 -'!$D16*100</f>
        <v>1.4896283221253255</v>
      </c>
      <c r="G16" s="27">
        <f>E16/'- 7 -'!$E16</f>
        <v>201.83887733887735</v>
      </c>
      <c r="H16" s="27">
        <v>316842</v>
      </c>
      <c r="I16" s="79">
        <f>H16/'- 3 -'!$D16*100</f>
        <v>2.4307526785369054</v>
      </c>
      <c r="J16" s="27">
        <f>H16/'- 7 -'!$E16</f>
        <v>329.35758835758838</v>
      </c>
    </row>
    <row r="17" spans="1:10" ht="14.1" customHeight="1">
      <c r="A17" s="328" t="s">
        <v>240</v>
      </c>
      <c r="B17" s="329">
        <v>191268</v>
      </c>
      <c r="C17" s="335">
        <f>B17/'- 3 -'!$D17*100</f>
        <v>1.1659366405836389</v>
      </c>
      <c r="D17" s="329">
        <f>B17/'- 7 -'!$E17</f>
        <v>148.62033367744513</v>
      </c>
      <c r="E17" s="329">
        <v>154500</v>
      </c>
      <c r="F17" s="335">
        <f>E17/'- 3 -'!$D17*100</f>
        <v>0.94180527307323858</v>
      </c>
      <c r="G17" s="329">
        <f>E17/'- 7 -'!$E17</f>
        <v>120.05061773618836</v>
      </c>
      <c r="H17" s="329">
        <v>279918</v>
      </c>
      <c r="I17" s="335">
        <f>H17/'- 3 -'!$D17*100</f>
        <v>1.7063317050363416</v>
      </c>
      <c r="J17" s="329">
        <f>H17/'- 7 -'!$E17</f>
        <v>217.50374637850078</v>
      </c>
    </row>
    <row r="18" spans="1:10" ht="14.1" customHeight="1">
      <c r="A18" s="26" t="s">
        <v>241</v>
      </c>
      <c r="B18" s="27">
        <v>1051986</v>
      </c>
      <c r="C18" s="79">
        <f>B18/'- 3 -'!$D18*100</f>
        <v>0.88540881560770957</v>
      </c>
      <c r="D18" s="27">
        <f>B18/'- 7 -'!$E18</f>
        <v>173.42906129447064</v>
      </c>
      <c r="E18" s="27">
        <v>1903242</v>
      </c>
      <c r="F18" s="79">
        <f>E18/'- 3 -'!$D18*100</f>
        <v>1.6018723110714859</v>
      </c>
      <c r="G18" s="27">
        <f>E18/'- 7 -'!$E18</f>
        <v>313.76603251013881</v>
      </c>
      <c r="H18" s="27">
        <v>2788400</v>
      </c>
      <c r="I18" s="79">
        <f>H18/'- 3 -'!$D18*100</f>
        <v>2.3468695794816066</v>
      </c>
      <c r="J18" s="27">
        <f>H18/'- 7 -'!$E18</f>
        <v>459.69204391836195</v>
      </c>
    </row>
    <row r="19" spans="1:10" ht="14.1" customHeight="1">
      <c r="A19" s="328" t="s">
        <v>242</v>
      </c>
      <c r="B19" s="329">
        <v>154431</v>
      </c>
      <c r="C19" s="335">
        <f>B19/'- 3 -'!$D19*100</f>
        <v>0.35664705624783954</v>
      </c>
      <c r="D19" s="329">
        <f>B19/'- 7 -'!$E19</f>
        <v>36.828913478965944</v>
      </c>
      <c r="E19" s="329">
        <v>391271</v>
      </c>
      <c r="F19" s="335">
        <f>E19/'- 3 -'!$D19*100</f>
        <v>0.90361164756524548</v>
      </c>
      <c r="G19" s="329">
        <f>E19/'- 7 -'!$E19</f>
        <v>93.310836592578468</v>
      </c>
      <c r="H19" s="329">
        <v>696487</v>
      </c>
      <c r="I19" s="335">
        <f>H19/'- 3 -'!$D19*100</f>
        <v>1.608485590748548</v>
      </c>
      <c r="J19" s="329">
        <f>H19/'- 7 -'!$E19</f>
        <v>166.09916054564533</v>
      </c>
    </row>
    <row r="20" spans="1:10" ht="14.1" customHeight="1">
      <c r="A20" s="26" t="s">
        <v>243</v>
      </c>
      <c r="B20" s="27">
        <v>240437</v>
      </c>
      <c r="C20" s="79">
        <f>B20/'- 3 -'!$D20*100</f>
        <v>0.34031209233233489</v>
      </c>
      <c r="D20" s="27">
        <f>B20/'- 7 -'!$E20</f>
        <v>32.58395446537471</v>
      </c>
      <c r="E20" s="27">
        <v>803818</v>
      </c>
      <c r="F20" s="79">
        <f>E20/'- 3 -'!$D20*100</f>
        <v>1.1377158483693972</v>
      </c>
      <c r="G20" s="27">
        <f>E20/'- 7 -'!$E20</f>
        <v>108.93318877896733</v>
      </c>
      <c r="H20" s="27">
        <v>906439</v>
      </c>
      <c r="I20" s="79">
        <f>H20/'- 3 -'!$D20*100</f>
        <v>1.2829645714329712</v>
      </c>
      <c r="J20" s="27">
        <f>H20/'- 7 -'!$E20</f>
        <v>122.84035777205584</v>
      </c>
    </row>
    <row r="21" spans="1:10" ht="14.1" customHeight="1">
      <c r="A21" s="328" t="s">
        <v>244</v>
      </c>
      <c r="B21" s="329">
        <v>231097</v>
      </c>
      <c r="C21" s="335">
        <f>B21/'- 3 -'!$D21*100</f>
        <v>0.66707925472049134</v>
      </c>
      <c r="D21" s="329">
        <f>B21/'- 7 -'!$E21</f>
        <v>85.496485386607475</v>
      </c>
      <c r="E21" s="329">
        <v>409102</v>
      </c>
      <c r="F21" s="335">
        <f>E21/'- 3 -'!$D21*100</f>
        <v>1.1809043703062456</v>
      </c>
      <c r="G21" s="329">
        <f>E21/'- 7 -'!$E21</f>
        <v>151.3510913799482</v>
      </c>
      <c r="H21" s="329">
        <v>664188</v>
      </c>
      <c r="I21" s="335">
        <f>H21/'- 3 -'!$D21*100</f>
        <v>1.9172297175397937</v>
      </c>
      <c r="J21" s="329">
        <f>H21/'- 7 -'!$E21</f>
        <v>245.72253052164262</v>
      </c>
    </row>
    <row r="22" spans="1:10" ht="14.1" customHeight="1">
      <c r="A22" s="26" t="s">
        <v>245</v>
      </c>
      <c r="B22" s="27">
        <v>86573</v>
      </c>
      <c r="C22" s="79">
        <f>B22/'- 3 -'!$D22*100</f>
        <v>0.44926865209855732</v>
      </c>
      <c r="D22" s="27">
        <f>B22/'- 7 -'!$E22</f>
        <v>55.205330952684605</v>
      </c>
      <c r="E22" s="27">
        <v>123711</v>
      </c>
      <c r="F22" s="79">
        <f>E22/'- 3 -'!$D22*100</f>
        <v>0.64199547456787487</v>
      </c>
      <c r="G22" s="27">
        <f>E22/'- 7 -'!$E22</f>
        <v>78.887259278153294</v>
      </c>
      <c r="H22" s="27">
        <v>484018</v>
      </c>
      <c r="I22" s="79">
        <f>H22/'- 3 -'!$D22*100</f>
        <v>2.5118006127942833</v>
      </c>
      <c r="J22" s="27">
        <f>H22/'- 7 -'!$E22</f>
        <v>308.64558092080091</v>
      </c>
    </row>
    <row r="23" spans="1:10" ht="14.1" customHeight="1">
      <c r="A23" s="328" t="s">
        <v>246</v>
      </c>
      <c r="B23" s="329">
        <v>104078</v>
      </c>
      <c r="C23" s="335">
        <f>B23/'- 3 -'!$D23*100</f>
        <v>0.6412034748129658</v>
      </c>
      <c r="D23" s="329">
        <f>B23/'- 7 -'!$E23</f>
        <v>90.001729505361453</v>
      </c>
      <c r="E23" s="329">
        <v>177398</v>
      </c>
      <c r="F23" s="335">
        <f>E23/'- 3 -'!$D23*100</f>
        <v>1.0929131423054874</v>
      </c>
      <c r="G23" s="329">
        <f>E23/'- 7 -'!$E23</f>
        <v>153.40539605672777</v>
      </c>
      <c r="H23" s="329">
        <v>297803</v>
      </c>
      <c r="I23" s="335">
        <f>H23/'- 3 -'!$D23*100</f>
        <v>1.8347039567413448</v>
      </c>
      <c r="J23" s="329">
        <f>H23/'- 7 -'!$E23</f>
        <v>257.525942580422</v>
      </c>
    </row>
    <row r="24" spans="1:10" ht="14.1" customHeight="1">
      <c r="A24" s="26" t="s">
        <v>247</v>
      </c>
      <c r="B24" s="27">
        <v>289891</v>
      </c>
      <c r="C24" s="79">
        <f>B24/'- 3 -'!$D24*100</f>
        <v>0.55501526521248534</v>
      </c>
      <c r="D24" s="27">
        <f>B24/'- 7 -'!$E24</f>
        <v>70.29535148766945</v>
      </c>
      <c r="E24" s="27">
        <v>327808</v>
      </c>
      <c r="F24" s="79">
        <f>E24/'- 3 -'!$D24*100</f>
        <v>0.627609839763133</v>
      </c>
      <c r="G24" s="27">
        <f>E24/'- 7 -'!$E24</f>
        <v>79.489803341497137</v>
      </c>
      <c r="H24" s="27">
        <v>1071662</v>
      </c>
      <c r="I24" s="79">
        <f>H24/'- 3 -'!$D24*100</f>
        <v>2.0517669370492446</v>
      </c>
      <c r="J24" s="27">
        <f>H24/'- 7 -'!$E24</f>
        <v>259.86614612381487</v>
      </c>
    </row>
    <row r="25" spans="1:10" ht="14.1" customHeight="1">
      <c r="A25" s="328" t="s">
        <v>248</v>
      </c>
      <c r="B25" s="329">
        <v>431401</v>
      </c>
      <c r="C25" s="335">
        <f>B25/'- 3 -'!$D25*100</f>
        <v>0.27993765152750183</v>
      </c>
      <c r="D25" s="329">
        <f>B25/'- 7 -'!$E25</f>
        <v>31.204412296564197</v>
      </c>
      <c r="E25" s="329">
        <v>800397</v>
      </c>
      <c r="F25" s="335">
        <f>E25/'- 3 -'!$D25*100</f>
        <v>0.51938047540376087</v>
      </c>
      <c r="G25" s="329">
        <f>E25/'- 7 -'!$E25</f>
        <v>57.894900542495478</v>
      </c>
      <c r="H25" s="329">
        <v>3394968</v>
      </c>
      <c r="I25" s="335">
        <f>H25/'- 3 -'!$D25*100</f>
        <v>2.2030068751139193</v>
      </c>
      <c r="J25" s="329">
        <f>H25/'- 7 -'!$E25</f>
        <v>245.56730560578663</v>
      </c>
    </row>
    <row r="26" spans="1:10" ht="14.1" customHeight="1">
      <c r="A26" s="26" t="s">
        <v>249</v>
      </c>
      <c r="B26" s="27">
        <v>182287</v>
      </c>
      <c r="C26" s="79">
        <f>B26/'- 3 -'!$D26*100</f>
        <v>0.48480746279076731</v>
      </c>
      <c r="D26" s="27">
        <f>B26/'- 7 -'!$E26</f>
        <v>58.500320924261871</v>
      </c>
      <c r="E26" s="27">
        <v>328282</v>
      </c>
      <c r="F26" s="79">
        <f>E26/'- 3 -'!$D26*100</f>
        <v>0.87309332810281948</v>
      </c>
      <c r="G26" s="27">
        <f>E26/'- 7 -'!$E26</f>
        <v>105.35365853658537</v>
      </c>
      <c r="H26" s="27">
        <v>669671</v>
      </c>
      <c r="I26" s="79">
        <f>H26/'- 3 -'!$D26*100</f>
        <v>1.7810458146469903</v>
      </c>
      <c r="J26" s="27">
        <f>H26/'- 7 -'!$E26</f>
        <v>214.91367137355584</v>
      </c>
    </row>
    <row r="27" spans="1:10" ht="14.1" customHeight="1">
      <c r="A27" s="328" t="s">
        <v>250</v>
      </c>
      <c r="B27" s="329">
        <v>241911</v>
      </c>
      <c r="C27" s="335">
        <f>B27/'- 3 -'!$D27*100</f>
        <v>0.65746537830329732</v>
      </c>
      <c r="D27" s="329">
        <f>B27/'- 7 -'!$E27</f>
        <v>87.153150556616339</v>
      </c>
      <c r="E27" s="329">
        <v>488699</v>
      </c>
      <c r="F27" s="335">
        <f>E27/'- 3 -'!$D27*100</f>
        <v>1.3281854604025576</v>
      </c>
      <c r="G27" s="329">
        <f>E27/'- 7 -'!$E27</f>
        <v>176.06333537486037</v>
      </c>
      <c r="H27" s="329">
        <v>746702</v>
      </c>
      <c r="I27" s="335">
        <f>H27/'- 3 -'!$D27*100</f>
        <v>2.0293856538554622</v>
      </c>
      <c r="J27" s="329">
        <f>H27/'- 7 -'!$E27</f>
        <v>269.01394242893684</v>
      </c>
    </row>
    <row r="28" spans="1:10" ht="14.1" customHeight="1">
      <c r="A28" s="26" t="s">
        <v>251</v>
      </c>
      <c r="B28" s="27">
        <v>190540</v>
      </c>
      <c r="C28" s="79">
        <f>B28/'- 3 -'!$D28*100</f>
        <v>0.70589050324613678</v>
      </c>
      <c r="D28" s="27">
        <f>B28/'- 7 -'!$E28</f>
        <v>94.866816031864573</v>
      </c>
      <c r="E28" s="27">
        <v>305145</v>
      </c>
      <c r="F28" s="79">
        <f>E28/'- 3 -'!$D28*100</f>
        <v>1.1304658214182977</v>
      </c>
      <c r="G28" s="27">
        <f>E28/'- 7 -'!$E28</f>
        <v>151.92681105302464</v>
      </c>
      <c r="H28" s="27">
        <v>463444</v>
      </c>
      <c r="I28" s="79">
        <f>H28/'- 3 -'!$D28*100</f>
        <v>1.716913605470781</v>
      </c>
      <c r="J28" s="27">
        <f>H28/'- 7 -'!$E28</f>
        <v>230.7413492656211</v>
      </c>
    </row>
    <row r="29" spans="1:10" ht="14.1" customHeight="1">
      <c r="A29" s="328" t="s">
        <v>252</v>
      </c>
      <c r="B29" s="329">
        <v>363699</v>
      </c>
      <c r="C29" s="335">
        <f>B29/'- 3 -'!$D29*100</f>
        <v>0.25835063175640349</v>
      </c>
      <c r="D29" s="329">
        <f>B29/'- 7 -'!$E29</f>
        <v>29.804797298958427</v>
      </c>
      <c r="E29" s="329">
        <v>1949998</v>
      </c>
      <c r="F29" s="335">
        <f>E29/'- 3 -'!$D29*100</f>
        <v>1.3851652471514173</v>
      </c>
      <c r="G29" s="329">
        <f>E29/'- 7 -'!$E29</f>
        <v>159.80053594696255</v>
      </c>
      <c r="H29" s="329">
        <v>1486848</v>
      </c>
      <c r="I29" s="335">
        <f>H29/'- 3 -'!$D29*100</f>
        <v>1.0561704049935385</v>
      </c>
      <c r="J29" s="329">
        <f>H29/'- 7 -'!$E29</f>
        <v>121.84582100682636</v>
      </c>
    </row>
    <row r="30" spans="1:10" ht="14.1" customHeight="1">
      <c r="A30" s="26" t="s">
        <v>253</v>
      </c>
      <c r="B30" s="27">
        <v>97835</v>
      </c>
      <c r="C30" s="79">
        <f>B30/'- 3 -'!$D30*100</f>
        <v>0.72724534538077112</v>
      </c>
      <c r="D30" s="27">
        <f>B30/'- 7 -'!$E30</f>
        <v>92.337240689355738</v>
      </c>
      <c r="E30" s="27">
        <v>131466</v>
      </c>
      <c r="F30" s="79">
        <f>E30/'- 3 -'!$D30*100</f>
        <v>0.97723755890865693</v>
      </c>
      <c r="G30" s="27">
        <f>E30/'- 7 -'!$E30</f>
        <v>124.07837363384108</v>
      </c>
      <c r="H30" s="27">
        <v>276003</v>
      </c>
      <c r="I30" s="79">
        <f>H30/'- 3 -'!$D30*100</f>
        <v>2.051636909706434</v>
      </c>
      <c r="J30" s="27">
        <f>H30/'- 7 -'!$E30</f>
        <v>260.49323291239591</v>
      </c>
    </row>
    <row r="31" spans="1:10" ht="14.1" customHeight="1">
      <c r="A31" s="328" t="s">
        <v>254</v>
      </c>
      <c r="B31" s="329">
        <v>141918</v>
      </c>
      <c r="C31" s="335">
        <f>B31/'- 3 -'!$D31*100</f>
        <v>0.42099503840625263</v>
      </c>
      <c r="D31" s="329">
        <f>B31/'- 7 -'!$E31</f>
        <v>44.60726072607261</v>
      </c>
      <c r="E31" s="329">
        <v>280369</v>
      </c>
      <c r="F31" s="335">
        <f>E31/'- 3 -'!$D31*100</f>
        <v>0.83170533634156807</v>
      </c>
      <c r="G31" s="329">
        <f>E31/'- 7 -'!$E31</f>
        <v>88.124783906962122</v>
      </c>
      <c r="H31" s="329">
        <v>534559</v>
      </c>
      <c r="I31" s="335">
        <f>H31/'- 3 -'!$D31*100</f>
        <v>1.585751537757071</v>
      </c>
      <c r="J31" s="329">
        <f>H31/'- 7 -'!$E31</f>
        <v>168.02105924878202</v>
      </c>
    </row>
    <row r="32" spans="1:10" ht="14.1" customHeight="1">
      <c r="A32" s="26" t="s">
        <v>255</v>
      </c>
      <c r="B32" s="27">
        <v>170282</v>
      </c>
      <c r="C32" s="79">
        <f>B32/'- 3 -'!$D32*100</f>
        <v>0.65424195310675592</v>
      </c>
      <c r="D32" s="27">
        <f>B32/'- 7 -'!$E32</f>
        <v>84.214638971315523</v>
      </c>
      <c r="E32" s="27">
        <v>224246</v>
      </c>
      <c r="F32" s="79">
        <f>E32/'- 3 -'!$D32*100</f>
        <v>0.86157750682031919</v>
      </c>
      <c r="G32" s="27">
        <f>E32/'- 7 -'!$E32</f>
        <v>110.90306627101879</v>
      </c>
      <c r="H32" s="27">
        <v>560609</v>
      </c>
      <c r="I32" s="79">
        <f>H32/'- 3 -'!$D32*100</f>
        <v>2.1539207143986174</v>
      </c>
      <c r="J32" s="27">
        <f>H32/'- 7 -'!$E32</f>
        <v>277.25469831849654</v>
      </c>
    </row>
    <row r="33" spans="1:10" ht="14.1" customHeight="1">
      <c r="A33" s="328" t="s">
        <v>256</v>
      </c>
      <c r="B33" s="329">
        <v>205113</v>
      </c>
      <c r="C33" s="335">
        <f>B33/'- 3 -'!$D33*100</f>
        <v>0.78345359214004839</v>
      </c>
      <c r="D33" s="329">
        <f>B33/'- 7 -'!$E33</f>
        <v>102.56675667566756</v>
      </c>
      <c r="E33" s="329">
        <v>231590</v>
      </c>
      <c r="F33" s="335">
        <f>E33/'- 3 -'!$D33*100</f>
        <v>0.88458565475476347</v>
      </c>
      <c r="G33" s="329">
        <f>E33/'- 7 -'!$E33</f>
        <v>115.8065806580658</v>
      </c>
      <c r="H33" s="329">
        <v>359596</v>
      </c>
      <c r="I33" s="335">
        <f>H33/'- 3 -'!$D33*100</f>
        <v>1.3735198545152809</v>
      </c>
      <c r="J33" s="329">
        <f>H33/'- 7 -'!$E33</f>
        <v>179.81598159815979</v>
      </c>
    </row>
    <row r="34" spans="1:10" ht="14.1" customHeight="1">
      <c r="A34" s="26" t="s">
        <v>257</v>
      </c>
      <c r="B34" s="27">
        <v>156963</v>
      </c>
      <c r="C34" s="79">
        <f>B34/'- 3 -'!$D34*100</f>
        <v>0.62225447255684652</v>
      </c>
      <c r="D34" s="27">
        <f>B34/'- 7 -'!$E34</f>
        <v>79.676649746192894</v>
      </c>
      <c r="E34" s="27">
        <v>289715</v>
      </c>
      <c r="F34" s="79">
        <f>E34/'- 3 -'!$D34*100</f>
        <v>1.1485283443665502</v>
      </c>
      <c r="G34" s="27">
        <f>E34/'- 7 -'!$E34</f>
        <v>147.06345177664974</v>
      </c>
      <c r="H34" s="27">
        <v>484379</v>
      </c>
      <c r="I34" s="79">
        <f>H34/'- 3 -'!$D34*100</f>
        <v>1.9202423447730532</v>
      </c>
      <c r="J34" s="27">
        <f>H34/'- 7 -'!$E34</f>
        <v>245.87766497461928</v>
      </c>
    </row>
    <row r="35" spans="1:10" ht="14.1" customHeight="1">
      <c r="A35" s="328" t="s">
        <v>258</v>
      </c>
      <c r="B35" s="329">
        <v>376528</v>
      </c>
      <c r="C35" s="335">
        <f>B35/'- 3 -'!$D35*100</f>
        <v>0.21978765934857764</v>
      </c>
      <c r="D35" s="329">
        <f>B35/'- 7 -'!$E35</f>
        <v>24.193015709833904</v>
      </c>
      <c r="E35" s="329">
        <v>1718613</v>
      </c>
      <c r="F35" s="335">
        <f>E35/'- 3 -'!$D35*100</f>
        <v>1.0031921360324785</v>
      </c>
      <c r="G35" s="329">
        <f>E35/'- 7 -'!$E35</f>
        <v>110.4258682173033</v>
      </c>
      <c r="H35" s="329">
        <v>2078402</v>
      </c>
      <c r="I35" s="335">
        <f>H35/'- 3 -'!$D35*100</f>
        <v>1.2132088736173736</v>
      </c>
      <c r="J35" s="329">
        <f>H35/'- 7 -'!$E35</f>
        <v>133.5433546438783</v>
      </c>
    </row>
    <row r="36" spans="1:10" ht="14.1" customHeight="1">
      <c r="A36" s="26" t="s">
        <v>259</v>
      </c>
      <c r="B36" s="27">
        <v>202874</v>
      </c>
      <c r="C36" s="79">
        <f>B36/'- 3 -'!$D36*100</f>
        <v>0.94831945511901516</v>
      </c>
      <c r="D36" s="27">
        <f>B36/'- 7 -'!$E36</f>
        <v>124.65376344086022</v>
      </c>
      <c r="E36" s="27">
        <v>199532</v>
      </c>
      <c r="F36" s="79">
        <f>E36/'- 3 -'!$D36*100</f>
        <v>0.93269752417168938</v>
      </c>
      <c r="G36" s="27">
        <f>E36/'- 7 -'!$E36</f>
        <v>122.60030721966206</v>
      </c>
      <c r="H36" s="27">
        <v>417569</v>
      </c>
      <c r="I36" s="79">
        <f>H36/'- 3 -'!$D36*100</f>
        <v>1.9518952973500401</v>
      </c>
      <c r="J36" s="27">
        <f>H36/'- 7 -'!$E36</f>
        <v>256.57081413210443</v>
      </c>
    </row>
    <row r="37" spans="1:10" ht="14.1" customHeight="1">
      <c r="A37" s="328" t="s">
        <v>260</v>
      </c>
      <c r="B37" s="329">
        <v>160997</v>
      </c>
      <c r="C37" s="335">
        <f>B37/'- 3 -'!$D37*100</f>
        <v>0.38000558406188173</v>
      </c>
      <c r="D37" s="329">
        <f>B37/'- 7 -'!$E37</f>
        <v>41.13887824198288</v>
      </c>
      <c r="E37" s="329">
        <v>377581</v>
      </c>
      <c r="F37" s="335">
        <f>E37/'- 3 -'!$D37*100</f>
        <v>0.89121467130238063</v>
      </c>
      <c r="G37" s="329">
        <f>E37/'- 7 -'!$E37</f>
        <v>96.481666027852313</v>
      </c>
      <c r="H37" s="329">
        <v>705395</v>
      </c>
      <c r="I37" s="335">
        <f>H37/'- 3 -'!$D37*100</f>
        <v>1.6649629432183894</v>
      </c>
      <c r="J37" s="329">
        <f>H37/'- 7 -'!$E37</f>
        <v>180.24658234317107</v>
      </c>
    </row>
    <row r="38" spans="1:10" ht="14.1" customHeight="1">
      <c r="A38" s="26" t="s">
        <v>261</v>
      </c>
      <c r="B38" s="27">
        <v>359693</v>
      </c>
      <c r="C38" s="79">
        <f>B38/'- 3 -'!$D38*100</f>
        <v>0.31269175780123742</v>
      </c>
      <c r="D38" s="27">
        <f>B38/'- 7 -'!$E38</f>
        <v>34.414454926424156</v>
      </c>
      <c r="E38" s="27">
        <v>1127566</v>
      </c>
      <c r="F38" s="79">
        <f>E38/'- 3 -'!$D38*100</f>
        <v>0.98022645583013879</v>
      </c>
      <c r="G38" s="27">
        <f>E38/'- 7 -'!$E38</f>
        <v>107.88247000516657</v>
      </c>
      <c r="H38" s="27">
        <v>1386850</v>
      </c>
      <c r="I38" s="79">
        <f>H38/'- 3 -'!$D38*100</f>
        <v>1.2056297017363311</v>
      </c>
      <c r="J38" s="27">
        <f>H38/'- 7 -'!$E38</f>
        <v>132.69006295566314</v>
      </c>
    </row>
    <row r="39" spans="1:10" ht="14.1" customHeight="1">
      <c r="A39" s="328" t="s">
        <v>262</v>
      </c>
      <c r="B39" s="329">
        <v>143275</v>
      </c>
      <c r="C39" s="335">
        <f>B39/'- 3 -'!$D39*100</f>
        <v>0.70768858264560397</v>
      </c>
      <c r="D39" s="329">
        <f>B39/'- 7 -'!$E39</f>
        <v>92.108646737383481</v>
      </c>
      <c r="E39" s="329">
        <v>221210</v>
      </c>
      <c r="F39" s="335">
        <f>E39/'- 3 -'!$D39*100</f>
        <v>1.0926385717468787</v>
      </c>
      <c r="G39" s="329">
        <f>E39/'- 7 -'!$E39</f>
        <v>142.21150755384122</v>
      </c>
      <c r="H39" s="329">
        <v>415175</v>
      </c>
      <c r="I39" s="335">
        <f>H39/'- 3 -'!$D39*100</f>
        <v>2.0507039420686697</v>
      </c>
      <c r="J39" s="329">
        <f>H39/'- 7 -'!$E39</f>
        <v>266.90774670523945</v>
      </c>
    </row>
    <row r="40" spans="1:10" ht="14.1" customHeight="1">
      <c r="A40" s="26" t="s">
        <v>263</v>
      </c>
      <c r="B40" s="27">
        <v>362211</v>
      </c>
      <c r="C40" s="79">
        <f>B40/'- 3 -'!$D40*100</f>
        <v>0.38066295137456979</v>
      </c>
      <c r="D40" s="27">
        <f>B40/'- 7 -'!$E40</f>
        <v>45.597552762269238</v>
      </c>
      <c r="E40" s="27">
        <v>1135938</v>
      </c>
      <c r="F40" s="79">
        <f>E40/'- 3 -'!$D40*100</f>
        <v>1.1938055764693123</v>
      </c>
      <c r="G40" s="27">
        <f>E40/'- 7 -'!$E40</f>
        <v>142.99950274747755</v>
      </c>
      <c r="H40" s="27">
        <v>1516844</v>
      </c>
      <c r="I40" s="79">
        <f>H40/'- 3 -'!$D40*100</f>
        <v>1.5941158987849844</v>
      </c>
      <c r="J40" s="27">
        <f>H40/'- 7 -'!$E40</f>
        <v>190.95050763817642</v>
      </c>
    </row>
    <row r="41" spans="1:10" ht="14.1" customHeight="1">
      <c r="A41" s="328" t="s">
        <v>264</v>
      </c>
      <c r="B41" s="329">
        <v>246996</v>
      </c>
      <c r="C41" s="335">
        <f>B41/'- 3 -'!$D41*100</f>
        <v>0.42144666589678892</v>
      </c>
      <c r="D41" s="329">
        <f>B41/'- 7 -'!$E41</f>
        <v>56.046289993192651</v>
      </c>
      <c r="E41" s="329">
        <v>634144</v>
      </c>
      <c r="F41" s="335">
        <f>E41/'- 3 -'!$D41*100</f>
        <v>1.0820332090335605</v>
      </c>
      <c r="G41" s="329">
        <f>E41/'- 7 -'!$E41</f>
        <v>143.89471295665987</v>
      </c>
      <c r="H41" s="329">
        <v>1009376</v>
      </c>
      <c r="I41" s="335">
        <f>H41/'- 3 -'!$D41*100</f>
        <v>1.7222876072334661</v>
      </c>
      <c r="J41" s="329">
        <f>H41/'- 7 -'!$E41</f>
        <v>229.03925572952122</v>
      </c>
    </row>
    <row r="42" spans="1:10" ht="14.1" customHeight="1">
      <c r="A42" s="26" t="s">
        <v>265</v>
      </c>
      <c r="B42" s="27">
        <v>163321</v>
      </c>
      <c r="C42" s="79">
        <f>B42/'- 3 -'!$D42*100</f>
        <v>0.8106458209731533</v>
      </c>
      <c r="D42" s="27">
        <f>B42/'- 7 -'!$E42</f>
        <v>112.5342796113829</v>
      </c>
      <c r="E42" s="27">
        <v>208147</v>
      </c>
      <c r="F42" s="79">
        <f>E42/'- 3 -'!$D42*100</f>
        <v>1.0331402311894915</v>
      </c>
      <c r="G42" s="27">
        <f>E42/'- 7 -'!$E42</f>
        <v>143.42107076414248</v>
      </c>
      <c r="H42" s="27">
        <v>398500</v>
      </c>
      <c r="I42" s="79">
        <f>H42/'- 3 -'!$D42*100</f>
        <v>1.9779597213940741</v>
      </c>
      <c r="J42" s="27">
        <f>H42/'- 7 -'!$E42</f>
        <v>274.58140977055052</v>
      </c>
    </row>
    <row r="43" spans="1:10" ht="14.1" customHeight="1">
      <c r="A43" s="328" t="s">
        <v>266</v>
      </c>
      <c r="B43" s="329">
        <v>107770</v>
      </c>
      <c r="C43" s="335">
        <f>B43/'- 3 -'!$D43*100</f>
        <v>0.87347662337620235</v>
      </c>
      <c r="D43" s="329">
        <f>B43/'- 7 -'!$E43</f>
        <v>110.10420923579895</v>
      </c>
      <c r="E43" s="329">
        <v>139448</v>
      </c>
      <c r="F43" s="335">
        <f>E43/'- 3 -'!$D43*100</f>
        <v>1.1302270407030219</v>
      </c>
      <c r="G43" s="329">
        <f>E43/'- 7 -'!$E43</f>
        <v>142.46832856559053</v>
      </c>
      <c r="H43" s="329">
        <v>295734</v>
      </c>
      <c r="I43" s="335">
        <f>H43/'- 3 -'!$D43*100</f>
        <v>2.3969261922384506</v>
      </c>
      <c r="J43" s="329">
        <f>H43/'- 7 -'!$E43</f>
        <v>302.13935431140175</v>
      </c>
    </row>
    <row r="44" spans="1:10" ht="14.1" customHeight="1">
      <c r="A44" s="26" t="s">
        <v>267</v>
      </c>
      <c r="B44" s="27">
        <v>82351</v>
      </c>
      <c r="C44" s="79">
        <f>B44/'- 3 -'!$D44*100</f>
        <v>0.8007086988092289</v>
      </c>
      <c r="D44" s="27">
        <f>B44/'- 7 -'!$E44</f>
        <v>117.39272986457591</v>
      </c>
      <c r="E44" s="27">
        <v>49502</v>
      </c>
      <c r="F44" s="79">
        <f>E44/'- 3 -'!$D44*100</f>
        <v>0.48131391250202726</v>
      </c>
      <c r="G44" s="27">
        <f>E44/'- 7 -'!$E44</f>
        <v>70.565930149679261</v>
      </c>
      <c r="H44" s="27">
        <v>218715</v>
      </c>
      <c r="I44" s="79">
        <f>H44/'- 3 -'!$D44*100</f>
        <v>2.1265923068336816</v>
      </c>
      <c r="J44" s="27">
        <f>H44/'- 7 -'!$E44</f>
        <v>311.78189593727728</v>
      </c>
    </row>
    <row r="45" spans="1:10" ht="14.1" customHeight="1">
      <c r="A45" s="328" t="s">
        <v>268</v>
      </c>
      <c r="B45" s="329">
        <v>104276</v>
      </c>
      <c r="C45" s="335">
        <f>B45/'- 3 -'!$D45*100</f>
        <v>0.61767969212450102</v>
      </c>
      <c r="D45" s="329">
        <f>B45/'- 7 -'!$E45</f>
        <v>64.467387944358578</v>
      </c>
      <c r="E45" s="329">
        <v>158050</v>
      </c>
      <c r="F45" s="335">
        <f>E45/'- 3 -'!$D45*100</f>
        <v>0.93621039683414575</v>
      </c>
      <c r="G45" s="329">
        <f>E45/'- 7 -'!$E45</f>
        <v>97.712519319938181</v>
      </c>
      <c r="H45" s="329">
        <v>333065</v>
      </c>
      <c r="I45" s="335">
        <f>H45/'- 3 -'!$D45*100</f>
        <v>1.9729131023192963</v>
      </c>
      <c r="J45" s="329">
        <f>H45/'- 7 -'!$E45</f>
        <v>205.91344667697064</v>
      </c>
    </row>
    <row r="46" spans="1:10" ht="14.1" customHeight="1">
      <c r="A46" s="26" t="s">
        <v>269</v>
      </c>
      <c r="B46" s="27">
        <v>708659</v>
      </c>
      <c r="C46" s="79">
        <f>B46/'- 3 -'!$D46*100</f>
        <v>0.19903362754641424</v>
      </c>
      <c r="D46" s="27">
        <f>B46/'- 7 -'!$E46</f>
        <v>23.741942616689673</v>
      </c>
      <c r="E46" s="27">
        <v>1855595</v>
      </c>
      <c r="F46" s="79">
        <f>E46/'- 3 -'!$D46*100</f>
        <v>0.52116152353528078</v>
      </c>
      <c r="G46" s="27">
        <f>E46/'- 7 -'!$E46</f>
        <v>62.167318851261712</v>
      </c>
      <c r="H46" s="27">
        <v>5278945</v>
      </c>
      <c r="I46" s="79">
        <f>H46/'- 3 -'!$D46*100</f>
        <v>1.4826419659780032</v>
      </c>
      <c r="J46" s="27">
        <f>H46/'- 7 -'!$E46</f>
        <v>176.8585585827046</v>
      </c>
    </row>
    <row r="47" spans="1:10" ht="5.0999999999999996" customHeight="1">
      <c r="A47" s="28"/>
      <c r="B47" s="29"/>
      <c r="C47"/>
      <c r="D47" s="29"/>
      <c r="E47" s="29"/>
      <c r="F47"/>
      <c r="G47" s="29"/>
      <c r="H47"/>
      <c r="I47"/>
      <c r="J47"/>
    </row>
    <row r="48" spans="1:10" ht="14.1" customHeight="1">
      <c r="A48" s="330" t="s">
        <v>270</v>
      </c>
      <c r="B48" s="331">
        <f>SUM(B11:B46)</f>
        <v>8982406</v>
      </c>
      <c r="C48" s="338">
        <f>B48/'- 3 -'!$D48*100</f>
        <v>0.43444728079672601</v>
      </c>
      <c r="D48" s="331">
        <f>B48/'- 7 -'!$E48</f>
        <v>52.216202911925343</v>
      </c>
      <c r="E48" s="331">
        <f>SUM(E11:E46)</f>
        <v>19798182</v>
      </c>
      <c r="F48" s="338">
        <f>E48/'- 3 -'!$D48*100</f>
        <v>0.95756819883433075</v>
      </c>
      <c r="G48" s="331">
        <f>E48/'- 7 -'!$E48</f>
        <v>115.09008706567349</v>
      </c>
      <c r="H48" s="331">
        <f>SUM(H11:H46)</f>
        <v>34086892</v>
      </c>
      <c r="I48" s="338">
        <f>H48/'- 3 -'!$D48*100</f>
        <v>1.6486626790429726</v>
      </c>
      <c r="J48" s="331">
        <f>H48/'- 7 -'!$E48</f>
        <v>198.15270756063404</v>
      </c>
    </row>
    <row r="49" spans="1:10" ht="5.0999999999999996" customHeight="1">
      <c r="A49" s="28" t="s">
        <v>16</v>
      </c>
      <c r="B49" s="29"/>
      <c r="C49"/>
      <c r="D49" s="29"/>
      <c r="E49" s="29"/>
      <c r="F49"/>
      <c r="H49"/>
      <c r="I49"/>
      <c r="J49"/>
    </row>
    <row r="50" spans="1:10" ht="14.1" customHeight="1">
      <c r="A50" s="26" t="s">
        <v>271</v>
      </c>
      <c r="B50" s="27">
        <v>35106</v>
      </c>
      <c r="C50" s="79">
        <f>B50/'- 3 -'!$D50*100</f>
        <v>1.1026300928249582</v>
      </c>
      <c r="D50" s="27">
        <f>B50/'- 7 -'!$E50</f>
        <v>198.90084985835693</v>
      </c>
      <c r="E50" s="27">
        <v>87930</v>
      </c>
      <c r="F50" s="79">
        <f>E50/'- 3 -'!$D50*100</f>
        <v>2.7617576500341414</v>
      </c>
      <c r="G50" s="27">
        <f>E50/'- 7 -'!$E50</f>
        <v>498.18696883852692</v>
      </c>
      <c r="H50" s="27">
        <v>155278</v>
      </c>
      <c r="I50" s="79">
        <f>H50/'- 3 -'!$D50*100</f>
        <v>4.8770636231320523</v>
      </c>
      <c r="J50" s="27">
        <f>H50/'- 7 -'!$E50</f>
        <v>879.76203966005664</v>
      </c>
    </row>
    <row r="51" spans="1:10" ht="14.1" customHeight="1">
      <c r="A51" s="328" t="s">
        <v>272</v>
      </c>
      <c r="B51" s="329">
        <v>196579</v>
      </c>
      <c r="C51" s="335">
        <f>B51/'- 3 -'!$D51*100</f>
        <v>0.99841313568532986</v>
      </c>
      <c r="D51" s="329">
        <f>B51/'- 7 -'!$E51</f>
        <v>271.93111080370733</v>
      </c>
      <c r="E51" s="329">
        <v>128641</v>
      </c>
      <c r="F51" s="335">
        <f>E51/'- 3 -'!$D51*100</f>
        <v>0.65336004449964913</v>
      </c>
      <c r="G51" s="329">
        <f>E51/'- 7 -'!$E51</f>
        <v>177.95130723474892</v>
      </c>
      <c r="H51" s="329">
        <v>1281946</v>
      </c>
      <c r="I51" s="335">
        <f>H51/'- 3 -'!$D51*100</f>
        <v>6.5109280525349398</v>
      </c>
      <c r="J51" s="329">
        <f>H51/'- 7 -'!$E51</f>
        <v>1773.3379443906488</v>
      </c>
    </row>
    <row r="52" spans="1:10"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sheetPr codeName="Sheet22">
    <pageSetUpPr fitToPage="1"/>
  </sheetPr>
  <dimension ref="A1:E52"/>
  <sheetViews>
    <sheetView showGridLines="0" showZeros="0" workbookViewId="0"/>
  </sheetViews>
  <sheetFormatPr defaultColWidth="15.83203125" defaultRowHeight="12"/>
  <cols>
    <col min="1" max="1" width="35.83203125" style="1" customWidth="1"/>
    <col min="2" max="2" width="20.83203125" style="1" customWidth="1"/>
    <col min="3" max="4" width="15.83203125" style="1" customWidth="1"/>
    <col min="5" max="5" width="44.83203125" style="1" customWidth="1"/>
    <col min="6" max="16384" width="15.83203125" style="1"/>
  </cols>
  <sheetData>
    <row r="1" spans="1:5" ht="6.95" customHeight="1">
      <c r="A1" s="6"/>
      <c r="B1" s="7"/>
      <c r="C1" s="7"/>
      <c r="D1" s="7"/>
      <c r="E1" s="7"/>
    </row>
    <row r="2" spans="1:5" ht="15.95" customHeight="1">
      <c r="A2" s="152"/>
      <c r="B2" s="8" t="s">
        <v>478</v>
      </c>
      <c r="C2" s="9"/>
      <c r="D2" s="9"/>
      <c r="E2" s="487" t="s">
        <v>445</v>
      </c>
    </row>
    <row r="3" spans="1:5" ht="15.95" customHeight="1">
      <c r="A3" s="697"/>
      <c r="B3" s="10" t="str">
        <f>OPYEAR</f>
        <v>OPERATING FUND 2013/2014 ACTUAL</v>
      </c>
      <c r="C3" s="11"/>
      <c r="D3" s="11"/>
      <c r="E3" s="74"/>
    </row>
    <row r="4" spans="1:5" ht="15.95" customHeight="1">
      <c r="B4" s="7"/>
      <c r="C4" s="7"/>
      <c r="D4" s="7"/>
      <c r="E4" s="7"/>
    </row>
    <row r="5" spans="1:5" ht="15.95" customHeight="1">
      <c r="B5" s="185" t="s">
        <v>193</v>
      </c>
      <c r="C5" s="175"/>
      <c r="D5" s="177"/>
      <c r="E5" s="50"/>
    </row>
    <row r="6" spans="1:5" ht="15.95" customHeight="1">
      <c r="B6" s="355" t="s">
        <v>28</v>
      </c>
      <c r="C6" s="358"/>
      <c r="D6" s="356"/>
      <c r="E6" s="78"/>
    </row>
    <row r="7" spans="1:5" ht="15.95" customHeight="1">
      <c r="B7" s="342" t="s">
        <v>54</v>
      </c>
      <c r="C7" s="343"/>
      <c r="D7" s="344"/>
      <c r="E7" s="78"/>
    </row>
    <row r="8" spans="1:5" ht="15.95" customHeight="1">
      <c r="A8" s="75"/>
      <c r="B8" s="157"/>
      <c r="C8" s="77"/>
      <c r="D8" s="19" t="s">
        <v>73</v>
      </c>
      <c r="E8" s="78"/>
    </row>
    <row r="9" spans="1:5" ht="15.95" customHeight="1">
      <c r="A9" s="42" t="s">
        <v>93</v>
      </c>
      <c r="B9" s="87" t="s">
        <v>94</v>
      </c>
      <c r="C9" s="87" t="s">
        <v>95</v>
      </c>
      <c r="D9" s="87" t="s">
        <v>96</v>
      </c>
    </row>
    <row r="10" spans="1:5" ht="5.0999999999999996" customHeight="1">
      <c r="A10" s="5"/>
    </row>
    <row r="11" spans="1:5" ht="14.1" customHeight="1">
      <c r="A11" s="328" t="s">
        <v>235</v>
      </c>
      <c r="B11" s="329">
        <v>4536</v>
      </c>
      <c r="C11" s="335">
        <f>B11/'- 3 -'!$D11*100</f>
        <v>2.7225130764355749E-2</v>
      </c>
      <c r="D11" s="329">
        <f>B11/'- 7 -'!$E11</f>
        <v>3.0586648685097773</v>
      </c>
    </row>
    <row r="12" spans="1:5" ht="14.1" customHeight="1">
      <c r="A12" s="26" t="s">
        <v>236</v>
      </c>
      <c r="B12" s="27">
        <v>52319</v>
      </c>
      <c r="C12" s="79">
        <f>B12/'- 3 -'!$D12*100</f>
        <v>0.1757153045984956</v>
      </c>
      <c r="D12" s="27">
        <f>B12/'- 7 -'!$E12</f>
        <v>23.909606068915085</v>
      </c>
    </row>
    <row r="13" spans="1:5" ht="14.1" customHeight="1">
      <c r="A13" s="328" t="s">
        <v>237</v>
      </c>
      <c r="B13" s="329">
        <v>249273</v>
      </c>
      <c r="C13" s="335">
        <f>B13/'- 3 -'!$D13*100</f>
        <v>0.29721851317939041</v>
      </c>
      <c r="D13" s="329">
        <f>B13/'- 7 -'!$E13</f>
        <v>31.157177676395225</v>
      </c>
    </row>
    <row r="14" spans="1:5" ht="14.1" customHeight="1">
      <c r="A14" s="26" t="s">
        <v>636</v>
      </c>
      <c r="B14" s="27">
        <v>110675</v>
      </c>
      <c r="C14" s="79">
        <f>B14/'- 3 -'!$D14*100</f>
        <v>0.15159184864160349</v>
      </c>
      <c r="D14" s="27">
        <f>B14/'- 7 -'!$E14</f>
        <v>21.279561622764852</v>
      </c>
    </row>
    <row r="15" spans="1:5" ht="14.1" customHeight="1">
      <c r="A15" s="328" t="s">
        <v>238</v>
      </c>
      <c r="B15" s="329">
        <v>37893</v>
      </c>
      <c r="C15" s="335">
        <f>B15/'- 3 -'!$D15*100</f>
        <v>0.19970008886451054</v>
      </c>
      <c r="D15" s="329">
        <f>B15/'- 7 -'!$E15</f>
        <v>25.405967147167281</v>
      </c>
    </row>
    <row r="16" spans="1:5" ht="14.1" customHeight="1">
      <c r="A16" s="26" t="s">
        <v>239</v>
      </c>
      <c r="B16" s="27">
        <v>23895</v>
      </c>
      <c r="C16" s="79">
        <f>B16/'- 3 -'!$D16*100</f>
        <v>0.18331797947759246</v>
      </c>
      <c r="D16" s="27">
        <f>B16/'- 7 -'!$E16</f>
        <v>24.838877338877339</v>
      </c>
    </row>
    <row r="17" spans="1:4" ht="14.1" customHeight="1">
      <c r="A17" s="328" t="s">
        <v>240</v>
      </c>
      <c r="B17" s="329">
        <v>68464</v>
      </c>
      <c r="C17" s="335">
        <f>B17/'- 3 -'!$D17*100</f>
        <v>0.41734470042515343</v>
      </c>
      <c r="D17" s="329">
        <f>B17/'- 7 -'!$E17</f>
        <v>53.198352703497733</v>
      </c>
    </row>
    <row r="18" spans="1:4" ht="14.1" customHeight="1">
      <c r="A18" s="26" t="s">
        <v>241</v>
      </c>
      <c r="B18" s="27">
        <v>513495</v>
      </c>
      <c r="C18" s="79">
        <f>B18/'- 3 -'!$D18*100</f>
        <v>0.43218540909335368</v>
      </c>
      <c r="D18" s="27">
        <f>B18/'- 7 -'!$E18</f>
        <v>84.654126413663491</v>
      </c>
    </row>
    <row r="19" spans="1:4" ht="14.1" customHeight="1">
      <c r="A19" s="328" t="s">
        <v>242</v>
      </c>
      <c r="B19" s="329">
        <v>39157</v>
      </c>
      <c r="C19" s="335">
        <f>B19/'- 3 -'!$D19*100</f>
        <v>9.0430216611280451E-2</v>
      </c>
      <c r="D19" s="329">
        <f>B19/'- 7 -'!$E19</f>
        <v>9.3382142516455211</v>
      </c>
    </row>
    <row r="20" spans="1:4" ht="14.1" customHeight="1">
      <c r="A20" s="26" t="s">
        <v>243</v>
      </c>
      <c r="B20" s="27">
        <v>54712</v>
      </c>
      <c r="C20" s="79">
        <f>B20/'- 3 -'!$D20*100</f>
        <v>7.7438810148549128E-2</v>
      </c>
      <c r="D20" s="27">
        <f>B20/'- 7 -'!$E20</f>
        <v>7.4145548177259792</v>
      </c>
    </row>
    <row r="21" spans="1:4" ht="14.1" customHeight="1">
      <c r="A21" s="328" t="s">
        <v>244</v>
      </c>
      <c r="B21" s="329">
        <v>46476</v>
      </c>
      <c r="C21" s="335">
        <f>B21/'- 3 -'!$D21*100</f>
        <v>0.13415654656871162</v>
      </c>
      <c r="D21" s="329">
        <f>B21/'- 7 -'!$E21</f>
        <v>17.194228634850166</v>
      </c>
    </row>
    <row r="22" spans="1:4" ht="14.1" customHeight="1">
      <c r="A22" s="26" t="s">
        <v>245</v>
      </c>
      <c r="B22" s="27">
        <v>53093</v>
      </c>
      <c r="C22" s="79">
        <f>B22/'- 3 -'!$D22*100</f>
        <v>0.27552493902104236</v>
      </c>
      <c r="D22" s="27">
        <f>B22/'- 7 -'!$E22</f>
        <v>33.856013263614336</v>
      </c>
    </row>
    <row r="23" spans="1:4" ht="14.1" customHeight="1">
      <c r="A23" s="328" t="s">
        <v>246</v>
      </c>
      <c r="B23" s="329">
        <v>45703</v>
      </c>
      <c r="C23" s="335">
        <f>B23/'- 3 -'!$D23*100</f>
        <v>0.28156692489649088</v>
      </c>
      <c r="D23" s="329">
        <f>B23/'- 7 -'!$E23</f>
        <v>39.521791767554475</v>
      </c>
    </row>
    <row r="24" spans="1:4" ht="14.1" customHeight="1">
      <c r="A24" s="26" t="s">
        <v>247</v>
      </c>
      <c r="B24" s="27">
        <v>160077</v>
      </c>
      <c r="C24" s="79">
        <f>B24/'- 3 -'!$D24*100</f>
        <v>0.30647787826948408</v>
      </c>
      <c r="D24" s="27">
        <f>B24/'- 7 -'!$E24</f>
        <v>38.816896626979322</v>
      </c>
    </row>
    <row r="25" spans="1:4" ht="14.1" customHeight="1">
      <c r="A25" s="328" t="s">
        <v>248</v>
      </c>
      <c r="B25" s="329">
        <v>385091</v>
      </c>
      <c r="C25" s="335">
        <f>B25/'- 3 -'!$D25*100</f>
        <v>0.24988692692964831</v>
      </c>
      <c r="D25" s="329">
        <f>B25/'- 7 -'!$E25</f>
        <v>27.854683544303796</v>
      </c>
    </row>
    <row r="26" spans="1:4" ht="14.1" customHeight="1">
      <c r="A26" s="26" t="s">
        <v>249</v>
      </c>
      <c r="B26" s="27">
        <v>19143</v>
      </c>
      <c r="C26" s="79">
        <f>B26/'- 3 -'!$D26*100</f>
        <v>5.0912403299213094E-2</v>
      </c>
      <c r="D26" s="27">
        <f>B26/'- 7 -'!$E26</f>
        <v>6.1434531450577667</v>
      </c>
    </row>
    <row r="27" spans="1:4" ht="14.1" customHeight="1">
      <c r="A27" s="328" t="s">
        <v>250</v>
      </c>
      <c r="B27" s="329">
        <v>122073</v>
      </c>
      <c r="C27" s="335">
        <f>B27/'- 3 -'!$D27*100</f>
        <v>0.33176982909259362</v>
      </c>
      <c r="D27" s="329">
        <f>B27/'- 7 -'!$E27</f>
        <v>43.979176423965122</v>
      </c>
    </row>
    <row r="28" spans="1:4" ht="14.1" customHeight="1">
      <c r="A28" s="26" t="s">
        <v>251</v>
      </c>
      <c r="B28" s="27">
        <v>65831</v>
      </c>
      <c r="C28" s="79">
        <f>B28/'- 3 -'!$D28*100</f>
        <v>0.24388305720161874</v>
      </c>
      <c r="D28" s="27">
        <f>B28/'- 7 -'!$E28</f>
        <v>32.776201145133186</v>
      </c>
    </row>
    <row r="29" spans="1:4" ht="14.1" customHeight="1">
      <c r="A29" s="328" t="s">
        <v>252</v>
      </c>
      <c r="B29" s="329">
        <v>661971</v>
      </c>
      <c r="C29" s="335">
        <f>B29/'- 3 -'!$D29*100</f>
        <v>0.47022572526847245</v>
      </c>
      <c r="D29" s="329">
        <f>B29/'- 7 -'!$E29</f>
        <v>54.247912347267402</v>
      </c>
    </row>
    <row r="30" spans="1:4" ht="14.1" customHeight="1">
      <c r="A30" s="26" t="s">
        <v>253</v>
      </c>
      <c r="B30" s="27">
        <v>45152</v>
      </c>
      <c r="C30" s="79">
        <f>B30/'- 3 -'!$D30*100</f>
        <v>0.33563225670396668</v>
      </c>
      <c r="D30" s="27">
        <f>B30/'- 7 -'!$E30</f>
        <v>42.614719595296066</v>
      </c>
    </row>
    <row r="31" spans="1:4" ht="14.1" customHeight="1">
      <c r="A31" s="328" t="s">
        <v>254</v>
      </c>
      <c r="B31" s="329">
        <v>130968</v>
      </c>
      <c r="C31" s="335">
        <f>B31/'- 3 -'!$D31*100</f>
        <v>0.38851222670831115</v>
      </c>
      <c r="D31" s="329">
        <f>B31/'- 7 -'!$E31</f>
        <v>41.165487977369168</v>
      </c>
    </row>
    <row r="32" spans="1:4" ht="14.1" customHeight="1">
      <c r="A32" s="26" t="s">
        <v>255</v>
      </c>
      <c r="B32" s="27">
        <v>49663</v>
      </c>
      <c r="C32" s="79">
        <f>B32/'- 3 -'!$D32*100</f>
        <v>0.19081064420867047</v>
      </c>
      <c r="D32" s="27">
        <f>B32/'- 7 -'!$E32</f>
        <v>24.561325420375866</v>
      </c>
    </row>
    <row r="33" spans="1:5" ht="14.1" customHeight="1">
      <c r="A33" s="328" t="s">
        <v>256</v>
      </c>
      <c r="B33" s="329">
        <v>49699</v>
      </c>
      <c r="C33" s="335">
        <f>B33/'- 3 -'!$D33*100</f>
        <v>0.18983126411182258</v>
      </c>
      <c r="D33" s="329">
        <f>B33/'- 7 -'!$E33</f>
        <v>24.851985198519849</v>
      </c>
    </row>
    <row r="34" spans="1:5" ht="14.1" customHeight="1">
      <c r="A34" s="26" t="s">
        <v>257</v>
      </c>
      <c r="B34" s="27">
        <v>36710</v>
      </c>
      <c r="C34" s="79">
        <f>B34/'- 3 -'!$D34*100</f>
        <v>0.14553086834197765</v>
      </c>
      <c r="D34" s="27">
        <f>B34/'- 7 -'!$E34</f>
        <v>18.634517766497463</v>
      </c>
    </row>
    <row r="35" spans="1:5" ht="14.1" customHeight="1">
      <c r="A35" s="328" t="s">
        <v>258</v>
      </c>
      <c r="B35" s="329">
        <v>901907</v>
      </c>
      <c r="C35" s="335">
        <f>B35/'- 3 -'!$D35*100</f>
        <v>0.5264629150557133</v>
      </c>
      <c r="D35" s="329">
        <f>B35/'- 7 -'!$E35</f>
        <v>57.950139750056223</v>
      </c>
    </row>
    <row r="36" spans="1:5" ht="14.1" customHeight="1">
      <c r="A36" s="26" t="s">
        <v>259</v>
      </c>
      <c r="B36" s="27">
        <v>74899</v>
      </c>
      <c r="C36" s="79">
        <f>B36/'- 3 -'!$D36*100</f>
        <v>0.35010981628478322</v>
      </c>
      <c r="D36" s="27">
        <f>B36/'- 7 -'!$E36</f>
        <v>46.020890937019971</v>
      </c>
    </row>
    <row r="37" spans="1:5" ht="14.1" customHeight="1">
      <c r="A37" s="328" t="s">
        <v>260</v>
      </c>
      <c r="B37" s="329">
        <v>167862</v>
      </c>
      <c r="C37" s="335">
        <f>B37/'- 3 -'!$D37*100</f>
        <v>0.39620922968624006</v>
      </c>
      <c r="D37" s="329">
        <f>B37/'- 7 -'!$E37</f>
        <v>42.893062476044463</v>
      </c>
    </row>
    <row r="38" spans="1:5" ht="14.1" customHeight="1">
      <c r="A38" s="26" t="s">
        <v>261</v>
      </c>
      <c r="B38" s="27">
        <v>375855</v>
      </c>
      <c r="C38" s="79">
        <f>B38/'- 3 -'!$D38*100</f>
        <v>0.32674186216685924</v>
      </c>
      <c r="D38" s="27">
        <f>B38/'- 7 -'!$E38</f>
        <v>35.960791442622323</v>
      </c>
    </row>
    <row r="39" spans="1:5" ht="14.1" customHeight="1">
      <c r="A39" s="328" t="s">
        <v>262</v>
      </c>
      <c r="B39" s="329">
        <v>47613</v>
      </c>
      <c r="C39" s="335">
        <f>B39/'- 3 -'!$D39*100</f>
        <v>0.23517833875766977</v>
      </c>
      <c r="D39" s="329">
        <f>B39/'- 7 -'!$E39</f>
        <v>30.609450337512055</v>
      </c>
    </row>
    <row r="40" spans="1:5" ht="14.1" customHeight="1">
      <c r="A40" s="26" t="s">
        <v>263</v>
      </c>
      <c r="B40" s="27">
        <v>245466</v>
      </c>
      <c r="C40" s="79">
        <f>B40/'- 3 -'!$D40*100</f>
        <v>0.2579706635693288</v>
      </c>
      <c r="D40" s="27">
        <f>B40/'- 7 -'!$E40</f>
        <v>30.900908272645449</v>
      </c>
    </row>
    <row r="41" spans="1:5" ht="14.1" customHeight="1">
      <c r="A41" s="328" t="s">
        <v>264</v>
      </c>
      <c r="B41" s="329">
        <v>153238</v>
      </c>
      <c r="C41" s="335">
        <f>B41/'- 3 -'!$D41*100</f>
        <v>0.26146838081868584</v>
      </c>
      <c r="D41" s="329">
        <f>B41/'- 7 -'!$E41</f>
        <v>34.771499886544134</v>
      </c>
    </row>
    <row r="42" spans="1:5" ht="14.1" customHeight="1">
      <c r="A42" s="26" t="s">
        <v>265</v>
      </c>
      <c r="B42" s="27">
        <v>30759</v>
      </c>
      <c r="C42" s="79">
        <f>B42/'- 3 -'!$D42*100</f>
        <v>0.15267268022675112</v>
      </c>
      <c r="D42" s="27">
        <f>B42/'- 7 -'!$E42</f>
        <v>21.1941018397299</v>
      </c>
    </row>
    <row r="43" spans="1:5" ht="14.1" customHeight="1">
      <c r="A43" s="328" t="s">
        <v>266</v>
      </c>
      <c r="B43" s="329">
        <v>20315</v>
      </c>
      <c r="C43" s="335">
        <f>B43/'- 3 -'!$D43*100</f>
        <v>0.16465322078396169</v>
      </c>
      <c r="D43" s="329">
        <f>B43/'- 7 -'!$E43</f>
        <v>20.755006129955049</v>
      </c>
    </row>
    <row r="44" spans="1:5" ht="14.1" customHeight="1">
      <c r="A44" s="26" t="s">
        <v>267</v>
      </c>
      <c r="B44" s="27">
        <v>5774</v>
      </c>
      <c r="C44" s="79">
        <f>B44/'- 3 -'!$D44*100</f>
        <v>5.6141297943248861E-2</v>
      </c>
      <c r="D44" s="27">
        <f>B44/'- 7 -'!$E44</f>
        <v>8.2309337134711331</v>
      </c>
    </row>
    <row r="45" spans="1:5" ht="14.1" customHeight="1">
      <c r="A45" s="328" t="s">
        <v>268</v>
      </c>
      <c r="B45" s="329">
        <v>49441</v>
      </c>
      <c r="C45" s="335">
        <f>B45/'- 3 -'!$D45*100</f>
        <v>0.29286414571260361</v>
      </c>
      <c r="D45" s="329">
        <f>B45/'- 7 -'!$E45</f>
        <v>30.566306027820712</v>
      </c>
    </row>
    <row r="46" spans="1:5" ht="14.1" customHeight="1">
      <c r="A46" s="26" t="s">
        <v>269</v>
      </c>
      <c r="B46" s="27">
        <v>1286390</v>
      </c>
      <c r="C46" s="79">
        <f>B46/'- 3 -'!$D46*100</f>
        <v>0.36129487968039897</v>
      </c>
      <c r="D46" s="27">
        <f>B46/'- 7 -'!$E46</f>
        <v>43.097452459763339</v>
      </c>
    </row>
    <row r="47" spans="1:5" ht="5.0999999999999996" customHeight="1">
      <c r="A47" s="28"/>
      <c r="B47" s="29"/>
      <c r="C47"/>
      <c r="D47" s="29"/>
    </row>
    <row r="48" spans="1:5" ht="14.1" customHeight="1">
      <c r="A48" s="330" t="s">
        <v>270</v>
      </c>
      <c r="B48" s="331">
        <f>SUM(B11:B46)</f>
        <v>6385588</v>
      </c>
      <c r="C48" s="338">
        <f>B48/'- 3 -'!$D48*100</f>
        <v>0.30884835787741099</v>
      </c>
      <c r="D48" s="331">
        <f>B48/'- 7 -'!$E48</f>
        <v>37.120472924509926</v>
      </c>
      <c r="E48" s="5"/>
    </row>
    <row r="49" spans="1:4" ht="5.0999999999999996" customHeight="1">
      <c r="A49" s="28" t="s">
        <v>16</v>
      </c>
      <c r="B49" s="29"/>
      <c r="C49"/>
      <c r="D49" s="29"/>
    </row>
    <row r="50" spans="1:4" ht="14.1" customHeight="1">
      <c r="A50" s="26" t="s">
        <v>271</v>
      </c>
      <c r="B50" s="27">
        <v>4879</v>
      </c>
      <c r="C50" s="79">
        <f>B50/'- 3 -'!$D50*100</f>
        <v>0.15324252899484334</v>
      </c>
      <c r="D50" s="27">
        <f>B50/'- 7 -'!$E50</f>
        <v>27.643059490084987</v>
      </c>
    </row>
    <row r="51" spans="1:4" ht="14.1" customHeight="1">
      <c r="A51" s="328" t="s">
        <v>272</v>
      </c>
      <c r="B51" s="329">
        <v>626368</v>
      </c>
      <c r="C51" s="335">
        <f>B51/'- 3 -'!$D51*100</f>
        <v>3.1812860934939575</v>
      </c>
      <c r="D51" s="329">
        <f>B51/'- 7 -'!$E51</f>
        <v>866.46562456771335</v>
      </c>
    </row>
    <row r="52" spans="1:4"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sheetPr codeName="Sheet24">
    <pageSetUpPr fitToPage="1"/>
  </sheetPr>
  <dimension ref="A1:J52"/>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row>
    <row r="2" spans="1:10" ht="15.95" customHeight="1">
      <c r="A2" s="152"/>
      <c r="B2" s="8" t="s">
        <v>478</v>
      </c>
      <c r="C2" s="9"/>
      <c r="D2" s="9"/>
      <c r="E2" s="9"/>
      <c r="F2" s="9"/>
      <c r="G2" s="9"/>
      <c r="H2" s="82"/>
      <c r="I2" s="153"/>
      <c r="J2" s="487" t="s">
        <v>444</v>
      </c>
    </row>
    <row r="3" spans="1:10" ht="15.95" customHeight="1">
      <c r="A3" s="697"/>
      <c r="B3" s="10" t="str">
        <f>OPYEAR</f>
        <v>OPERATING FUND 2013/2014 ACTUAL</v>
      </c>
      <c r="C3" s="11"/>
      <c r="D3" s="11"/>
      <c r="E3" s="11"/>
      <c r="F3" s="11"/>
      <c r="G3" s="11"/>
      <c r="H3" s="84"/>
      <c r="I3" s="11"/>
      <c r="J3" s="11"/>
    </row>
    <row r="4" spans="1:10" ht="15.95" customHeight="1">
      <c r="B4" s="7"/>
      <c r="C4" s="7"/>
      <c r="D4" s="7"/>
      <c r="E4" s="7"/>
      <c r="F4" s="7"/>
      <c r="G4" s="7"/>
    </row>
    <row r="5" spans="1:10" ht="15.95" customHeight="1">
      <c r="B5" s="477" t="s">
        <v>431</v>
      </c>
      <c r="C5" s="187"/>
      <c r="D5" s="187"/>
      <c r="E5" s="187"/>
      <c r="F5" s="187"/>
      <c r="G5" s="187"/>
      <c r="H5" s="46"/>
      <c r="I5" s="46"/>
      <c r="J5" s="205"/>
    </row>
    <row r="6" spans="1:10" ht="15.95" customHeight="1">
      <c r="B6" s="355" t="s">
        <v>30</v>
      </c>
      <c r="C6" s="358"/>
      <c r="D6" s="356"/>
      <c r="E6" s="355" t="s">
        <v>30</v>
      </c>
      <c r="F6" s="358"/>
      <c r="G6" s="356"/>
      <c r="H6" s="355" t="s">
        <v>351</v>
      </c>
      <c r="I6" s="358"/>
      <c r="J6" s="356"/>
    </row>
    <row r="7" spans="1:10" ht="15.95" customHeight="1">
      <c r="B7" s="342" t="s">
        <v>364</v>
      </c>
      <c r="C7" s="343"/>
      <c r="D7" s="344"/>
      <c r="E7" s="342" t="s">
        <v>56</v>
      </c>
      <c r="F7" s="343"/>
      <c r="G7" s="344"/>
      <c r="H7" s="342" t="s">
        <v>274</v>
      </c>
      <c r="I7" s="343"/>
      <c r="J7" s="344"/>
    </row>
    <row r="8" spans="1:10" ht="15.95" customHeight="1">
      <c r="A8" s="75"/>
      <c r="B8" s="155"/>
      <c r="C8" s="156"/>
      <c r="D8" s="157" t="s">
        <v>73</v>
      </c>
      <c r="E8" s="155"/>
      <c r="F8" s="157"/>
      <c r="G8" s="157" t="s">
        <v>73</v>
      </c>
      <c r="H8" s="155"/>
      <c r="I8" s="157"/>
      <c r="J8" s="157" t="s">
        <v>73</v>
      </c>
    </row>
    <row r="9" spans="1:10" ht="15.95" customHeight="1">
      <c r="A9" s="42" t="s">
        <v>93</v>
      </c>
      <c r="B9" s="87" t="s">
        <v>94</v>
      </c>
      <c r="C9" s="87" t="s">
        <v>95</v>
      </c>
      <c r="D9" s="87" t="s">
        <v>96</v>
      </c>
      <c r="E9" s="87" t="s">
        <v>94</v>
      </c>
      <c r="F9" s="87" t="s">
        <v>95</v>
      </c>
      <c r="G9" s="87" t="s">
        <v>96</v>
      </c>
      <c r="H9" s="87" t="s">
        <v>94</v>
      </c>
      <c r="I9" s="87" t="s">
        <v>95</v>
      </c>
      <c r="J9" s="87" t="s">
        <v>96</v>
      </c>
    </row>
    <row r="10" spans="1:10" ht="5.0999999999999996" customHeight="1">
      <c r="A10" s="5"/>
    </row>
    <row r="11" spans="1:10" ht="14.1" customHeight="1">
      <c r="A11" s="328" t="s">
        <v>235</v>
      </c>
      <c r="B11" s="329">
        <v>0</v>
      </c>
      <c r="C11" s="335">
        <f>B11/'- 3 -'!$D11*100</f>
        <v>0</v>
      </c>
      <c r="D11" s="329">
        <f>B11/'- 7 -'!$E11</f>
        <v>0</v>
      </c>
      <c r="E11" s="329">
        <v>0</v>
      </c>
      <c r="F11" s="335">
        <f>E11/'- 3 -'!$D11*100</f>
        <v>0</v>
      </c>
      <c r="G11" s="329">
        <f>E11/'- 7 -'!$E11</f>
        <v>0</v>
      </c>
      <c r="H11" s="329">
        <v>210249</v>
      </c>
      <c r="I11" s="335">
        <f>H11/'- 3 -'!$D11*100</f>
        <v>1.2619172217978465</v>
      </c>
      <c r="J11" s="329">
        <f>H11/'- 7 -'!$E11</f>
        <v>141.77275792312878</v>
      </c>
    </row>
    <row r="12" spans="1:10" ht="14.1" customHeight="1">
      <c r="A12" s="26" t="s">
        <v>236</v>
      </c>
      <c r="B12" s="27">
        <v>0</v>
      </c>
      <c r="C12" s="79">
        <f>B12/'- 3 -'!$D12*100</f>
        <v>0</v>
      </c>
      <c r="D12" s="27">
        <f>B12/'- 7 -'!$E12</f>
        <v>0</v>
      </c>
      <c r="E12" s="27">
        <v>0</v>
      </c>
      <c r="F12" s="79">
        <f>E12/'- 3 -'!$D12*100</f>
        <v>0</v>
      </c>
      <c r="G12" s="27">
        <f>E12/'- 7 -'!$E12</f>
        <v>0</v>
      </c>
      <c r="H12" s="27">
        <v>235008</v>
      </c>
      <c r="I12" s="79">
        <f>H12/'- 3 -'!$D12*100</f>
        <v>0.78928309606611857</v>
      </c>
      <c r="J12" s="27">
        <f>H12/'- 7 -'!$E12</f>
        <v>107.3978612558267</v>
      </c>
    </row>
    <row r="13" spans="1:10" ht="14.1" customHeight="1">
      <c r="A13" s="328" t="s">
        <v>237</v>
      </c>
      <c r="B13" s="329">
        <v>0</v>
      </c>
      <c r="C13" s="335">
        <f>B13/'- 3 -'!$D13*100</f>
        <v>0</v>
      </c>
      <c r="D13" s="329">
        <f>B13/'- 7 -'!$E13</f>
        <v>0</v>
      </c>
      <c r="E13" s="329">
        <v>350359</v>
      </c>
      <c r="F13" s="335">
        <f>E13/'- 3 -'!$D13*100</f>
        <v>0.41774753406513371</v>
      </c>
      <c r="G13" s="329">
        <f>E13/'- 7 -'!$E13</f>
        <v>43.79213799137554</v>
      </c>
      <c r="H13" s="329">
        <v>959447</v>
      </c>
      <c r="I13" s="335">
        <f>H13/'- 3 -'!$D13*100</f>
        <v>1.1439883614126947</v>
      </c>
      <c r="J13" s="329">
        <f>H13/'- 7 -'!$E13</f>
        <v>119.9233797887632</v>
      </c>
    </row>
    <row r="14" spans="1:10" ht="14.1" customHeight="1">
      <c r="A14" s="26" t="s">
        <v>636</v>
      </c>
      <c r="B14" s="27">
        <v>165380</v>
      </c>
      <c r="C14" s="79">
        <f>B14/'- 3 -'!$D14*100</f>
        <v>0.22652143599140173</v>
      </c>
      <c r="D14" s="27">
        <f>B14/'- 7 -'!$E14</f>
        <v>31.797731205537396</v>
      </c>
      <c r="E14" s="27">
        <v>1051638</v>
      </c>
      <c r="F14" s="79">
        <f>E14/'- 3 -'!$D14*100</f>
        <v>1.4404314300588084</v>
      </c>
      <c r="G14" s="27">
        <f>E14/'- 7 -'!$E14</f>
        <v>202.1991924629879</v>
      </c>
      <c r="H14" s="27">
        <v>726953</v>
      </c>
      <c r="I14" s="79">
        <f>H14/'- 3 -'!$D14*100</f>
        <v>0.99570950210580156</v>
      </c>
      <c r="J14" s="27">
        <f>H14/'- 7 -'!$E14</f>
        <v>139.77177465871947</v>
      </c>
    </row>
    <row r="15" spans="1:10" ht="14.1" customHeight="1">
      <c r="A15" s="328" t="s">
        <v>238</v>
      </c>
      <c r="B15" s="329">
        <v>0</v>
      </c>
      <c r="C15" s="335">
        <f>B15/'- 3 -'!$D15*100</f>
        <v>0</v>
      </c>
      <c r="D15" s="329">
        <f>B15/'- 7 -'!$E15</f>
        <v>0</v>
      </c>
      <c r="E15" s="329">
        <v>128464</v>
      </c>
      <c r="F15" s="335">
        <f>E15/'- 3 -'!$D15*100</f>
        <v>0.67701876905735847</v>
      </c>
      <c r="G15" s="329">
        <f>E15/'- 7 -'!$E15</f>
        <v>86.130740864901099</v>
      </c>
      <c r="H15" s="329">
        <v>204530</v>
      </c>
      <c r="I15" s="335">
        <f>H15/'- 3 -'!$D15*100</f>
        <v>1.077894576187115</v>
      </c>
      <c r="J15" s="329">
        <f>H15/'- 7 -'!$E15</f>
        <v>137.13040563191419</v>
      </c>
    </row>
    <row r="16" spans="1:10" ht="14.1" customHeight="1">
      <c r="A16" s="26" t="s">
        <v>239</v>
      </c>
      <c r="B16" s="27">
        <v>0</v>
      </c>
      <c r="C16" s="79">
        <f>B16/'- 3 -'!$D16*100</f>
        <v>0</v>
      </c>
      <c r="D16" s="27">
        <f>B16/'- 7 -'!$E16</f>
        <v>0</v>
      </c>
      <c r="E16" s="27">
        <v>0</v>
      </c>
      <c r="F16" s="79">
        <f>E16/'- 3 -'!$D16*100</f>
        <v>0</v>
      </c>
      <c r="G16" s="27">
        <f>E16/'- 7 -'!$E16</f>
        <v>0</v>
      </c>
      <c r="H16" s="27">
        <v>161480</v>
      </c>
      <c r="I16" s="79">
        <f>H16/'- 3 -'!$D16*100</f>
        <v>1.238844416239449</v>
      </c>
      <c r="J16" s="27">
        <f>H16/'- 7 -'!$E16</f>
        <v>167.85862785862787</v>
      </c>
    </row>
    <row r="17" spans="1:10" ht="14.1" customHeight="1">
      <c r="A17" s="328" t="s">
        <v>240</v>
      </c>
      <c r="B17" s="329">
        <v>0</v>
      </c>
      <c r="C17" s="335">
        <f>B17/'- 3 -'!$D17*100</f>
        <v>0</v>
      </c>
      <c r="D17" s="329">
        <f>B17/'- 7 -'!$E17</f>
        <v>0</v>
      </c>
      <c r="E17" s="329">
        <v>105615</v>
      </c>
      <c r="F17" s="335">
        <f>E17/'- 3 -'!$D17*100</f>
        <v>0.6438107696804537</v>
      </c>
      <c r="G17" s="329">
        <f>E17/'- 7 -'!$E17</f>
        <v>82.065669852475949</v>
      </c>
      <c r="H17" s="329">
        <v>185560</v>
      </c>
      <c r="I17" s="335">
        <f>H17/'- 3 -'!$D17*100</f>
        <v>1.1311416600095154</v>
      </c>
      <c r="J17" s="329">
        <f>H17/'- 7 -'!$E17</f>
        <v>144.18506554774828</v>
      </c>
    </row>
    <row r="18" spans="1:10" ht="14.1" customHeight="1">
      <c r="A18" s="26" t="s">
        <v>241</v>
      </c>
      <c r="B18" s="27">
        <v>0</v>
      </c>
      <c r="C18" s="79">
        <f>B18/'- 3 -'!$D18*100</f>
        <v>0</v>
      </c>
      <c r="D18" s="27">
        <f>B18/'- 7 -'!$E18</f>
        <v>0</v>
      </c>
      <c r="E18" s="27">
        <v>2197695</v>
      </c>
      <c r="F18" s="79">
        <f>E18/'- 3 -'!$D18*100</f>
        <v>1.8497000216894381</v>
      </c>
      <c r="G18" s="27">
        <f>E18/'- 7 -'!$E18</f>
        <v>362.30917603613705</v>
      </c>
      <c r="H18" s="27">
        <v>1888705</v>
      </c>
      <c r="I18" s="79">
        <f>H18/'- 3 -'!$D18*100</f>
        <v>1.5896371787099437</v>
      </c>
      <c r="J18" s="27">
        <f>H18/'- 7 -'!$E18</f>
        <v>311.36948135447921</v>
      </c>
    </row>
    <row r="19" spans="1:10" ht="14.1" customHeight="1">
      <c r="A19" s="328" t="s">
        <v>242</v>
      </c>
      <c r="B19" s="329">
        <v>0</v>
      </c>
      <c r="C19" s="335">
        <f>B19/'- 3 -'!$D19*100</f>
        <v>0</v>
      </c>
      <c r="D19" s="329">
        <f>B19/'- 7 -'!$E19</f>
        <v>0</v>
      </c>
      <c r="E19" s="329">
        <v>199008</v>
      </c>
      <c r="F19" s="335">
        <f>E19/'- 3 -'!$D19*100</f>
        <v>0.45959436492524197</v>
      </c>
      <c r="G19" s="329">
        <f>E19/'- 7 -'!$E19</f>
        <v>47.459696651721835</v>
      </c>
      <c r="H19" s="329">
        <v>637573</v>
      </c>
      <c r="I19" s="335">
        <f>H19/'- 3 -'!$D19*100</f>
        <v>1.4724280331870141</v>
      </c>
      <c r="J19" s="329">
        <f>H19/'- 7 -'!$E19</f>
        <v>152.04927024706669</v>
      </c>
    </row>
    <row r="20" spans="1:10" ht="14.1" customHeight="1">
      <c r="A20" s="26" t="s">
        <v>243</v>
      </c>
      <c r="B20" s="27">
        <v>0</v>
      </c>
      <c r="C20" s="79">
        <f>B20/'- 3 -'!$D20*100</f>
        <v>0</v>
      </c>
      <c r="D20" s="27">
        <f>B20/'- 7 -'!$E20</f>
        <v>0</v>
      </c>
      <c r="E20" s="27">
        <v>451849</v>
      </c>
      <c r="F20" s="79">
        <f>E20/'- 3 -'!$D20*100</f>
        <v>0.63954249391014362</v>
      </c>
      <c r="G20" s="27">
        <f>E20/'- 7 -'!$E20</f>
        <v>61.23444911234585</v>
      </c>
      <c r="H20" s="27">
        <v>785709</v>
      </c>
      <c r="I20" s="79">
        <f>H20/'- 3 -'!$D20*100</f>
        <v>1.112084553352215</v>
      </c>
      <c r="J20" s="27">
        <f>H20/'- 7 -'!$E20</f>
        <v>106.47906220355061</v>
      </c>
    </row>
    <row r="21" spans="1:10" ht="14.1" customHeight="1">
      <c r="A21" s="328" t="s">
        <v>244</v>
      </c>
      <c r="B21" s="329">
        <v>0</v>
      </c>
      <c r="C21" s="335">
        <f>B21/'- 3 -'!$D21*100</f>
        <v>0</v>
      </c>
      <c r="D21" s="329">
        <f>B21/'- 7 -'!$E21</f>
        <v>0</v>
      </c>
      <c r="E21" s="329">
        <v>94687</v>
      </c>
      <c r="F21" s="335">
        <f>E21/'- 3 -'!$D21*100</f>
        <v>0.27332130400532745</v>
      </c>
      <c r="G21" s="329">
        <f>E21/'- 7 -'!$E21</f>
        <v>35.030336662967073</v>
      </c>
      <c r="H21" s="329">
        <v>524642</v>
      </c>
      <c r="I21" s="335">
        <f>H21/'- 3 -'!$D21*100</f>
        <v>1.5144194617631037</v>
      </c>
      <c r="J21" s="329">
        <f>H21/'- 7 -'!$E21</f>
        <v>194.09618941916389</v>
      </c>
    </row>
    <row r="22" spans="1:10" ht="14.1" customHeight="1">
      <c r="A22" s="26" t="s">
        <v>245</v>
      </c>
      <c r="B22" s="27">
        <v>20232</v>
      </c>
      <c r="C22" s="79">
        <f>B22/'- 3 -'!$D22*100</f>
        <v>0.10499351263393913</v>
      </c>
      <c r="D22" s="27">
        <f>B22/'- 7 -'!$E22</f>
        <v>12.901415635760744</v>
      </c>
      <c r="E22" s="27">
        <v>66846</v>
      </c>
      <c r="F22" s="79">
        <f>E22/'- 3 -'!$D22*100</f>
        <v>0.34689582569831429</v>
      </c>
      <c r="G22" s="27">
        <f>E22/'- 7 -'!$E22</f>
        <v>42.625940568804999</v>
      </c>
      <c r="H22" s="27">
        <v>190746</v>
      </c>
      <c r="I22" s="79">
        <f>H22/'- 3 -'!$D22*100</f>
        <v>0.98987211154969112</v>
      </c>
      <c r="J22" s="27">
        <f>H22/'- 7 -'!$E22</f>
        <v>121.63372018875143</v>
      </c>
    </row>
    <row r="23" spans="1:10" ht="14.1" customHeight="1">
      <c r="A23" s="328" t="s">
        <v>246</v>
      </c>
      <c r="B23" s="329">
        <v>0</v>
      </c>
      <c r="C23" s="335">
        <f>B23/'- 3 -'!$D23*100</f>
        <v>0</v>
      </c>
      <c r="D23" s="329">
        <f>B23/'- 7 -'!$E23</f>
        <v>0</v>
      </c>
      <c r="E23" s="329">
        <v>0</v>
      </c>
      <c r="F23" s="335">
        <f>E23/'- 3 -'!$D23*100</f>
        <v>0</v>
      </c>
      <c r="G23" s="329">
        <f>E23/'- 7 -'!$E23</f>
        <v>0</v>
      </c>
      <c r="H23" s="329">
        <v>185059</v>
      </c>
      <c r="I23" s="335">
        <f>H23/'- 3 -'!$D23*100</f>
        <v>1.1401110114088726</v>
      </c>
      <c r="J23" s="329">
        <f>H23/'- 7 -'!$E23</f>
        <v>160.03026634382564</v>
      </c>
    </row>
    <row r="24" spans="1:10" ht="14.1" customHeight="1">
      <c r="A24" s="26" t="s">
        <v>247</v>
      </c>
      <c r="B24" s="27">
        <v>0</v>
      </c>
      <c r="C24" s="79">
        <f>B24/'- 3 -'!$D24*100</f>
        <v>0</v>
      </c>
      <c r="D24" s="27">
        <f>B24/'- 7 -'!$E24</f>
        <v>0</v>
      </c>
      <c r="E24" s="27">
        <v>101226</v>
      </c>
      <c r="F24" s="79">
        <f>E24/'- 3 -'!$D24*100</f>
        <v>0.19380379258548572</v>
      </c>
      <c r="G24" s="27">
        <f>E24/'- 7 -'!$E24</f>
        <v>24.546182012172945</v>
      </c>
      <c r="H24" s="27">
        <v>686135</v>
      </c>
      <c r="I24" s="79">
        <f>H24/'- 3 -'!$D24*100</f>
        <v>1.3136502995835284</v>
      </c>
      <c r="J24" s="27">
        <f>H24/'- 7 -'!$E24</f>
        <v>166.38012560925338</v>
      </c>
    </row>
    <row r="25" spans="1:10" ht="14.1" customHeight="1">
      <c r="A25" s="328" t="s">
        <v>248</v>
      </c>
      <c r="B25" s="329">
        <v>0</v>
      </c>
      <c r="C25" s="335">
        <f>B25/'- 3 -'!$D25*100</f>
        <v>0</v>
      </c>
      <c r="D25" s="329">
        <f>B25/'- 7 -'!$E25</f>
        <v>0</v>
      </c>
      <c r="E25" s="329">
        <v>1681512</v>
      </c>
      <c r="F25" s="335">
        <f>E25/'- 3 -'!$D25*100</f>
        <v>1.0911391496434006</v>
      </c>
      <c r="G25" s="329">
        <f>E25/'- 7 -'!$E25</f>
        <v>121.62835443037974</v>
      </c>
      <c r="H25" s="329">
        <v>3435754</v>
      </c>
      <c r="I25" s="335">
        <f>H25/'- 3 -'!$D25*100</f>
        <v>2.2294730563587484</v>
      </c>
      <c r="J25" s="329">
        <f>H25/'- 7 -'!$E25</f>
        <v>248.51746835443038</v>
      </c>
    </row>
    <row r="26" spans="1:10" ht="14.1" customHeight="1">
      <c r="A26" s="26" t="s">
        <v>249</v>
      </c>
      <c r="B26" s="27">
        <v>14992</v>
      </c>
      <c r="C26" s="79">
        <f>B26/'- 3 -'!$D26*100</f>
        <v>3.9872472980295809E-2</v>
      </c>
      <c r="D26" s="27">
        <f>B26/'- 7 -'!$E26</f>
        <v>4.8112965340179716</v>
      </c>
      <c r="E26" s="27">
        <v>216086</v>
      </c>
      <c r="F26" s="79">
        <f>E26/'- 3 -'!$D26*100</f>
        <v>0.57469871907818848</v>
      </c>
      <c r="G26" s="27">
        <f>E26/'- 7 -'!$E26</f>
        <v>69.347240051347882</v>
      </c>
      <c r="H26" s="27">
        <v>473864</v>
      </c>
      <c r="I26" s="79">
        <f>H26/'- 3 -'!$D26*100</f>
        <v>1.2602807855079305</v>
      </c>
      <c r="J26" s="27">
        <f>H26/'- 7 -'!$E26</f>
        <v>152.07445442875482</v>
      </c>
    </row>
    <row r="27" spans="1:10" ht="14.1" customHeight="1">
      <c r="A27" s="328" t="s">
        <v>250</v>
      </c>
      <c r="B27" s="329">
        <v>0</v>
      </c>
      <c r="C27" s="335">
        <f>B27/'- 3 -'!$D27*100</f>
        <v>0</v>
      </c>
      <c r="D27" s="329">
        <f>B27/'- 7 -'!$E27</f>
        <v>0</v>
      </c>
      <c r="E27" s="329">
        <v>653500</v>
      </c>
      <c r="F27" s="335">
        <f>E27/'- 3 -'!$D27*100</f>
        <v>1.7760813882841409</v>
      </c>
      <c r="G27" s="329">
        <f>E27/'- 7 -'!$E27</f>
        <v>235.43610620744315</v>
      </c>
      <c r="H27" s="329">
        <v>935934</v>
      </c>
      <c r="I27" s="335">
        <f>H27/'- 3 -'!$D27*100</f>
        <v>2.5436801194526844</v>
      </c>
      <c r="J27" s="329">
        <f>H27/'- 7 -'!$E27</f>
        <v>337.18845696581042</v>
      </c>
    </row>
    <row r="28" spans="1:10" ht="14.1" customHeight="1">
      <c r="A28" s="26" t="s">
        <v>251</v>
      </c>
      <c r="B28" s="27">
        <v>0</v>
      </c>
      <c r="C28" s="79">
        <f>B28/'- 3 -'!$D28*100</f>
        <v>0</v>
      </c>
      <c r="D28" s="27">
        <f>B28/'- 7 -'!$E28</f>
        <v>0</v>
      </c>
      <c r="E28" s="27">
        <v>138706</v>
      </c>
      <c r="F28" s="79">
        <f>E28/'- 3 -'!$D28*100</f>
        <v>0.51386190901258877</v>
      </c>
      <c r="G28" s="27">
        <f>E28/'- 7 -'!$E28</f>
        <v>69.059497137167043</v>
      </c>
      <c r="H28" s="27">
        <v>256784</v>
      </c>
      <c r="I28" s="79">
        <f>H28/'- 3 -'!$D28*100</f>
        <v>0.95130359496985395</v>
      </c>
      <c r="J28" s="27">
        <f>H28/'- 7 -'!$E28</f>
        <v>127.848643266119</v>
      </c>
    </row>
    <row r="29" spans="1:10" ht="14.1" customHeight="1">
      <c r="A29" s="328" t="s">
        <v>252</v>
      </c>
      <c r="B29" s="329">
        <v>321421</v>
      </c>
      <c r="C29" s="335">
        <f>B29/'- 3 -'!$D29*100</f>
        <v>0.22831879771397492</v>
      </c>
      <c r="D29" s="329">
        <f>B29/'- 7 -'!$E29</f>
        <v>26.340154228162618</v>
      </c>
      <c r="E29" s="329">
        <v>558493</v>
      </c>
      <c r="F29" s="335">
        <f>E29/'- 3 -'!$D29*100</f>
        <v>0.39672096811244756</v>
      </c>
      <c r="G29" s="329">
        <f>E29/'- 7 -'!$E29</f>
        <v>45.767985773640255</v>
      </c>
      <c r="H29" s="329">
        <v>3266955</v>
      </c>
      <c r="I29" s="335">
        <f>H29/'- 3 -'!$D29*100</f>
        <v>2.3206549596499886</v>
      </c>
      <c r="J29" s="329">
        <f>H29/'- 7 -'!$E29</f>
        <v>267.72394633974449</v>
      </c>
    </row>
    <row r="30" spans="1:10" ht="14.1" customHeight="1">
      <c r="A30" s="26" t="s">
        <v>253</v>
      </c>
      <c r="B30" s="27">
        <v>0</v>
      </c>
      <c r="C30" s="79">
        <f>B30/'- 3 -'!$D30*100</f>
        <v>0</v>
      </c>
      <c r="D30" s="27">
        <f>B30/'- 7 -'!$E30</f>
        <v>0</v>
      </c>
      <c r="E30" s="27">
        <v>0</v>
      </c>
      <c r="F30" s="79">
        <f>E30/'- 3 -'!$D30*100</f>
        <v>0</v>
      </c>
      <c r="G30" s="27">
        <f>E30/'- 7 -'!$E30</f>
        <v>0</v>
      </c>
      <c r="H30" s="27">
        <v>366604</v>
      </c>
      <c r="I30" s="79">
        <f>H30/'- 3 -'!$D30*100</f>
        <v>2.7251091388355109</v>
      </c>
      <c r="J30" s="27">
        <f>H30/'- 7 -'!$E30</f>
        <v>346.0029824263359</v>
      </c>
    </row>
    <row r="31" spans="1:10" ht="14.1" customHeight="1">
      <c r="A31" s="328" t="s">
        <v>254</v>
      </c>
      <c r="B31" s="329">
        <v>0</v>
      </c>
      <c r="C31" s="335">
        <f>B31/'- 3 -'!$D31*100</f>
        <v>0</v>
      </c>
      <c r="D31" s="329">
        <f>B31/'- 7 -'!$E31</f>
        <v>0</v>
      </c>
      <c r="E31" s="329">
        <v>84995</v>
      </c>
      <c r="F31" s="335">
        <f>E31/'- 3 -'!$D31*100</f>
        <v>0.25213484751292609</v>
      </c>
      <c r="G31" s="329">
        <f>E31/'- 7 -'!$E31</f>
        <v>26.715385824296714</v>
      </c>
      <c r="H31" s="329">
        <v>462445</v>
      </c>
      <c r="I31" s="335">
        <f>H31/'- 3 -'!$D31*100</f>
        <v>1.3718277493748467</v>
      </c>
      <c r="J31" s="329">
        <f>H31/'- 7 -'!$E31</f>
        <v>145.35439258211537</v>
      </c>
    </row>
    <row r="32" spans="1:10" ht="14.1" customHeight="1">
      <c r="A32" s="26" t="s">
        <v>255</v>
      </c>
      <c r="B32" s="27">
        <v>0</v>
      </c>
      <c r="C32" s="79">
        <f>B32/'- 3 -'!$D32*100</f>
        <v>0</v>
      </c>
      <c r="D32" s="27">
        <f>B32/'- 7 -'!$E32</f>
        <v>0</v>
      </c>
      <c r="E32" s="27">
        <v>43707</v>
      </c>
      <c r="F32" s="79">
        <f>E32/'- 3 -'!$D32*100</f>
        <v>0.16792704481059056</v>
      </c>
      <c r="G32" s="27">
        <f>E32/'- 7 -'!$E32</f>
        <v>21.615727002967358</v>
      </c>
      <c r="H32" s="27">
        <v>316210</v>
      </c>
      <c r="I32" s="79">
        <f>H32/'- 3 -'!$D32*100</f>
        <v>1.214913191011894</v>
      </c>
      <c r="J32" s="27">
        <f>H32/'- 7 -'!$E32</f>
        <v>156.38476755687438</v>
      </c>
    </row>
    <row r="33" spans="1:10" ht="14.1" customHeight="1">
      <c r="A33" s="328" t="s">
        <v>256</v>
      </c>
      <c r="B33" s="329">
        <v>0</v>
      </c>
      <c r="C33" s="335">
        <f>B33/'- 3 -'!$D33*100</f>
        <v>0</v>
      </c>
      <c r="D33" s="329">
        <f>B33/'- 7 -'!$E33</f>
        <v>0</v>
      </c>
      <c r="E33" s="329">
        <v>91259</v>
      </c>
      <c r="F33" s="335">
        <f>E33/'- 3 -'!$D33*100</f>
        <v>0.34857464600053956</v>
      </c>
      <c r="G33" s="329">
        <f>E33/'- 7 -'!$E33</f>
        <v>45.63406340634063</v>
      </c>
      <c r="H33" s="329">
        <v>351049</v>
      </c>
      <c r="I33" s="335">
        <f>H33/'- 3 -'!$D33*100</f>
        <v>1.3408735675806596</v>
      </c>
      <c r="J33" s="329">
        <f>H33/'- 7 -'!$E33</f>
        <v>175.54205420542053</v>
      </c>
    </row>
    <row r="34" spans="1:10" ht="14.1" customHeight="1">
      <c r="A34" s="26" t="s">
        <v>257</v>
      </c>
      <c r="B34" s="27">
        <v>6829</v>
      </c>
      <c r="C34" s="79">
        <f>B34/'- 3 -'!$D34*100</f>
        <v>2.7072467989849233E-2</v>
      </c>
      <c r="D34" s="27">
        <f>B34/'- 7 -'!$E34</f>
        <v>3.4664974619289342</v>
      </c>
      <c r="E34" s="27">
        <v>91731</v>
      </c>
      <c r="F34" s="79">
        <f>E34/'- 3 -'!$D34*100</f>
        <v>0.36365273995853858</v>
      </c>
      <c r="G34" s="27">
        <f>E34/'- 7 -'!$E34</f>
        <v>46.563959390862941</v>
      </c>
      <c r="H34" s="27">
        <v>222981</v>
      </c>
      <c r="I34" s="79">
        <f>H34/'- 3 -'!$D34*100</f>
        <v>0.88397217525912597</v>
      </c>
      <c r="J34" s="27">
        <f>H34/'- 7 -'!$E34</f>
        <v>113.18832487309645</v>
      </c>
    </row>
    <row r="35" spans="1:10" ht="14.1" customHeight="1">
      <c r="A35" s="328" t="s">
        <v>258</v>
      </c>
      <c r="B35" s="329">
        <v>358612</v>
      </c>
      <c r="C35" s="335">
        <f>B35/'- 3 -'!$D35*100</f>
        <v>0.20932969684674743</v>
      </c>
      <c r="D35" s="329">
        <f>B35/'- 7 -'!$E35</f>
        <v>23.041860763966973</v>
      </c>
      <c r="E35" s="329">
        <v>608492</v>
      </c>
      <c r="F35" s="335">
        <f>E35/'- 3 -'!$D35*100</f>
        <v>0.3551901383491658</v>
      </c>
      <c r="G35" s="329">
        <f>E35/'- 7 -'!$E35</f>
        <v>39.097375269059015</v>
      </c>
      <c r="H35" s="329">
        <v>3803556</v>
      </c>
      <c r="I35" s="335">
        <f>H35/'- 3 -'!$D35*100</f>
        <v>2.2202191349414613</v>
      </c>
      <c r="J35" s="329">
        <f>H35/'- 7 -'!$E35</f>
        <v>244.38950107623606</v>
      </c>
    </row>
    <row r="36" spans="1:10" ht="14.1" customHeight="1">
      <c r="A36" s="26" t="s">
        <v>259</v>
      </c>
      <c r="B36" s="27">
        <v>31483</v>
      </c>
      <c r="C36" s="79">
        <f>B36/'- 3 -'!$D36*100</f>
        <v>0.14716494674286479</v>
      </c>
      <c r="D36" s="27">
        <f>B36/'- 7 -'!$E36</f>
        <v>19.344393241167435</v>
      </c>
      <c r="E36" s="27">
        <v>193914</v>
      </c>
      <c r="F36" s="79">
        <f>E36/'- 3 -'!$D36*100</f>
        <v>0.90643660015550886</v>
      </c>
      <c r="G36" s="27">
        <f>E36/'- 7 -'!$E36</f>
        <v>119.14838709677419</v>
      </c>
      <c r="H36" s="27">
        <v>258230</v>
      </c>
      <c r="I36" s="79">
        <f>H36/'- 3 -'!$D36*100</f>
        <v>1.2070769684404272</v>
      </c>
      <c r="J36" s="27">
        <f>H36/'- 7 -'!$E36</f>
        <v>158.66666666666666</v>
      </c>
    </row>
    <row r="37" spans="1:10" ht="14.1" customHeight="1">
      <c r="A37" s="328" t="s">
        <v>260</v>
      </c>
      <c r="B37" s="329">
        <v>30013</v>
      </c>
      <c r="C37" s="335">
        <f>B37/'- 3 -'!$D37*100</f>
        <v>7.0840497614547207E-2</v>
      </c>
      <c r="D37" s="329">
        <f>B37/'- 7 -'!$E37</f>
        <v>7.6690941612367443</v>
      </c>
      <c r="E37" s="329">
        <v>456792</v>
      </c>
      <c r="F37" s="335">
        <f>E37/'- 3 -'!$D37*100</f>
        <v>1.0781785421765318</v>
      </c>
      <c r="G37" s="329">
        <f>E37/'- 7 -'!$E37</f>
        <v>116.72211575316213</v>
      </c>
      <c r="H37" s="329">
        <v>461906</v>
      </c>
      <c r="I37" s="335">
        <f>H37/'- 3 -'!$D37*100</f>
        <v>1.0902492550276559</v>
      </c>
      <c r="J37" s="329">
        <f>H37/'- 7 -'!$E37</f>
        <v>118.02887440909672</v>
      </c>
    </row>
    <row r="38" spans="1:10" ht="14.1" customHeight="1">
      <c r="A38" s="26" t="s">
        <v>261</v>
      </c>
      <c r="B38" s="27">
        <v>76638</v>
      </c>
      <c r="C38" s="79">
        <f>B38/'- 3 -'!$D38*100</f>
        <v>6.6623678899425998E-2</v>
      </c>
      <c r="D38" s="27">
        <f>B38/'- 7 -'!$E38</f>
        <v>7.3325168870433792</v>
      </c>
      <c r="E38" s="27">
        <v>282776</v>
      </c>
      <c r="F38" s="79">
        <f>E38/'- 3 -'!$D38*100</f>
        <v>0.24582553595427964</v>
      </c>
      <c r="G38" s="27">
        <f>E38/'- 7 -'!$E38</f>
        <v>27.055244072791286</v>
      </c>
      <c r="H38" s="27">
        <v>1424645</v>
      </c>
      <c r="I38" s="79">
        <f>H38/'- 3 -'!$D38*100</f>
        <v>1.2384860124960559</v>
      </c>
      <c r="J38" s="27">
        <f>H38/'- 7 -'!$E38</f>
        <v>136.30618649419236</v>
      </c>
    </row>
    <row r="39" spans="1:10" ht="14.1" customHeight="1">
      <c r="A39" s="328" t="s">
        <v>262</v>
      </c>
      <c r="B39" s="329">
        <v>0</v>
      </c>
      <c r="C39" s="335">
        <f>B39/'- 3 -'!$D39*100</f>
        <v>0</v>
      </c>
      <c r="D39" s="329">
        <f>B39/'- 7 -'!$E39</f>
        <v>0</v>
      </c>
      <c r="E39" s="329">
        <v>49788</v>
      </c>
      <c r="F39" s="335">
        <f>E39/'- 3 -'!$D39*100</f>
        <v>0.24592147375857146</v>
      </c>
      <c r="G39" s="329">
        <f>E39/'- 7 -'!$E39</f>
        <v>32.00771456123433</v>
      </c>
      <c r="H39" s="329">
        <v>224277</v>
      </c>
      <c r="I39" s="335">
        <f>H39/'- 3 -'!$D39*100</f>
        <v>1.1077876269412537</v>
      </c>
      <c r="J39" s="329">
        <f>H39/'- 7 -'!$E39</f>
        <v>144.18322082931533</v>
      </c>
    </row>
    <row r="40" spans="1:10" ht="14.1" customHeight="1">
      <c r="A40" s="26" t="s">
        <v>263</v>
      </c>
      <c r="B40" s="27">
        <v>0</v>
      </c>
      <c r="C40" s="79">
        <f>B40/'- 3 -'!$D40*100</f>
        <v>0</v>
      </c>
      <c r="D40" s="27">
        <f>B40/'- 7 -'!$E40</f>
        <v>0</v>
      </c>
      <c r="E40" s="27">
        <v>1138841</v>
      </c>
      <c r="F40" s="79">
        <f>E40/'- 3 -'!$D40*100</f>
        <v>1.1968564626871256</v>
      </c>
      <c r="G40" s="27">
        <f>E40/'- 7 -'!$E40</f>
        <v>143.36495187980339</v>
      </c>
      <c r="H40" s="27">
        <v>1303150</v>
      </c>
      <c r="I40" s="79">
        <f>H40/'- 3 -'!$D40*100</f>
        <v>1.3695357818613201</v>
      </c>
      <c r="J40" s="27">
        <f>H40/'- 7 -'!$E40</f>
        <v>164.04927206007315</v>
      </c>
    </row>
    <row r="41" spans="1:10" ht="14.1" customHeight="1">
      <c r="A41" s="328" t="s">
        <v>264</v>
      </c>
      <c r="B41" s="329">
        <v>0</v>
      </c>
      <c r="C41" s="335">
        <f>B41/'- 3 -'!$D41*100</f>
        <v>0</v>
      </c>
      <c r="D41" s="329">
        <f>B41/'- 7 -'!$E41</f>
        <v>0</v>
      </c>
      <c r="E41" s="329">
        <v>343551</v>
      </c>
      <c r="F41" s="335">
        <f>E41/'- 3 -'!$D41*100</f>
        <v>0.5861974425314892</v>
      </c>
      <c r="G41" s="329">
        <f>E41/'- 7 -'!$E41</f>
        <v>77.955752212389385</v>
      </c>
      <c r="H41" s="329">
        <v>592962</v>
      </c>
      <c r="I41" s="335">
        <f>H41/'- 3 -'!$D41*100</f>
        <v>1.0117647974197628</v>
      </c>
      <c r="J41" s="329">
        <f>H41/'- 7 -'!$E41</f>
        <v>134.55003403675971</v>
      </c>
    </row>
    <row r="42" spans="1:10" ht="14.1" customHeight="1">
      <c r="A42" s="26" t="s">
        <v>265</v>
      </c>
      <c r="B42" s="27">
        <v>0</v>
      </c>
      <c r="C42" s="79">
        <f>B42/'- 3 -'!$D42*100</f>
        <v>0</v>
      </c>
      <c r="D42" s="27">
        <f>B42/'- 7 -'!$E42</f>
        <v>0</v>
      </c>
      <c r="E42" s="27">
        <v>0</v>
      </c>
      <c r="F42" s="79">
        <f>E42/'- 3 -'!$D42*100</f>
        <v>0</v>
      </c>
      <c r="G42" s="27">
        <f>E42/'- 7 -'!$E42</f>
        <v>0</v>
      </c>
      <c r="H42" s="27">
        <v>232031</v>
      </c>
      <c r="I42" s="79">
        <f>H42/'- 3 -'!$D42*100</f>
        <v>1.1516887631487789</v>
      </c>
      <c r="J42" s="27">
        <f>H42/'- 7 -'!$E42</f>
        <v>159.8780403775925</v>
      </c>
    </row>
    <row r="43" spans="1:10" ht="14.1" customHeight="1">
      <c r="A43" s="328" t="s">
        <v>266</v>
      </c>
      <c r="B43" s="329">
        <v>0</v>
      </c>
      <c r="C43" s="335">
        <f>B43/'- 3 -'!$D43*100</f>
        <v>0</v>
      </c>
      <c r="D43" s="329">
        <f>B43/'- 7 -'!$E43</f>
        <v>0</v>
      </c>
      <c r="E43" s="329">
        <v>47747</v>
      </c>
      <c r="F43" s="335">
        <f>E43/'- 3 -'!$D43*100</f>
        <v>0.38698977764074916</v>
      </c>
      <c r="G43" s="329">
        <f>E43/'- 7 -'!$E43</f>
        <v>48.781160604822233</v>
      </c>
      <c r="H43" s="329">
        <v>243978</v>
      </c>
      <c r="I43" s="335">
        <f>H43/'- 3 -'!$D43*100</f>
        <v>1.9774434408284227</v>
      </c>
      <c r="J43" s="329">
        <f>H43/'- 7 -'!$E43</f>
        <v>249.26236207601144</v>
      </c>
    </row>
    <row r="44" spans="1:10" ht="14.1" customHeight="1">
      <c r="A44" s="26" t="s">
        <v>267</v>
      </c>
      <c r="B44" s="27">
        <v>0</v>
      </c>
      <c r="C44" s="79">
        <f>B44/'- 3 -'!$D44*100</f>
        <v>0</v>
      </c>
      <c r="D44" s="27">
        <f>B44/'- 7 -'!$E44</f>
        <v>0</v>
      </c>
      <c r="E44" s="27">
        <v>0</v>
      </c>
      <c r="F44" s="79">
        <f>E44/'- 3 -'!$D44*100</f>
        <v>0</v>
      </c>
      <c r="G44" s="27">
        <f>E44/'- 7 -'!$E44</f>
        <v>0</v>
      </c>
      <c r="H44" s="27">
        <v>116285</v>
      </c>
      <c r="I44" s="79">
        <f>H44/'- 3 -'!$D44*100</f>
        <v>1.1306530708920495</v>
      </c>
      <c r="J44" s="27">
        <f>H44/'- 7 -'!$E44</f>
        <v>165.76621525302923</v>
      </c>
    </row>
    <row r="45" spans="1:10" ht="14.1" customHeight="1">
      <c r="A45" s="328" t="s">
        <v>268</v>
      </c>
      <c r="B45" s="329">
        <v>0</v>
      </c>
      <c r="C45" s="335">
        <f>B45/'- 3 -'!$D45*100</f>
        <v>0</v>
      </c>
      <c r="D45" s="329">
        <f>B45/'- 7 -'!$E45</f>
        <v>0</v>
      </c>
      <c r="E45" s="329">
        <v>0</v>
      </c>
      <c r="F45" s="335">
        <f>E45/'- 3 -'!$D45*100</f>
        <v>0</v>
      </c>
      <c r="G45" s="329">
        <f>E45/'- 7 -'!$E45</f>
        <v>0</v>
      </c>
      <c r="H45" s="329">
        <v>192182</v>
      </c>
      <c r="I45" s="335">
        <f>H45/'- 3 -'!$D45*100</f>
        <v>1.1383915626977528</v>
      </c>
      <c r="J45" s="329">
        <f>H45/'- 7 -'!$E45</f>
        <v>118.81421947449768</v>
      </c>
    </row>
    <row r="46" spans="1:10" ht="14.1" customHeight="1">
      <c r="A46" s="26" t="s">
        <v>269</v>
      </c>
      <c r="B46" s="27">
        <v>221270</v>
      </c>
      <c r="C46" s="79">
        <f>B46/'- 3 -'!$D46*100</f>
        <v>6.2145786291001856E-2</v>
      </c>
      <c r="D46" s="27">
        <f>B46/'- 7 -'!$E46</f>
        <v>7.4131276718350065</v>
      </c>
      <c r="E46" s="27">
        <v>731842</v>
      </c>
      <c r="F46" s="79">
        <f>E46/'- 3 -'!$D46*100</f>
        <v>0.20554479383006904</v>
      </c>
      <c r="G46" s="27">
        <f>E46/'- 7 -'!$E46</f>
        <v>24.518634164645341</v>
      </c>
      <c r="H46" s="27">
        <v>3398235</v>
      </c>
      <c r="I46" s="79">
        <f>H46/'- 3 -'!$D46*100</f>
        <v>0.95442665556380291</v>
      </c>
      <c r="J46" s="27">
        <f>H46/'- 7 -'!$E46</f>
        <v>113.84982109593815</v>
      </c>
    </row>
    <row r="47" spans="1:10" ht="5.0999999999999996" customHeight="1">
      <c r="A47" s="28"/>
      <c r="B47" s="29"/>
      <c r="C47"/>
      <c r="D47" s="29"/>
      <c r="E47" s="29"/>
      <c r="F47"/>
      <c r="G47" s="29"/>
      <c r="H47"/>
      <c r="I47"/>
      <c r="J47"/>
    </row>
    <row r="48" spans="1:10" ht="14.1" customHeight="1">
      <c r="A48" s="330" t="s">
        <v>270</v>
      </c>
      <c r="B48" s="331">
        <f>SUM(B11:B46)</f>
        <v>1246870</v>
      </c>
      <c r="C48" s="338">
        <f>B48/'- 3 -'!$D48*100</f>
        <v>6.0306701902253547E-2</v>
      </c>
      <c r="D48" s="331">
        <f>B48/'- 7 -'!$E48</f>
        <v>7.2482603129709737</v>
      </c>
      <c r="E48" s="331">
        <f>SUM(E11:E46)</f>
        <v>12161119</v>
      </c>
      <c r="F48" s="338">
        <f>E48/'- 3 -'!$D48*100</f>
        <v>0.58819041145494866</v>
      </c>
      <c r="G48" s="331">
        <f>E48/'- 7 -'!$E48</f>
        <v>70.694584206065798</v>
      </c>
      <c r="H48" s="331">
        <f>SUM(H11:H46)</f>
        <v>29921813</v>
      </c>
      <c r="I48" s="338">
        <f>H48/'- 3 -'!$D48*100</f>
        <v>1.4472125056870204</v>
      </c>
      <c r="J48" s="331">
        <f>H48/'- 7 -'!$E48</f>
        <v>173.94041853604543</v>
      </c>
    </row>
    <row r="49" spans="1:10" ht="5.0999999999999996" customHeight="1">
      <c r="A49" s="28" t="s">
        <v>16</v>
      </c>
      <c r="B49" s="29"/>
      <c r="C49"/>
      <c r="D49" s="29"/>
      <c r="E49" s="29"/>
      <c r="F49"/>
      <c r="H49"/>
      <c r="I49"/>
      <c r="J49"/>
    </row>
    <row r="50" spans="1:10" ht="14.1" customHeight="1">
      <c r="A50" s="26" t="s">
        <v>271</v>
      </c>
      <c r="B50" s="27">
        <v>0</v>
      </c>
      <c r="C50" s="79">
        <f>B50/'- 3 -'!$D50*100</f>
        <v>0</v>
      </c>
      <c r="D50" s="27">
        <f>B50/'- 7 -'!$E50</f>
        <v>0</v>
      </c>
      <c r="E50" s="27">
        <v>0</v>
      </c>
      <c r="F50" s="79">
        <f>E50/'- 3 -'!$D50*100</f>
        <v>0</v>
      </c>
      <c r="G50" s="27">
        <f>E50/'- 7 -'!$E50</f>
        <v>0</v>
      </c>
      <c r="H50" s="27">
        <v>22169</v>
      </c>
      <c r="I50" s="79">
        <f>H50/'- 3 -'!$D50*100</f>
        <v>0.69629711524629678</v>
      </c>
      <c r="J50" s="27">
        <f>H50/'- 7 -'!$E50</f>
        <v>125.60339943342777</v>
      </c>
    </row>
    <row r="51" spans="1:10" ht="14.1" customHeight="1">
      <c r="A51" s="328" t="s">
        <v>272</v>
      </c>
      <c r="B51" s="329">
        <v>0</v>
      </c>
      <c r="C51" s="335">
        <f>B51/'- 3 -'!$D51*100</f>
        <v>0</v>
      </c>
      <c r="D51" s="329">
        <f>B51/'- 7 -'!$E51</f>
        <v>0</v>
      </c>
      <c r="E51" s="329">
        <v>176039</v>
      </c>
      <c r="F51" s="335">
        <f>E51/'- 3 -'!$D51*100</f>
        <v>0.89409168829279717</v>
      </c>
      <c r="G51" s="329">
        <f>E51/'- 7 -'!$E51</f>
        <v>243.51777562595103</v>
      </c>
      <c r="H51" s="329">
        <v>2802</v>
      </c>
      <c r="I51" s="335">
        <f>H51/'- 3 -'!$D51*100</f>
        <v>1.4231192580032935E-2</v>
      </c>
      <c r="J51" s="329">
        <f>H51/'- 7 -'!$E51</f>
        <v>3.8760547793609077</v>
      </c>
    </row>
    <row r="52" spans="1:10" ht="50.1" customHeight="1">
      <c r="A52" s="206"/>
      <c r="B52" s="206"/>
      <c r="C52" s="206"/>
      <c r="D52" s="206"/>
      <c r="E52" s="206"/>
      <c r="F52" s="206"/>
      <c r="G52" s="206"/>
      <c r="H52" s="206"/>
      <c r="I52" s="206"/>
      <c r="J52" s="20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sheetPr codeName="Sheet25">
    <pageSetUpPr fitToPage="1"/>
  </sheetPr>
  <dimension ref="A1:J53"/>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478</v>
      </c>
      <c r="C2" s="9"/>
      <c r="D2" s="9"/>
      <c r="E2" s="9"/>
      <c r="F2" s="9"/>
      <c r="G2" s="9"/>
      <c r="H2" s="82"/>
      <c r="I2" s="173"/>
      <c r="J2" s="487" t="s">
        <v>443</v>
      </c>
    </row>
    <row r="3" spans="1:10" ht="15.95" customHeight="1">
      <c r="A3" s="697"/>
      <c r="B3" s="10" t="str">
        <f>OPYEAR</f>
        <v>OPERATING FUND 2013/2014 ACTUAL</v>
      </c>
      <c r="C3" s="11"/>
      <c r="D3" s="11"/>
      <c r="E3" s="11"/>
      <c r="F3" s="11"/>
      <c r="G3" s="11"/>
      <c r="H3" s="84"/>
      <c r="I3" s="84"/>
      <c r="J3" s="74"/>
    </row>
    <row r="4" spans="1:10" ht="15.95" customHeight="1">
      <c r="B4" s="7"/>
      <c r="C4" s="7"/>
      <c r="D4" s="7"/>
      <c r="E4" s="7"/>
      <c r="F4" s="7"/>
      <c r="G4" s="7"/>
      <c r="H4" s="7"/>
      <c r="I4" s="7"/>
      <c r="J4" s="7"/>
    </row>
    <row r="5" spans="1:10" ht="15.95" customHeight="1">
      <c r="B5" s="477" t="s">
        <v>431</v>
      </c>
      <c r="C5" s="193"/>
      <c r="D5" s="194"/>
      <c r="E5" s="203"/>
      <c r="F5" s="203"/>
      <c r="G5" s="204"/>
    </row>
    <row r="6" spans="1:10" ht="15.95" customHeight="1">
      <c r="B6" s="355" t="s">
        <v>29</v>
      </c>
      <c r="C6" s="358"/>
      <c r="D6" s="356"/>
      <c r="E6" s="471"/>
      <c r="F6" s="472"/>
      <c r="G6" s="473"/>
    </row>
    <row r="7" spans="1:10" ht="15.95" customHeight="1">
      <c r="B7" s="342" t="s">
        <v>55</v>
      </c>
      <c r="C7" s="343"/>
      <c r="D7" s="344"/>
      <c r="E7" s="342" t="s">
        <v>523</v>
      </c>
      <c r="F7" s="343"/>
      <c r="G7" s="344"/>
    </row>
    <row r="8" spans="1:10" ht="15.95" customHeight="1">
      <c r="A8" s="75"/>
      <c r="B8" s="155"/>
      <c r="C8" s="156"/>
      <c r="D8" s="157" t="s">
        <v>73</v>
      </c>
      <c r="E8" s="155"/>
      <c r="F8" s="157"/>
      <c r="G8" s="157" t="s">
        <v>73</v>
      </c>
    </row>
    <row r="9" spans="1:10" ht="15.95" customHeight="1">
      <c r="A9" s="42" t="s">
        <v>93</v>
      </c>
      <c r="B9" s="87" t="s">
        <v>94</v>
      </c>
      <c r="C9" s="87" t="s">
        <v>95</v>
      </c>
      <c r="D9" s="87" t="s">
        <v>96</v>
      </c>
      <c r="E9" s="87" t="s">
        <v>94</v>
      </c>
      <c r="F9" s="87" t="s">
        <v>95</v>
      </c>
      <c r="G9" s="87" t="s">
        <v>96</v>
      </c>
    </row>
    <row r="10" spans="1:10" ht="5.0999999999999996" customHeight="1">
      <c r="A10" s="5"/>
    </row>
    <row r="11" spans="1:10" ht="14.1" customHeight="1">
      <c r="A11" s="328" t="s">
        <v>235</v>
      </c>
      <c r="B11" s="329">
        <v>135823</v>
      </c>
      <c r="C11" s="335">
        <f>B11/'- 3 -'!$D11*100</f>
        <v>0.81521140560121053</v>
      </c>
      <c r="D11" s="329">
        <f>B11/'- 7 -'!$E11</f>
        <v>91.586648685097771</v>
      </c>
      <c r="E11" s="329">
        <v>7935</v>
      </c>
      <c r="F11" s="335">
        <f>E11/'- 3 -'!$D11*100</f>
        <v>4.762597279875725E-2</v>
      </c>
      <c r="G11" s="329">
        <f>E11/'- 7 -'!$E11</f>
        <v>5.3506405933917733</v>
      </c>
    </row>
    <row r="12" spans="1:10" ht="14.1" customHeight="1">
      <c r="A12" s="26" t="s">
        <v>236</v>
      </c>
      <c r="B12" s="27">
        <v>337771</v>
      </c>
      <c r="C12" s="79">
        <f>B12/'- 3 -'!$D12*100</f>
        <v>1.134416448126655</v>
      </c>
      <c r="D12" s="27">
        <f>B12/'- 7 -'!$E12</f>
        <v>154.36020473448494</v>
      </c>
      <c r="E12" s="27">
        <v>117405</v>
      </c>
      <c r="F12" s="79">
        <f>E12/'- 3 -'!$D12*100</f>
        <v>0.3943090528562545</v>
      </c>
      <c r="G12" s="27">
        <f>E12/'- 7 -'!$E12</f>
        <v>53.653687962709071</v>
      </c>
    </row>
    <row r="13" spans="1:10" ht="14.1" customHeight="1">
      <c r="A13" s="328" t="s">
        <v>237</v>
      </c>
      <c r="B13" s="329">
        <v>1134660</v>
      </c>
      <c r="C13" s="335">
        <f>B13/'- 3 -'!$D13*100</f>
        <v>1.3529020718815403</v>
      </c>
      <c r="D13" s="329">
        <f>B13/'- 7 -'!$E13</f>
        <v>141.82363602274859</v>
      </c>
      <c r="E13" s="329">
        <v>82277</v>
      </c>
      <c r="F13" s="335">
        <f>E13/'- 3 -'!$D13*100</f>
        <v>9.8102271841959243E-2</v>
      </c>
      <c r="G13" s="329">
        <f>E13/'- 7 -'!$E13</f>
        <v>10.283982251109306</v>
      </c>
    </row>
    <row r="14" spans="1:10" ht="14.1" customHeight="1">
      <c r="A14" s="26" t="s">
        <v>636</v>
      </c>
      <c r="B14" s="27">
        <v>456182</v>
      </c>
      <c r="C14" s="79">
        <f>B14/'- 3 -'!$D14*100</f>
        <v>0.62483372665031822</v>
      </c>
      <c r="D14" s="27">
        <f>B14/'- 7 -'!$E14</f>
        <v>87.71044029994232</v>
      </c>
      <c r="E14" s="27">
        <v>4899</v>
      </c>
      <c r="F14" s="79">
        <f>E14/'- 3 -'!$D14*100</f>
        <v>6.7101736299545103E-3</v>
      </c>
      <c r="G14" s="27">
        <f>E14/'- 7 -'!$E14</f>
        <v>0.94193424341472798</v>
      </c>
    </row>
    <row r="15" spans="1:10" ht="14.1" customHeight="1">
      <c r="A15" s="328" t="s">
        <v>238</v>
      </c>
      <c r="B15" s="329">
        <v>272748</v>
      </c>
      <c r="C15" s="335">
        <f>B15/'- 3 -'!$D15*100</f>
        <v>1.4374105992562618</v>
      </c>
      <c r="D15" s="329">
        <f>B15/'- 7 -'!$E15</f>
        <v>182.8682534361381</v>
      </c>
      <c r="E15" s="329">
        <v>1853</v>
      </c>
      <c r="F15" s="335">
        <f>E15/'- 3 -'!$D15*100</f>
        <v>9.765504569866152E-3</v>
      </c>
      <c r="G15" s="329">
        <f>E15/'- 7 -'!$E15</f>
        <v>1.2423734495474354</v>
      </c>
    </row>
    <row r="16" spans="1:10" ht="14.1" customHeight="1">
      <c r="A16" s="26" t="s">
        <v>239</v>
      </c>
      <c r="B16" s="27">
        <v>128373</v>
      </c>
      <c r="C16" s="79">
        <f>B16/'- 3 -'!$D16*100</f>
        <v>0.98485369238238041</v>
      </c>
      <c r="D16" s="27">
        <f>B16/'- 7 -'!$E16</f>
        <v>133.44386694386694</v>
      </c>
      <c r="E16" s="27">
        <v>44334</v>
      </c>
      <c r="F16" s="79">
        <f>E16/'- 3 -'!$D16*100</f>
        <v>0.34012217209288909</v>
      </c>
      <c r="G16" s="27">
        <f>E16/'- 7 -'!$E16</f>
        <v>46.085239085239088</v>
      </c>
    </row>
    <row r="17" spans="1:7" ht="14.1" customHeight="1">
      <c r="A17" s="328" t="s">
        <v>240</v>
      </c>
      <c r="B17" s="329">
        <v>117490</v>
      </c>
      <c r="C17" s="335">
        <f>B17/'- 3 -'!$D17*100</f>
        <v>0.71619871542637414</v>
      </c>
      <c r="D17" s="329">
        <f>B17/'- 7 -'!$E17</f>
        <v>91.292861345144146</v>
      </c>
      <c r="E17" s="329">
        <v>1500</v>
      </c>
      <c r="F17" s="335">
        <f>E17/'- 3 -'!$D17*100</f>
        <v>9.143740515274161E-3</v>
      </c>
      <c r="G17" s="329">
        <f>E17/'- 7 -'!$E17</f>
        <v>1.1655399780212461</v>
      </c>
    </row>
    <row r="18" spans="1:7" ht="14.1" customHeight="1">
      <c r="A18" s="26" t="s">
        <v>241</v>
      </c>
      <c r="B18" s="27">
        <v>844892</v>
      </c>
      <c r="C18" s="79">
        <f>B18/'- 3 -'!$D18*100</f>
        <v>0.71110720583394538</v>
      </c>
      <c r="D18" s="27">
        <f>B18/'- 7 -'!$E18</f>
        <v>139.28781034653301</v>
      </c>
      <c r="E18" s="27">
        <v>1565439</v>
      </c>
      <c r="F18" s="79">
        <f>E18/'- 3 -'!$D18*100</f>
        <v>1.3175588752094773</v>
      </c>
      <c r="G18" s="27">
        <f>E18/'- 7 -'!$E18</f>
        <v>258.07626364205873</v>
      </c>
    </row>
    <row r="19" spans="1:7" ht="14.1" customHeight="1">
      <c r="A19" s="328" t="s">
        <v>242</v>
      </c>
      <c r="B19" s="329">
        <v>283386</v>
      </c>
      <c r="C19" s="335">
        <f>B19/'- 3 -'!$D19*100</f>
        <v>0.65445916093174461</v>
      </c>
      <c r="D19" s="329">
        <f>B19/'- 7 -'!$E19</f>
        <v>67.582276066011644</v>
      </c>
      <c r="E19" s="329">
        <v>137391</v>
      </c>
      <c r="F19" s="335">
        <f>E19/'- 3 -'!$D19*100</f>
        <v>0.31729442731671054</v>
      </c>
      <c r="G19" s="329">
        <f>E19/'- 7 -'!$E19</f>
        <v>32.765191262043309</v>
      </c>
    </row>
    <row r="20" spans="1:7" ht="14.1" customHeight="1">
      <c r="A20" s="26" t="s">
        <v>243</v>
      </c>
      <c r="B20" s="27">
        <v>737036</v>
      </c>
      <c r="C20" s="79">
        <f>B20/'- 3 -'!$D20*100</f>
        <v>1.0431932825823595</v>
      </c>
      <c r="D20" s="27">
        <f>B20/'- 7 -'!$E20</f>
        <v>99.8829109635452</v>
      </c>
      <c r="E20" s="27">
        <v>159437</v>
      </c>
      <c r="F20" s="79">
        <f>E20/'- 3 -'!$D20*100</f>
        <v>0.22566551348249431</v>
      </c>
      <c r="G20" s="27">
        <f>E20/'- 7 -'!$E20</f>
        <v>21.60685729773682</v>
      </c>
    </row>
    <row r="21" spans="1:7" ht="14.1" customHeight="1">
      <c r="A21" s="328" t="s">
        <v>244</v>
      </c>
      <c r="B21" s="329">
        <v>852272</v>
      </c>
      <c r="C21" s="335">
        <f>B21/'- 3 -'!$D21*100</f>
        <v>2.4601486413892979</v>
      </c>
      <c r="D21" s="329">
        <f>B21/'- 7 -'!$E21</f>
        <v>315.3059563448021</v>
      </c>
      <c r="E21" s="329">
        <v>98080</v>
      </c>
      <c r="F21" s="335">
        <f>E21/'- 3 -'!$D21*100</f>
        <v>0.28311545932221444</v>
      </c>
      <c r="G21" s="329">
        <f>E21/'- 7 -'!$E21</f>
        <v>36.285608583055861</v>
      </c>
    </row>
    <row r="22" spans="1:7" ht="14.1" customHeight="1">
      <c r="A22" s="26" t="s">
        <v>245</v>
      </c>
      <c r="B22" s="27">
        <v>141235</v>
      </c>
      <c r="C22" s="79">
        <f>B22/'- 3 -'!$D22*100</f>
        <v>0.73293588161597434</v>
      </c>
      <c r="D22" s="27">
        <f>B22/'- 7 -'!$E22</f>
        <v>90.061854355311823</v>
      </c>
      <c r="E22" s="27">
        <v>26046</v>
      </c>
      <c r="F22" s="79">
        <f>E22/'- 3 -'!$D22*100</f>
        <v>0.13516513592643231</v>
      </c>
      <c r="G22" s="27">
        <f>E22/'- 7 -'!$E22</f>
        <v>16.608850911873486</v>
      </c>
    </row>
    <row r="23" spans="1:7" ht="14.1" customHeight="1">
      <c r="A23" s="328" t="s">
        <v>246</v>
      </c>
      <c r="B23" s="329">
        <v>257754</v>
      </c>
      <c r="C23" s="335">
        <f>B23/'- 3 -'!$D23*100</f>
        <v>1.5879701805082844</v>
      </c>
      <c r="D23" s="329">
        <f>B23/'- 7 -'!$E23</f>
        <v>222.89346246973363</v>
      </c>
      <c r="E23" s="329">
        <v>12561</v>
      </c>
      <c r="F23" s="335">
        <f>E23/'- 3 -'!$D23*100</f>
        <v>7.7385776505367751E-2</v>
      </c>
      <c r="G23" s="329">
        <f>E23/'- 7 -'!$E23</f>
        <v>10.86215842269111</v>
      </c>
    </row>
    <row r="24" spans="1:7" ht="14.1" customHeight="1">
      <c r="A24" s="26" t="s">
        <v>247</v>
      </c>
      <c r="B24" s="27">
        <v>565993</v>
      </c>
      <c r="C24" s="79">
        <f>B24/'- 3 -'!$D24*100</f>
        <v>1.0836305887502897</v>
      </c>
      <c r="D24" s="27">
        <f>B24/'- 7 -'!$E24</f>
        <v>137.24702344867723</v>
      </c>
      <c r="E24" s="27">
        <v>82986</v>
      </c>
      <c r="F24" s="79">
        <f>E24/'- 3 -'!$D24*100</f>
        <v>0.15888212051744727</v>
      </c>
      <c r="G24" s="27">
        <f>E24/'- 7 -'!$E24</f>
        <v>20.123184364315335</v>
      </c>
    </row>
    <row r="25" spans="1:7" ht="14.1" customHeight="1">
      <c r="A25" s="328" t="s">
        <v>248</v>
      </c>
      <c r="B25" s="329">
        <v>1558524</v>
      </c>
      <c r="C25" s="335">
        <f>B25/'- 3 -'!$D25*100</f>
        <v>1.0113317966561233</v>
      </c>
      <c r="D25" s="329">
        <f>B25/'- 7 -'!$E25</f>
        <v>112.73229656419529</v>
      </c>
      <c r="E25" s="329">
        <v>245356</v>
      </c>
      <c r="F25" s="335">
        <f>E25/'- 3 -'!$D25*100</f>
        <v>0.15921238575752431</v>
      </c>
      <c r="G25" s="329">
        <f>E25/'- 7 -'!$E25</f>
        <v>17.747269439421338</v>
      </c>
    </row>
    <row r="26" spans="1:7" ht="14.1" customHeight="1">
      <c r="A26" s="26" t="s">
        <v>249</v>
      </c>
      <c r="B26" s="27">
        <v>337013</v>
      </c>
      <c r="C26" s="79">
        <f>B26/'- 3 -'!$D26*100</f>
        <v>0.8963141499805517</v>
      </c>
      <c r="D26" s="27">
        <f>B26/'- 7 -'!$E26</f>
        <v>108.15564826700898</v>
      </c>
      <c r="E26" s="27">
        <v>200417</v>
      </c>
      <c r="F26" s="79">
        <f>E26/'- 3 -'!$D26*100</f>
        <v>0.53302570819716821</v>
      </c>
      <c r="G26" s="27">
        <f>E26/'- 7 -'!$E26</f>
        <v>64.318677792041072</v>
      </c>
    </row>
    <row r="27" spans="1:7" ht="14.1" customHeight="1">
      <c r="A27" s="328" t="s">
        <v>250</v>
      </c>
      <c r="B27" s="329">
        <v>230774</v>
      </c>
      <c r="C27" s="335">
        <f>B27/'- 3 -'!$D27*100</f>
        <v>0.62719725524083303</v>
      </c>
      <c r="D27" s="329">
        <f>B27/'- 7 -'!$E27</f>
        <v>83.140829340346571</v>
      </c>
      <c r="E27" s="329">
        <v>2009</v>
      </c>
      <c r="F27" s="335">
        <f>E27/'- 3 -'!$D27*100</f>
        <v>5.4600573971887367E-3</v>
      </c>
      <c r="G27" s="329">
        <f>E27/'- 7 -'!$E27</f>
        <v>0.72378138847858187</v>
      </c>
    </row>
    <row r="28" spans="1:7" ht="14.1" customHeight="1">
      <c r="A28" s="26" t="s">
        <v>251</v>
      </c>
      <c r="B28" s="27">
        <v>283083</v>
      </c>
      <c r="C28" s="79">
        <f>B28/'- 3 -'!$D28*100</f>
        <v>1.0487330814024673</v>
      </c>
      <c r="D28" s="27">
        <f>B28/'- 7 -'!$E28</f>
        <v>140.94249439880508</v>
      </c>
      <c r="E28" s="27">
        <v>0</v>
      </c>
      <c r="F28" s="79">
        <f>E28/'- 3 -'!$D28*100</f>
        <v>0</v>
      </c>
      <c r="G28" s="27">
        <f>E28/'- 7 -'!$E28</f>
        <v>0</v>
      </c>
    </row>
    <row r="29" spans="1:7" ht="14.1" customHeight="1">
      <c r="A29" s="328" t="s">
        <v>252</v>
      </c>
      <c r="B29" s="329">
        <v>1380766</v>
      </c>
      <c r="C29" s="335">
        <f>B29/'- 3 -'!$D29*100</f>
        <v>0.98081591757954301</v>
      </c>
      <c r="D29" s="329">
        <f>B29/'- 7 -'!$E29</f>
        <v>113.15249903709834</v>
      </c>
      <c r="E29" s="329">
        <v>409114</v>
      </c>
      <c r="F29" s="335">
        <f>E29/'- 3 -'!$D29*100</f>
        <v>0.29061080827934432</v>
      </c>
      <c r="G29" s="329">
        <f>E29/'- 7 -'!$E29</f>
        <v>33.526514623812758</v>
      </c>
    </row>
    <row r="30" spans="1:7" ht="14.1" customHeight="1">
      <c r="A30" s="26" t="s">
        <v>253</v>
      </c>
      <c r="B30" s="27">
        <v>136206</v>
      </c>
      <c r="C30" s="79">
        <f>B30/'- 3 -'!$D30*100</f>
        <v>1.0124718098117576</v>
      </c>
      <c r="D30" s="27">
        <f>B30/'- 7 -'!$E30</f>
        <v>128.55201313777675</v>
      </c>
      <c r="E30" s="27">
        <v>2697</v>
      </c>
      <c r="F30" s="79">
        <f>E30/'- 3 -'!$D30*100</f>
        <v>2.0047842760688297E-2</v>
      </c>
      <c r="G30" s="27">
        <f>E30/'- 7 -'!$E30</f>
        <v>2.5454442493912448</v>
      </c>
    </row>
    <row r="31" spans="1:7" ht="14.1" customHeight="1">
      <c r="A31" s="328" t="s">
        <v>254</v>
      </c>
      <c r="B31" s="329">
        <v>228517</v>
      </c>
      <c r="C31" s="335">
        <f>B31/'- 3 -'!$D31*100</f>
        <v>0.67788809870123345</v>
      </c>
      <c r="D31" s="329">
        <f>B31/'- 7 -'!$E31</f>
        <v>71.826811252553824</v>
      </c>
      <c r="E31" s="329">
        <v>416588</v>
      </c>
      <c r="F31" s="335">
        <f>E31/'- 3 -'!$D31*100</f>
        <v>1.2357944803307823</v>
      </c>
      <c r="G31" s="329">
        <f>E31/'- 7 -'!$E31</f>
        <v>130.94075121797894</v>
      </c>
    </row>
    <row r="32" spans="1:7" ht="14.1" customHeight="1">
      <c r="A32" s="26" t="s">
        <v>255</v>
      </c>
      <c r="B32" s="27">
        <v>352013</v>
      </c>
      <c r="C32" s="79">
        <f>B32/'- 3 -'!$D32*100</f>
        <v>1.3524722086830581</v>
      </c>
      <c r="D32" s="27">
        <f>B32/'- 7 -'!$E32</f>
        <v>174.09149357072206</v>
      </c>
      <c r="E32" s="27">
        <v>1616</v>
      </c>
      <c r="F32" s="79">
        <f>E32/'- 3 -'!$D32*100</f>
        <v>6.2088476540122714E-3</v>
      </c>
      <c r="G32" s="27">
        <f>E32/'- 7 -'!$E32</f>
        <v>0.79920870425321466</v>
      </c>
    </row>
    <row r="33" spans="1:7" ht="14.1" customHeight="1">
      <c r="A33" s="328" t="s">
        <v>256</v>
      </c>
      <c r="B33" s="329">
        <v>250774</v>
      </c>
      <c r="C33" s="335">
        <f>B33/'- 3 -'!$D33*100</f>
        <v>0.95786123315113358</v>
      </c>
      <c r="D33" s="329">
        <f>B33/'- 7 -'!$E33</f>
        <v>125.39953995399539</v>
      </c>
      <c r="E33" s="329">
        <v>5108</v>
      </c>
      <c r="F33" s="335">
        <f>E33/'- 3 -'!$D33*100</f>
        <v>1.9510615849075229E-2</v>
      </c>
      <c r="G33" s="329">
        <f>E33/'- 7 -'!$E33</f>
        <v>2.554255425542554</v>
      </c>
    </row>
    <row r="34" spans="1:7" ht="14.1" customHeight="1">
      <c r="A34" s="26" t="s">
        <v>257</v>
      </c>
      <c r="B34" s="27">
        <v>198109</v>
      </c>
      <c r="C34" s="79">
        <f>B34/'- 3 -'!$D34*100</f>
        <v>0.78537114672734532</v>
      </c>
      <c r="D34" s="27">
        <f>B34/'- 7 -'!$E34</f>
        <v>100.56294416243655</v>
      </c>
      <c r="E34" s="27">
        <v>41262</v>
      </c>
      <c r="F34" s="79">
        <f>E34/'- 3 -'!$D34*100</f>
        <v>0.16357653744284067</v>
      </c>
      <c r="G34" s="27">
        <f>E34/'- 7 -'!$E34</f>
        <v>20.945177664974619</v>
      </c>
    </row>
    <row r="35" spans="1:7" ht="14.1" customHeight="1">
      <c r="A35" s="328" t="s">
        <v>258</v>
      </c>
      <c r="B35" s="329">
        <v>1810343</v>
      </c>
      <c r="C35" s="335">
        <f>B35/'- 3 -'!$D35*100</f>
        <v>1.0567369507396052</v>
      </c>
      <c r="D35" s="329">
        <f>B35/'- 7 -'!$E35</f>
        <v>116.31978668037395</v>
      </c>
      <c r="E35" s="329">
        <v>435594</v>
      </c>
      <c r="F35" s="335">
        <f>E35/'- 3 -'!$D35*100</f>
        <v>0.25426578019771257</v>
      </c>
      <c r="G35" s="329">
        <f>E35/'- 7 -'!$E35</f>
        <v>27.988177466508176</v>
      </c>
    </row>
    <row r="36" spans="1:7" ht="14.1" customHeight="1">
      <c r="A36" s="26" t="s">
        <v>259</v>
      </c>
      <c r="B36" s="27">
        <v>222002</v>
      </c>
      <c r="C36" s="79">
        <f>B36/'- 3 -'!$D36*100</f>
        <v>1.0377318713848576</v>
      </c>
      <c r="D36" s="27">
        <f>B36/'- 7 -'!$E36</f>
        <v>136.40675883256529</v>
      </c>
      <c r="E36" s="27">
        <v>8021</v>
      </c>
      <c r="F36" s="79">
        <f>E36/'- 3 -'!$D36*100</f>
        <v>3.7493569158737049E-2</v>
      </c>
      <c r="G36" s="27">
        <f>E36/'- 7 -'!$E36</f>
        <v>4.9284178187403995</v>
      </c>
    </row>
    <row r="37" spans="1:7" ht="14.1" customHeight="1">
      <c r="A37" s="328" t="s">
        <v>260</v>
      </c>
      <c r="B37" s="329">
        <v>397085</v>
      </c>
      <c r="C37" s="335">
        <f>B37/'- 3 -'!$D37*100</f>
        <v>0.93725049129618743</v>
      </c>
      <c r="D37" s="329">
        <f>B37/'- 7 -'!$E37</f>
        <v>101.46544014309441</v>
      </c>
      <c r="E37" s="329">
        <v>51669</v>
      </c>
      <c r="F37" s="335">
        <f>E37/'- 3 -'!$D37*100</f>
        <v>0.12195574155352813</v>
      </c>
      <c r="G37" s="329">
        <f>E37/'- 7 -'!$E37</f>
        <v>13.202759678037562</v>
      </c>
    </row>
    <row r="38" spans="1:7" ht="14.1" customHeight="1">
      <c r="A38" s="26" t="s">
        <v>261</v>
      </c>
      <c r="B38" s="27">
        <v>1130824</v>
      </c>
      <c r="C38" s="79">
        <f>B38/'- 3 -'!$D38*100</f>
        <v>0.98305873154002577</v>
      </c>
      <c r="D38" s="27">
        <f>B38/'- 7 -'!$E38</f>
        <v>108.19418664727606</v>
      </c>
      <c r="E38" s="27">
        <v>1563478</v>
      </c>
      <c r="F38" s="79">
        <f>E38/'- 3 -'!$D38*100</f>
        <v>1.359177643444724</v>
      </c>
      <c r="G38" s="27">
        <f>E38/'- 7 -'!$E38</f>
        <v>149.58935303010006</v>
      </c>
    </row>
    <row r="39" spans="1:7" ht="14.1" customHeight="1">
      <c r="A39" s="328" t="s">
        <v>262</v>
      </c>
      <c r="B39" s="329">
        <v>268551</v>
      </c>
      <c r="C39" s="335">
        <f>B39/'- 3 -'!$D39*100</f>
        <v>1.326473401207884</v>
      </c>
      <c r="D39" s="329">
        <f>B39/'- 7 -'!$E39</f>
        <v>172.64609450337511</v>
      </c>
      <c r="E39" s="329">
        <v>153968</v>
      </c>
      <c r="F39" s="335">
        <f>E39/'- 3 -'!$D39*100</f>
        <v>0.76050529187072657</v>
      </c>
      <c r="G39" s="329">
        <f>E39/'- 7 -'!$E39</f>
        <v>98.982963677274185</v>
      </c>
    </row>
    <row r="40" spans="1:7" ht="14.1" customHeight="1">
      <c r="A40" s="26" t="s">
        <v>263</v>
      </c>
      <c r="B40" s="27">
        <v>727352</v>
      </c>
      <c r="C40" s="79">
        <f>B40/'- 3 -'!$D40*100</f>
        <v>0.7644051644157579</v>
      </c>
      <c r="D40" s="27">
        <f>B40/'- 7 -'!$E40</f>
        <v>91.563953598157028</v>
      </c>
      <c r="E40" s="27">
        <v>227213</v>
      </c>
      <c r="F40" s="79">
        <f>E40/'- 3 -'!$D40*100</f>
        <v>0.23878780923459014</v>
      </c>
      <c r="G40" s="27">
        <f>E40/'- 7 -'!$E40</f>
        <v>28.603098072044968</v>
      </c>
    </row>
    <row r="41" spans="1:7" ht="14.1" customHeight="1">
      <c r="A41" s="328" t="s">
        <v>264</v>
      </c>
      <c r="B41" s="329">
        <v>322477</v>
      </c>
      <c r="C41" s="335">
        <f>B41/'- 3 -'!$D41*100</f>
        <v>0.55023909892629352</v>
      </c>
      <c r="D41" s="329">
        <f>B41/'- 7 -'!$E41</f>
        <v>73.173814386203773</v>
      </c>
      <c r="E41" s="329">
        <v>257420</v>
      </c>
      <c r="F41" s="335">
        <f>E41/'- 3 -'!$D41*100</f>
        <v>0.43923302699295291</v>
      </c>
      <c r="G41" s="329">
        <f>E41/'- 7 -'!$E41</f>
        <v>58.411617880644428</v>
      </c>
    </row>
    <row r="42" spans="1:7" ht="14.1" customHeight="1">
      <c r="A42" s="26" t="s">
        <v>265</v>
      </c>
      <c r="B42" s="27">
        <v>288418</v>
      </c>
      <c r="C42" s="79">
        <f>B42/'- 3 -'!$D42*100</f>
        <v>1.4315663410916839</v>
      </c>
      <c r="D42" s="27">
        <f>B42/'- 7 -'!$E42</f>
        <v>198.73079308206437</v>
      </c>
      <c r="E42" s="27">
        <v>8462</v>
      </c>
      <c r="F42" s="79">
        <f>E42/'- 3 -'!$D42*100</f>
        <v>4.2001242565713054E-2</v>
      </c>
      <c r="G42" s="27">
        <f>E42/'- 7 -'!$E42</f>
        <v>5.830634603458968</v>
      </c>
    </row>
    <row r="43" spans="1:7" ht="14.1" customHeight="1">
      <c r="A43" s="328" t="s">
        <v>266</v>
      </c>
      <c r="B43" s="329">
        <v>169281</v>
      </c>
      <c r="C43" s="335">
        <f>B43/'- 3 -'!$D43*100</f>
        <v>1.3720237197898015</v>
      </c>
      <c r="D43" s="329">
        <f>B43/'- 7 -'!$E43</f>
        <v>172.94748671843075</v>
      </c>
      <c r="E43" s="329">
        <v>16987</v>
      </c>
      <c r="F43" s="335">
        <f>E43/'- 3 -'!$D43*100</f>
        <v>0.13767975690165676</v>
      </c>
      <c r="G43" s="329">
        <f>E43/'- 7 -'!$E43</f>
        <v>17.354924397221087</v>
      </c>
    </row>
    <row r="44" spans="1:7" ht="14.1" customHeight="1">
      <c r="A44" s="26" t="s">
        <v>267</v>
      </c>
      <c r="B44" s="27">
        <v>69921</v>
      </c>
      <c r="C44" s="79">
        <f>B44/'- 3 -'!$D44*100</f>
        <v>0.67985031061480838</v>
      </c>
      <c r="D44" s="27">
        <f>B44/'- 7 -'!$E44</f>
        <v>99.6735566642908</v>
      </c>
      <c r="E44" s="27">
        <v>71838</v>
      </c>
      <c r="F44" s="79">
        <f>E44/'- 3 -'!$D44*100</f>
        <v>0.69848953267182412</v>
      </c>
      <c r="G44" s="27">
        <f>E44/'- 7 -'!$E44</f>
        <v>102.40627227369922</v>
      </c>
    </row>
    <row r="45" spans="1:7" ht="14.1" customHeight="1">
      <c r="A45" s="328" t="s">
        <v>268</v>
      </c>
      <c r="B45" s="329">
        <v>95947</v>
      </c>
      <c r="C45" s="335">
        <f>B45/'- 3 -'!$D45*100</f>
        <v>0.5683427962356582</v>
      </c>
      <c r="D45" s="329">
        <f>B45/'- 7 -'!$E45</f>
        <v>59.318083462132918</v>
      </c>
      <c r="E45" s="329">
        <v>166518</v>
      </c>
      <c r="F45" s="335">
        <f>E45/'- 3 -'!$D45*100</f>
        <v>0.98637066029755327</v>
      </c>
      <c r="G45" s="329">
        <f>E45/'- 7 -'!$E45</f>
        <v>102.94775888717156</v>
      </c>
    </row>
    <row r="46" spans="1:7" ht="14.1" customHeight="1">
      <c r="A46" s="26" t="s">
        <v>269</v>
      </c>
      <c r="B46" s="27">
        <v>2557909</v>
      </c>
      <c r="C46" s="79">
        <f>B46/'- 3 -'!$D46*100</f>
        <v>0.71841309741867521</v>
      </c>
      <c r="D46" s="27">
        <f>B46/'- 7 -'!$E46</f>
        <v>85.696687259618614</v>
      </c>
      <c r="E46" s="27">
        <v>2919571</v>
      </c>
      <c r="F46" s="79">
        <f>E46/'- 3 -'!$D46*100</f>
        <v>0.8199893136322437</v>
      </c>
      <c r="G46" s="27">
        <f>E46/'- 7 -'!$E46</f>
        <v>97.81331662668687</v>
      </c>
    </row>
    <row r="47" spans="1:7" ht="5.0999999999999996" customHeight="1">
      <c r="A47" s="28"/>
      <c r="B47" s="29"/>
      <c r="C47"/>
      <c r="D47" s="29"/>
      <c r="E47" s="29"/>
      <c r="F47"/>
      <c r="G47"/>
    </row>
    <row r="48" spans="1:7" ht="14.1" customHeight="1">
      <c r="A48" s="330" t="s">
        <v>270</v>
      </c>
      <c r="B48" s="331">
        <f>SUM(B11:B46)</f>
        <v>19281504</v>
      </c>
      <c r="C48" s="338">
        <f>B48/'- 3 -'!$D48*100</f>
        <v>0.93257830724543023</v>
      </c>
      <c r="D48" s="331">
        <f>B48/'- 7 -'!$E48</f>
        <v>112.08655290254083</v>
      </c>
      <c r="E48" s="331">
        <f>SUM(E11:E46)</f>
        <v>9547049</v>
      </c>
      <c r="F48" s="338">
        <f>E48/'- 3 -'!$D48*100</f>
        <v>0.46175707017508472</v>
      </c>
      <c r="G48" s="331">
        <f>E48/'- 7 -'!$E48</f>
        <v>55.498565506178849</v>
      </c>
    </row>
    <row r="49" spans="1:10" ht="5.0999999999999996" customHeight="1">
      <c r="A49" s="28" t="s">
        <v>16</v>
      </c>
      <c r="B49" s="29"/>
      <c r="C49"/>
      <c r="D49" s="29"/>
      <c r="E49" s="29"/>
      <c r="F49"/>
      <c r="G49"/>
    </row>
    <row r="50" spans="1:10" ht="14.1" customHeight="1">
      <c r="A50" s="26" t="s">
        <v>271</v>
      </c>
      <c r="B50" s="27">
        <v>17626</v>
      </c>
      <c r="C50" s="79">
        <f>B50/'- 3 -'!$D50*100</f>
        <v>0.5536078737575546</v>
      </c>
      <c r="D50" s="27">
        <f>B50/'- 7 -'!$E50</f>
        <v>99.864022662889525</v>
      </c>
      <c r="E50" s="27">
        <v>16788</v>
      </c>
      <c r="F50" s="79">
        <f>E50/'- 3 -'!$D50*100</f>
        <v>0.52728747217983807</v>
      </c>
      <c r="G50" s="27">
        <f>E50/'- 7 -'!$E50</f>
        <v>95.116147308781876</v>
      </c>
    </row>
    <row r="51" spans="1:10" ht="14.1" customHeight="1">
      <c r="A51" s="328" t="s">
        <v>272</v>
      </c>
      <c r="B51" s="329">
        <v>33688</v>
      </c>
      <c r="C51" s="335">
        <f>B51/'- 3 -'!$D51*100</f>
        <v>0.17109936318206623</v>
      </c>
      <c r="D51" s="329">
        <f>B51/'- 7 -'!$E51</f>
        <v>46.601189652787383</v>
      </c>
      <c r="E51" s="329">
        <v>51009</v>
      </c>
      <c r="F51" s="335">
        <f>E51/'- 3 -'!$D51*100</f>
        <v>0.2590716996127409</v>
      </c>
      <c r="G51" s="329">
        <f>E51/'- 7 -'!$E51</f>
        <v>70.561626781020891</v>
      </c>
    </row>
    <row r="52" spans="1:10" ht="50.1" customHeight="1">
      <c r="A52" s="30"/>
      <c r="B52" s="30"/>
      <c r="C52" s="30"/>
      <c r="D52" s="30"/>
      <c r="E52" s="30"/>
      <c r="F52" s="30"/>
      <c r="G52" s="30"/>
      <c r="H52" s="30"/>
      <c r="I52" s="30"/>
      <c r="J52" s="30"/>
    </row>
    <row r="53" spans="1:10" ht="15" customHeight="1">
      <c r="A53" s="96" t="s">
        <v>613</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sheetPr codeName="Sheet27">
    <pageSetUpPr fitToPage="1"/>
  </sheetPr>
  <dimension ref="A1:G52"/>
  <sheetViews>
    <sheetView showGridLines="0" showZeros="0" workbookViewId="0"/>
  </sheetViews>
  <sheetFormatPr defaultColWidth="15.83203125" defaultRowHeight="12"/>
  <cols>
    <col min="1" max="1" width="32.83203125" style="1" customWidth="1"/>
    <col min="2" max="2" width="16.83203125" style="1" customWidth="1"/>
    <col min="3" max="3" width="15.83203125" style="1"/>
    <col min="4" max="4" width="17.83203125" style="1" customWidth="1"/>
    <col min="5" max="5" width="15.83203125" style="1"/>
    <col min="6" max="6" width="17.83203125" style="1" customWidth="1"/>
    <col min="7" max="16384" width="15.83203125" style="1"/>
  </cols>
  <sheetData>
    <row r="1" spans="1:7" ht="6.95" customHeight="1">
      <c r="A1" s="6"/>
      <c r="B1" s="7"/>
      <c r="C1" s="7"/>
      <c r="D1" s="7"/>
      <c r="E1" s="7"/>
      <c r="F1" s="7"/>
      <c r="G1" s="7"/>
    </row>
    <row r="2" spans="1:7" ht="15.95" customHeight="1">
      <c r="A2" s="152"/>
      <c r="B2" s="8" t="s">
        <v>478</v>
      </c>
      <c r="C2" s="9"/>
      <c r="D2" s="9"/>
      <c r="E2" s="9"/>
      <c r="F2" s="82"/>
      <c r="G2" s="487" t="s">
        <v>442</v>
      </c>
    </row>
    <row r="3" spans="1:7" ht="15.95" customHeight="1">
      <c r="A3" s="10"/>
      <c r="B3" s="10" t="str">
        <f>OPYEAR</f>
        <v>OPERATING FUND 2013/2014 ACTUAL</v>
      </c>
      <c r="C3" s="11"/>
      <c r="D3" s="11"/>
      <c r="E3" s="11"/>
      <c r="F3" s="84"/>
      <c r="G3" s="74"/>
    </row>
    <row r="4" spans="1:7" ht="15.95" customHeight="1">
      <c r="B4" s="7"/>
      <c r="C4" s="7"/>
      <c r="D4" s="7"/>
      <c r="E4" s="7"/>
      <c r="F4" s="7"/>
      <c r="G4" s="7"/>
    </row>
    <row r="5" spans="1:7" ht="15.95" customHeight="1">
      <c r="B5" s="7"/>
      <c r="C5" s="7"/>
      <c r="D5" s="7"/>
      <c r="E5" s="7"/>
      <c r="F5" s="7"/>
      <c r="G5" s="7"/>
    </row>
    <row r="6" spans="1:7" ht="15.95" customHeight="1">
      <c r="B6" s="185" t="s">
        <v>32</v>
      </c>
      <c r="C6" s="186"/>
      <c r="D6" s="187"/>
      <c r="E6" s="187"/>
      <c r="F6" s="187"/>
      <c r="G6" s="188"/>
    </row>
    <row r="7" spans="1:7" ht="15.95" customHeight="1">
      <c r="B7" s="355"/>
      <c r="C7" s="356"/>
      <c r="D7" s="355"/>
      <c r="E7" s="356"/>
      <c r="F7" s="355" t="s">
        <v>58</v>
      </c>
      <c r="G7" s="356"/>
    </row>
    <row r="8" spans="1:7" ht="15.95" customHeight="1">
      <c r="A8" s="75"/>
      <c r="B8" s="343" t="s">
        <v>43</v>
      </c>
      <c r="C8" s="344"/>
      <c r="D8" s="342" t="s">
        <v>75</v>
      </c>
      <c r="E8" s="344"/>
      <c r="F8" s="342" t="s">
        <v>76</v>
      </c>
      <c r="G8" s="344"/>
    </row>
    <row r="9" spans="1:7" ht="15.95" customHeight="1">
      <c r="A9" s="42" t="s">
        <v>93</v>
      </c>
      <c r="B9" s="189" t="s">
        <v>94</v>
      </c>
      <c r="C9" s="189" t="s">
        <v>95</v>
      </c>
      <c r="D9" s="189" t="s">
        <v>94</v>
      </c>
      <c r="E9" s="189" t="s">
        <v>95</v>
      </c>
      <c r="F9" s="189" t="s">
        <v>94</v>
      </c>
      <c r="G9" s="189" t="s">
        <v>95</v>
      </c>
    </row>
    <row r="10" spans="1:7" ht="5.0999999999999996" customHeight="1">
      <c r="A10" s="5"/>
    </row>
    <row r="11" spans="1:7" ht="14.1" customHeight="1">
      <c r="A11" s="328" t="s">
        <v>235</v>
      </c>
      <c r="B11" s="329">
        <v>60838</v>
      </c>
      <c r="C11" s="335">
        <f>B11/'- 3 -'!$D11*100</f>
        <v>0.36515046416267088</v>
      </c>
      <c r="D11" s="329">
        <v>1012880</v>
      </c>
      <c r="E11" s="335">
        <f>D11/'- 3 -'!$D11*100</f>
        <v>6.0793188819666337</v>
      </c>
      <c r="F11" s="329">
        <v>6024</v>
      </c>
      <c r="G11" s="335">
        <f>F11/'- 3 -'!$D11*100</f>
        <v>3.6156126041551814E-2</v>
      </c>
    </row>
    <row r="12" spans="1:7" ht="14.1" customHeight="1">
      <c r="A12" s="26" t="s">
        <v>236</v>
      </c>
      <c r="B12" s="27">
        <v>82494</v>
      </c>
      <c r="C12" s="79">
        <f>B12/'- 3 -'!$D12*100</f>
        <v>0.27705916278117509</v>
      </c>
      <c r="D12" s="27">
        <v>1937566</v>
      </c>
      <c r="E12" s="79">
        <f>D12/'- 3 -'!$D12*100</f>
        <v>6.5073873711211743</v>
      </c>
      <c r="F12" s="27">
        <v>0</v>
      </c>
      <c r="G12" s="79">
        <f>F12/'- 3 -'!$D12*100</f>
        <v>0</v>
      </c>
    </row>
    <row r="13" spans="1:7" ht="14.1" customHeight="1">
      <c r="A13" s="328" t="s">
        <v>237</v>
      </c>
      <c r="B13" s="329">
        <v>170683</v>
      </c>
      <c r="C13" s="335">
        <f>B13/'- 3 -'!$D13*100</f>
        <v>0.20351240401085516</v>
      </c>
      <c r="D13" s="329">
        <v>1802188</v>
      </c>
      <c r="E13" s="335">
        <f>D13/'- 3 -'!$D13*100</f>
        <v>2.1488233295613215</v>
      </c>
      <c r="F13" s="329">
        <v>0</v>
      </c>
      <c r="G13" s="335">
        <f>F13/'- 3 -'!$D13*100</f>
        <v>0</v>
      </c>
    </row>
    <row r="14" spans="1:7" ht="14.1" customHeight="1">
      <c r="A14" s="26" t="s">
        <v>636</v>
      </c>
      <c r="B14" s="27">
        <v>205659</v>
      </c>
      <c r="C14" s="79">
        <f>B14/'- 3 -'!$D14*100</f>
        <v>0.28169169188871501</v>
      </c>
      <c r="D14" s="27">
        <v>7010062</v>
      </c>
      <c r="E14" s="79">
        <f>D14/'- 3 -'!$D14*100</f>
        <v>9.6017009954574775</v>
      </c>
      <c r="F14" s="27">
        <v>241387</v>
      </c>
      <c r="G14" s="79">
        <f>F14/'- 3 -'!$D14*100</f>
        <v>0.33062843070296583</v>
      </c>
    </row>
    <row r="15" spans="1:7" ht="14.1" customHeight="1">
      <c r="A15" s="328" t="s">
        <v>238</v>
      </c>
      <c r="B15" s="329">
        <v>83291</v>
      </c>
      <c r="C15" s="335">
        <f>B15/'- 3 -'!$D15*100</f>
        <v>0.4389523157737299</v>
      </c>
      <c r="D15" s="329">
        <v>1245076</v>
      </c>
      <c r="E15" s="335">
        <f>D15/'- 3 -'!$D15*100</f>
        <v>6.5616812562496847</v>
      </c>
      <c r="F15" s="329">
        <v>2494</v>
      </c>
      <c r="G15" s="335">
        <f>F15/'- 3 -'!$D15*100</f>
        <v>1.3143641876549476E-2</v>
      </c>
    </row>
    <row r="16" spans="1:7" ht="14.1" customHeight="1">
      <c r="A16" s="26" t="s">
        <v>239</v>
      </c>
      <c r="B16" s="27">
        <v>0</v>
      </c>
      <c r="C16" s="79">
        <f>B16/'- 3 -'!$D16*100</f>
        <v>0</v>
      </c>
      <c r="D16" s="27">
        <v>350992</v>
      </c>
      <c r="E16" s="79">
        <f>D16/'- 3 -'!$D16*100</f>
        <v>2.6927451036952976</v>
      </c>
      <c r="F16" s="27">
        <v>0</v>
      </c>
      <c r="G16" s="79">
        <f>F16/'- 3 -'!$D16*100</f>
        <v>0</v>
      </c>
    </row>
    <row r="17" spans="1:7" ht="14.1" customHeight="1">
      <c r="A17" s="328" t="s">
        <v>240</v>
      </c>
      <c r="B17" s="329">
        <v>51497</v>
      </c>
      <c r="C17" s="335">
        <f>B17/'- 3 -'!$D17*100</f>
        <v>0.31391680354338231</v>
      </c>
      <c r="D17" s="329">
        <v>1285240</v>
      </c>
      <c r="E17" s="335">
        <f>D17/'- 3 -'!$D17*100</f>
        <v>7.8346007065673087</v>
      </c>
      <c r="F17" s="329">
        <v>0</v>
      </c>
      <c r="G17" s="335">
        <f>F17/'- 3 -'!$D17*100</f>
        <v>0</v>
      </c>
    </row>
    <row r="18" spans="1:7" ht="14.1" customHeight="1">
      <c r="A18" s="26" t="s">
        <v>241</v>
      </c>
      <c r="B18" s="27">
        <v>296237</v>
      </c>
      <c r="C18" s="79">
        <f>B18/'- 3 -'!$D18*100</f>
        <v>0.2493292223557928</v>
      </c>
      <c r="D18" s="27">
        <v>7041064</v>
      </c>
      <c r="E18" s="79">
        <f>D18/'- 3 -'!$D18*100</f>
        <v>5.926143633905852</v>
      </c>
      <c r="F18" s="27">
        <v>94503</v>
      </c>
      <c r="G18" s="79">
        <f>F18/'- 3 -'!$D18*100</f>
        <v>7.9538881032043554E-2</v>
      </c>
    </row>
    <row r="19" spans="1:7" ht="14.1" customHeight="1">
      <c r="A19" s="328" t="s">
        <v>242</v>
      </c>
      <c r="B19" s="329">
        <v>153841</v>
      </c>
      <c r="C19" s="335">
        <f>B19/'- 3 -'!$D19*100</f>
        <v>0.35528449456536498</v>
      </c>
      <c r="D19" s="329">
        <v>2328921</v>
      </c>
      <c r="E19" s="335">
        <f>D19/'- 3 -'!$D19*100</f>
        <v>5.378472061203869</v>
      </c>
      <c r="F19" s="329">
        <v>23894</v>
      </c>
      <c r="G19" s="335">
        <f>F19/'- 3 -'!$D19*100</f>
        <v>5.5181438713638314E-2</v>
      </c>
    </row>
    <row r="20" spans="1:7" ht="14.1" customHeight="1">
      <c r="A20" s="26" t="s">
        <v>243</v>
      </c>
      <c r="B20" s="27">
        <v>222411</v>
      </c>
      <c r="C20" s="79">
        <f>B20/'- 3 -'!$D20*100</f>
        <v>0.31479827467372717</v>
      </c>
      <c r="D20" s="27">
        <v>3040612</v>
      </c>
      <c r="E20" s="79">
        <f>D20/'- 3 -'!$D20*100</f>
        <v>4.3036514001206365</v>
      </c>
      <c r="F20" s="27">
        <v>2704</v>
      </c>
      <c r="G20" s="79">
        <f>F20/'- 3 -'!$D20*100</f>
        <v>3.827214187777395E-3</v>
      </c>
    </row>
    <row r="21" spans="1:7" ht="14.1" customHeight="1">
      <c r="A21" s="328" t="s">
        <v>244</v>
      </c>
      <c r="B21" s="329">
        <v>161945</v>
      </c>
      <c r="C21" s="335">
        <f>B21/'- 3 -'!$D21*100</f>
        <v>0.46746669106786315</v>
      </c>
      <c r="D21" s="329">
        <v>1952436</v>
      </c>
      <c r="E21" s="335">
        <f>D21/'- 3 -'!$D21*100</f>
        <v>5.635856596015774</v>
      </c>
      <c r="F21" s="329">
        <v>8955</v>
      </c>
      <c r="G21" s="335">
        <f>F21/'- 3 -'!$D21*100</f>
        <v>2.5849295862871435E-2</v>
      </c>
    </row>
    <row r="22" spans="1:7" ht="14.1" customHeight="1">
      <c r="A22" s="26" t="s">
        <v>245</v>
      </c>
      <c r="B22" s="27">
        <v>89487</v>
      </c>
      <c r="C22" s="79">
        <f>B22/'- 3 -'!$D22*100</f>
        <v>0.46439079008863732</v>
      </c>
      <c r="D22" s="27">
        <v>437553</v>
      </c>
      <c r="E22" s="79">
        <f>D22/'- 3 -'!$D22*100</f>
        <v>2.2706715319057911</v>
      </c>
      <c r="F22" s="27">
        <v>3294</v>
      </c>
      <c r="G22" s="79">
        <f>F22/'- 3 -'!$D22*100</f>
        <v>1.7094139512465179E-2</v>
      </c>
    </row>
    <row r="23" spans="1:7" ht="14.1" customHeight="1">
      <c r="A23" s="328" t="s">
        <v>246</v>
      </c>
      <c r="B23" s="329">
        <v>83401</v>
      </c>
      <c r="C23" s="335">
        <f>B23/'- 3 -'!$D23*100</f>
        <v>0.51381666637402879</v>
      </c>
      <c r="D23" s="329">
        <v>1510176</v>
      </c>
      <c r="E23" s="335">
        <f>D23/'- 3 -'!$D23*100</f>
        <v>9.3038884181012858</v>
      </c>
      <c r="F23" s="329">
        <v>0</v>
      </c>
      <c r="G23" s="335">
        <f>F23/'- 3 -'!$D23*100</f>
        <v>0</v>
      </c>
    </row>
    <row r="24" spans="1:7" ht="14.1" customHeight="1">
      <c r="A24" s="26" t="s">
        <v>247</v>
      </c>
      <c r="B24" s="27">
        <v>160132</v>
      </c>
      <c r="C24" s="79">
        <f>B24/'- 3 -'!$D24*100</f>
        <v>0.30658317936398755</v>
      </c>
      <c r="D24" s="27">
        <v>2153738</v>
      </c>
      <c r="E24" s="79">
        <f>D24/'- 3 -'!$D24*100</f>
        <v>4.1234721577013698</v>
      </c>
      <c r="F24" s="27">
        <v>2492</v>
      </c>
      <c r="G24" s="79">
        <f>F24/'- 3 -'!$D24*100</f>
        <v>4.7710968636815679E-3</v>
      </c>
    </row>
    <row r="25" spans="1:7" ht="14.1" customHeight="1">
      <c r="A25" s="328" t="s">
        <v>248</v>
      </c>
      <c r="B25" s="329">
        <v>253345</v>
      </c>
      <c r="C25" s="335">
        <f>B25/'- 3 -'!$D25*100</f>
        <v>0.16439647642503136</v>
      </c>
      <c r="D25" s="329">
        <v>3048575</v>
      </c>
      <c r="E25" s="335">
        <f>D25/'- 3 -'!$D25*100</f>
        <v>1.9782312187627147</v>
      </c>
      <c r="F25" s="329">
        <v>3007</v>
      </c>
      <c r="G25" s="335">
        <f>F25/'- 3 -'!$D25*100</f>
        <v>1.9512530525965354E-3</v>
      </c>
    </row>
    <row r="26" spans="1:7" ht="14.1" customHeight="1">
      <c r="A26" s="26" t="s">
        <v>249</v>
      </c>
      <c r="B26" s="27">
        <v>199482</v>
      </c>
      <c r="C26" s="79">
        <f>B26/'- 3 -'!$D26*100</f>
        <v>0.53053899780251923</v>
      </c>
      <c r="D26" s="27">
        <v>2682143</v>
      </c>
      <c r="E26" s="79">
        <f>D26/'- 3 -'!$D26*100</f>
        <v>7.1333827572565065</v>
      </c>
      <c r="F26" s="27">
        <v>10122</v>
      </c>
      <c r="G26" s="79">
        <f>F26/'- 3 -'!$D26*100</f>
        <v>2.6920302261643155E-2</v>
      </c>
    </row>
    <row r="27" spans="1:7" ht="14.1" customHeight="1">
      <c r="A27" s="328" t="s">
        <v>250</v>
      </c>
      <c r="B27" s="329">
        <v>0</v>
      </c>
      <c r="C27" s="335">
        <f>B27/'- 3 -'!$D27*100</f>
        <v>0</v>
      </c>
      <c r="D27" s="329">
        <v>0</v>
      </c>
      <c r="E27" s="335">
        <f>D27/'- 3 -'!$D27*100</f>
        <v>0</v>
      </c>
      <c r="F27" s="329">
        <v>195453</v>
      </c>
      <c r="G27" s="335">
        <f>F27/'- 3 -'!$D27*100</f>
        <v>0.5312018907181334</v>
      </c>
    </row>
    <row r="28" spans="1:7" ht="14.1" customHeight="1">
      <c r="A28" s="26" t="s">
        <v>251</v>
      </c>
      <c r="B28" s="27">
        <v>79819</v>
      </c>
      <c r="C28" s="79">
        <f>B28/'- 3 -'!$D28*100</f>
        <v>0.29570417801303345</v>
      </c>
      <c r="D28" s="27">
        <v>1862201</v>
      </c>
      <c r="E28" s="79">
        <f>D28/'- 3 -'!$D28*100</f>
        <v>6.8988663851971195</v>
      </c>
      <c r="F28" s="27">
        <v>8571</v>
      </c>
      <c r="G28" s="79">
        <f>F28/'- 3 -'!$D28*100</f>
        <v>3.1752847188635656E-2</v>
      </c>
    </row>
    <row r="29" spans="1:7" ht="14.1" customHeight="1">
      <c r="A29" s="328" t="s">
        <v>252</v>
      </c>
      <c r="B29" s="329">
        <v>172859</v>
      </c>
      <c r="C29" s="335">
        <f>B29/'- 3 -'!$D29*100</f>
        <v>0.12278898719760062</v>
      </c>
      <c r="D29" s="329">
        <v>1767586</v>
      </c>
      <c r="E29" s="335">
        <f>D29/'- 3 -'!$D29*100</f>
        <v>1.2555903639651862</v>
      </c>
      <c r="F29" s="329">
        <v>90177</v>
      </c>
      <c r="G29" s="335">
        <f>F29/'- 3 -'!$D29*100</f>
        <v>6.4056499797627148E-2</v>
      </c>
    </row>
    <row r="30" spans="1:7" ht="14.1" customHeight="1">
      <c r="A30" s="26" t="s">
        <v>253</v>
      </c>
      <c r="B30" s="27">
        <v>55575</v>
      </c>
      <c r="C30" s="79">
        <f>B30/'- 3 -'!$D30*100</f>
        <v>0.41311044175945577</v>
      </c>
      <c r="D30" s="27">
        <v>1090201</v>
      </c>
      <c r="E30" s="79">
        <f>D30/'- 3 -'!$D30*100</f>
        <v>8.1038851410994237</v>
      </c>
      <c r="F30" s="27">
        <v>0</v>
      </c>
      <c r="G30" s="79">
        <f>F30/'- 3 -'!$D30*100</f>
        <v>0</v>
      </c>
    </row>
    <row r="31" spans="1:7" ht="14.1" customHeight="1">
      <c r="A31" s="328" t="s">
        <v>254</v>
      </c>
      <c r="B31" s="329">
        <v>86937</v>
      </c>
      <c r="C31" s="335">
        <f>B31/'- 3 -'!$D31*100</f>
        <v>0.25789572608072542</v>
      </c>
      <c r="D31" s="329">
        <v>1001361</v>
      </c>
      <c r="E31" s="335">
        <f>D31/'- 3 -'!$D31*100</f>
        <v>2.9705041830741945</v>
      </c>
      <c r="F31" s="329">
        <v>4661</v>
      </c>
      <c r="G31" s="335">
        <f>F31/'- 3 -'!$D31*100</f>
        <v>1.3826701856082691E-2</v>
      </c>
    </row>
    <row r="32" spans="1:7" ht="14.1" customHeight="1">
      <c r="A32" s="26" t="s">
        <v>255</v>
      </c>
      <c r="B32" s="27">
        <v>94338</v>
      </c>
      <c r="C32" s="79">
        <f>B32/'- 3 -'!$D32*100</f>
        <v>0.36245685023775354</v>
      </c>
      <c r="D32" s="27">
        <v>1826743</v>
      </c>
      <c r="E32" s="79">
        <f>D32/'- 3 -'!$D32*100</f>
        <v>7.0185451670998393</v>
      </c>
      <c r="F32" s="27">
        <v>7461</v>
      </c>
      <c r="G32" s="79">
        <f>F32/'- 3 -'!$D32*100</f>
        <v>2.866597298674849E-2</v>
      </c>
    </row>
    <row r="33" spans="1:7" ht="14.1" customHeight="1">
      <c r="A33" s="328" t="s">
        <v>256</v>
      </c>
      <c r="B33" s="329">
        <v>88435</v>
      </c>
      <c r="C33" s="335">
        <f>B33/'- 3 -'!$D33*100</f>
        <v>0.33778804084044001</v>
      </c>
      <c r="D33" s="329">
        <v>2373164</v>
      </c>
      <c r="E33" s="335">
        <f>D33/'- 3 -'!$D33*100</f>
        <v>9.0645832323521454</v>
      </c>
      <c r="F33" s="329">
        <v>0</v>
      </c>
      <c r="G33" s="335">
        <f>F33/'- 3 -'!$D33*100</f>
        <v>0</v>
      </c>
    </row>
    <row r="34" spans="1:7" ht="14.1" customHeight="1">
      <c r="A34" s="26" t="s">
        <v>257</v>
      </c>
      <c r="B34" s="27">
        <v>89012</v>
      </c>
      <c r="C34" s="79">
        <f>B34/'- 3 -'!$D34*100</f>
        <v>0.35287370342838775</v>
      </c>
      <c r="D34" s="27">
        <v>2262421</v>
      </c>
      <c r="E34" s="79">
        <f>D34/'- 3 -'!$D34*100</f>
        <v>8.9690027971976409</v>
      </c>
      <c r="F34" s="27">
        <v>479</v>
      </c>
      <c r="G34" s="79">
        <f>F34/'- 3 -'!$D34*100</f>
        <v>1.8989181676874771E-3</v>
      </c>
    </row>
    <row r="35" spans="1:7" ht="14.1" customHeight="1">
      <c r="A35" s="328" t="s">
        <v>258</v>
      </c>
      <c r="B35" s="329">
        <v>336493</v>
      </c>
      <c r="C35" s="335">
        <f>B35/'- 3 -'!$D35*100</f>
        <v>0.19641835097836263</v>
      </c>
      <c r="D35" s="329">
        <v>3271367</v>
      </c>
      <c r="E35" s="335">
        <f>D35/'- 3 -'!$D35*100</f>
        <v>1.9095687327374811</v>
      </c>
      <c r="F35" s="329">
        <v>15724</v>
      </c>
      <c r="G35" s="335">
        <f>F35/'- 3 -'!$D35*100</f>
        <v>9.1784439818473913E-3</v>
      </c>
    </row>
    <row r="36" spans="1:7" ht="14.1" customHeight="1">
      <c r="A36" s="26" t="s">
        <v>259</v>
      </c>
      <c r="B36" s="27">
        <v>56846</v>
      </c>
      <c r="C36" s="79">
        <f>B36/'- 3 -'!$D36*100</f>
        <v>0.26572240772940608</v>
      </c>
      <c r="D36" s="27">
        <v>1377456</v>
      </c>
      <c r="E36" s="79">
        <f>D36/'- 3 -'!$D36*100</f>
        <v>6.4388158333271788</v>
      </c>
      <c r="F36" s="27">
        <v>4538</v>
      </c>
      <c r="G36" s="79">
        <f>F36/'- 3 -'!$D36*100</f>
        <v>2.1212544176829416E-2</v>
      </c>
    </row>
    <row r="37" spans="1:7" ht="14.1" customHeight="1">
      <c r="A37" s="328" t="s">
        <v>260</v>
      </c>
      <c r="B37" s="329">
        <v>175816</v>
      </c>
      <c r="C37" s="335">
        <f>B37/'- 3 -'!$D37*100</f>
        <v>0.41498327153564224</v>
      </c>
      <c r="D37" s="329">
        <v>2699749</v>
      </c>
      <c r="E37" s="335">
        <f>D37/'- 3 -'!$D37*100</f>
        <v>6.372290760482997</v>
      </c>
      <c r="F37" s="329">
        <v>138</v>
      </c>
      <c r="G37" s="335">
        <f>F37/'- 3 -'!$D37*100</f>
        <v>3.2572514146561539E-4</v>
      </c>
    </row>
    <row r="38" spans="1:7" ht="14.1" customHeight="1">
      <c r="A38" s="26" t="s">
        <v>261</v>
      </c>
      <c r="B38" s="27">
        <v>259223</v>
      </c>
      <c r="C38" s="79">
        <f>B38/'- 3 -'!$D38*100</f>
        <v>0.22535021680296857</v>
      </c>
      <c r="D38" s="27">
        <v>2753102</v>
      </c>
      <c r="E38" s="79">
        <f>D38/'- 3 -'!$D38*100</f>
        <v>2.3933529531742415</v>
      </c>
      <c r="F38" s="27">
        <v>178485</v>
      </c>
      <c r="G38" s="79">
        <f>F38/'- 3 -'!$D38*100</f>
        <v>0.15516228670325488</v>
      </c>
    </row>
    <row r="39" spans="1:7" ht="14.1" customHeight="1">
      <c r="A39" s="328" t="s">
        <v>262</v>
      </c>
      <c r="B39" s="329">
        <v>82804</v>
      </c>
      <c r="C39" s="335">
        <f>B39/'- 3 -'!$D39*100</f>
        <v>0.40899979338605191</v>
      </c>
      <c r="D39" s="329">
        <v>1886552</v>
      </c>
      <c r="E39" s="335">
        <f>D39/'- 3 -'!$D39*100</f>
        <v>9.3183829067683099</v>
      </c>
      <c r="F39" s="329">
        <v>690</v>
      </c>
      <c r="G39" s="335">
        <f>F39/'- 3 -'!$D39*100</f>
        <v>3.4081669658032926E-3</v>
      </c>
    </row>
    <row r="40" spans="1:7" ht="14.1" customHeight="1">
      <c r="A40" s="26" t="s">
        <v>263</v>
      </c>
      <c r="B40" s="27">
        <v>118574</v>
      </c>
      <c r="C40" s="79">
        <f>B40/'- 3 -'!$D40*100</f>
        <v>0.12461446172614371</v>
      </c>
      <c r="D40" s="27">
        <v>1647187</v>
      </c>
      <c r="E40" s="79">
        <f>D40/'- 3 -'!$D40*100</f>
        <v>1.7310989033624695</v>
      </c>
      <c r="F40" s="27">
        <v>5446</v>
      </c>
      <c r="G40" s="79">
        <f>F40/'- 3 -'!$D40*100</f>
        <v>5.7234331182264122E-3</v>
      </c>
    </row>
    <row r="41" spans="1:7" ht="14.1" customHeight="1">
      <c r="A41" s="328" t="s">
        <v>264</v>
      </c>
      <c r="B41" s="329">
        <v>312267</v>
      </c>
      <c r="C41" s="335">
        <f>B41/'- 3 -'!$D41*100</f>
        <v>0.53281788376974759</v>
      </c>
      <c r="D41" s="329">
        <v>4324976</v>
      </c>
      <c r="E41" s="335">
        <f>D41/'- 3 -'!$D41*100</f>
        <v>7.3796608661015979</v>
      </c>
      <c r="F41" s="329">
        <v>5468</v>
      </c>
      <c r="G41" s="335">
        <f>F41/'- 3 -'!$D41*100</f>
        <v>9.3299906440737559E-3</v>
      </c>
    </row>
    <row r="42" spans="1:7" ht="14.1" customHeight="1">
      <c r="A42" s="26" t="s">
        <v>265</v>
      </c>
      <c r="B42" s="27">
        <v>95883</v>
      </c>
      <c r="C42" s="79">
        <f>B42/'- 3 -'!$D42*100</f>
        <v>0.47591646666606768</v>
      </c>
      <c r="D42" s="27">
        <v>1439168</v>
      </c>
      <c r="E42" s="79">
        <f>D42/'- 3 -'!$D42*100</f>
        <v>7.1433283220056873</v>
      </c>
      <c r="F42" s="27">
        <v>0</v>
      </c>
      <c r="G42" s="79">
        <f>F42/'- 3 -'!$D42*100</f>
        <v>0</v>
      </c>
    </row>
    <row r="43" spans="1:7" ht="14.1" customHeight="1">
      <c r="A43" s="328" t="s">
        <v>266</v>
      </c>
      <c r="B43" s="329">
        <v>10116</v>
      </c>
      <c r="C43" s="335">
        <f>B43/'- 3 -'!$D43*100</f>
        <v>8.1990252594169657E-2</v>
      </c>
      <c r="D43" s="329">
        <v>1090144</v>
      </c>
      <c r="E43" s="335">
        <f>D43/'- 3 -'!$D43*100</f>
        <v>8.8356249430623244</v>
      </c>
      <c r="F43" s="329">
        <v>15954</v>
      </c>
      <c r="G43" s="335">
        <f>F43/'- 3 -'!$D43*100</f>
        <v>0.12930728448866968</v>
      </c>
    </row>
    <row r="44" spans="1:7" ht="14.1" customHeight="1">
      <c r="A44" s="26" t="s">
        <v>267</v>
      </c>
      <c r="B44" s="27">
        <v>29523</v>
      </c>
      <c r="C44" s="79">
        <f>B44/'- 3 -'!$D44*100</f>
        <v>0.2870556874226769</v>
      </c>
      <c r="D44" s="27">
        <v>1015018</v>
      </c>
      <c r="E44" s="79">
        <f>D44/'- 3 -'!$D44*100</f>
        <v>9.8691423546519879</v>
      </c>
      <c r="F44" s="27">
        <v>0</v>
      </c>
      <c r="G44" s="79">
        <f>F44/'- 3 -'!$D44*100</f>
        <v>0</v>
      </c>
    </row>
    <row r="45" spans="1:7" ht="14.1" customHeight="1">
      <c r="A45" s="328" t="s">
        <v>268</v>
      </c>
      <c r="B45" s="329">
        <v>42662</v>
      </c>
      <c r="C45" s="335">
        <f>B45/'- 3 -'!$D45*100</f>
        <v>0.25270868680631653</v>
      </c>
      <c r="D45" s="329">
        <v>585330</v>
      </c>
      <c r="E45" s="335">
        <f>D45/'- 3 -'!$D45*100</f>
        <v>3.4672067799995605</v>
      </c>
      <c r="F45" s="329">
        <v>17602</v>
      </c>
      <c r="G45" s="335">
        <f>F45/'- 3 -'!$D45*100</f>
        <v>0.10426558307544849</v>
      </c>
    </row>
    <row r="46" spans="1:7" ht="14.1" customHeight="1">
      <c r="A46" s="26" t="s">
        <v>269</v>
      </c>
      <c r="B46" s="27">
        <v>304601</v>
      </c>
      <c r="C46" s="79">
        <f>B46/'- 3 -'!$D46*100</f>
        <v>8.5550091065329487E-2</v>
      </c>
      <c r="D46" s="27">
        <v>4169688</v>
      </c>
      <c r="E46" s="79">
        <f>D46/'- 3 -'!$D46*100</f>
        <v>1.1710965758944047</v>
      </c>
      <c r="F46" s="27">
        <v>0</v>
      </c>
      <c r="G46" s="79">
        <f>F46/'- 3 -'!$D46*100</f>
        <v>0</v>
      </c>
    </row>
    <row r="47" spans="1:7" ht="5.0999999999999996" customHeight="1">
      <c r="A47"/>
      <c r="B47" s="29"/>
      <c r="C47"/>
      <c r="D47" s="29"/>
      <c r="E47"/>
      <c r="F47" s="29"/>
      <c r="G47"/>
    </row>
    <row r="48" spans="1:7" ht="14.1" customHeight="1">
      <c r="A48" s="330" t="s">
        <v>270</v>
      </c>
      <c r="B48" s="331">
        <f>SUM(B11:B46)</f>
        <v>4766526</v>
      </c>
      <c r="C48" s="338">
        <f>B48/'- 3 -'!$D48*100</f>
        <v>0.23054004233908992</v>
      </c>
      <c r="D48" s="331">
        <f>SUM(D11:D46)</f>
        <v>77282636</v>
      </c>
      <c r="E48" s="338">
        <f>D48/'- 3 -'!$D48*100</f>
        <v>3.7378883856956771</v>
      </c>
      <c r="F48" s="331">
        <f>SUM(F11:F46)</f>
        <v>949723</v>
      </c>
      <c r="G48" s="338">
        <f>F48/'- 3 -'!$D48*100</f>
        <v>4.593475009480856E-2</v>
      </c>
    </row>
    <row r="49" spans="1:7" ht="5.0999999999999996" customHeight="1">
      <c r="A49" s="28" t="s">
        <v>16</v>
      </c>
      <c r="B49" s="29"/>
      <c r="C49"/>
      <c r="D49" s="29"/>
      <c r="E49"/>
      <c r="F49" s="29"/>
      <c r="G49"/>
    </row>
    <row r="50" spans="1:7" ht="14.1" customHeight="1">
      <c r="A50" s="26" t="s">
        <v>271</v>
      </c>
      <c r="B50" s="27">
        <v>0</v>
      </c>
      <c r="C50" s="79">
        <f>B50/'- 3 -'!$D50*100</f>
        <v>0</v>
      </c>
      <c r="D50" s="27">
        <v>2940</v>
      </c>
      <c r="E50" s="79">
        <f>D50/'- 3 -'!$D50*100</f>
        <v>9.2341265678384798E-2</v>
      </c>
      <c r="F50" s="27">
        <v>7260</v>
      </c>
      <c r="G50" s="79">
        <f>F50/'- 3 -'!$D50*100</f>
        <v>0.22802639075682776</v>
      </c>
    </row>
    <row r="51" spans="1:7" ht="14.1" customHeight="1">
      <c r="A51" s="328" t="s">
        <v>272</v>
      </c>
      <c r="B51" s="329">
        <v>0</v>
      </c>
      <c r="C51" s="335">
        <f>B51/'- 3 -'!$D51*100</f>
        <v>0</v>
      </c>
      <c r="D51" s="329">
        <v>0</v>
      </c>
      <c r="E51" s="335">
        <f>D51/'- 3 -'!$D51*100</f>
        <v>0</v>
      </c>
      <c r="F51" s="329">
        <v>0</v>
      </c>
      <c r="G51" s="335">
        <f>F51/'- 3 -'!$D51*100</f>
        <v>0</v>
      </c>
    </row>
    <row r="52" spans="1:7"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sheetPr codeName="Sheet28">
    <pageSetUpPr fitToPage="1"/>
  </sheetPr>
  <dimension ref="A1:G52"/>
  <sheetViews>
    <sheetView showGridLines="0" showZeros="0" workbookViewId="0"/>
  </sheetViews>
  <sheetFormatPr defaultColWidth="15.83203125" defaultRowHeight="12"/>
  <cols>
    <col min="1" max="1" width="33.83203125" style="1" customWidth="1"/>
    <col min="2" max="2" width="19.83203125" style="1" customWidth="1"/>
    <col min="3" max="3" width="15.83203125" style="1"/>
    <col min="4" max="4" width="19.83203125" style="1" customWidth="1"/>
    <col min="5" max="5" width="15.83203125" style="1"/>
    <col min="6" max="6" width="11.83203125" style="1" customWidth="1"/>
    <col min="7" max="16384" width="15.83203125" style="1"/>
  </cols>
  <sheetData>
    <row r="1" spans="1:7" ht="6.95" customHeight="1">
      <c r="A1" s="6"/>
      <c r="B1" s="7"/>
      <c r="C1" s="7"/>
      <c r="D1" s="7"/>
      <c r="E1" s="7"/>
      <c r="F1" s="7"/>
      <c r="G1" s="7"/>
    </row>
    <row r="2" spans="1:7" ht="15.95" customHeight="1">
      <c r="A2" s="152"/>
      <c r="B2" s="8" t="s">
        <v>478</v>
      </c>
      <c r="C2" s="9"/>
      <c r="D2" s="9"/>
      <c r="E2" s="9"/>
      <c r="F2" s="82"/>
      <c r="G2" s="487" t="s">
        <v>441</v>
      </c>
    </row>
    <row r="3" spans="1:7" ht="15.95" customHeight="1">
      <c r="A3" s="697"/>
      <c r="B3" s="10" t="str">
        <f>OPYEAR</f>
        <v>OPERATING FUND 2013/2014 ACTUAL</v>
      </c>
      <c r="C3" s="11"/>
      <c r="D3" s="11"/>
      <c r="E3" s="11"/>
      <c r="F3" s="84"/>
      <c r="G3" s="74"/>
    </row>
    <row r="4" spans="1:7" ht="15.95" customHeight="1">
      <c r="B4" s="7"/>
      <c r="C4" s="7"/>
      <c r="D4" s="7"/>
      <c r="E4" s="7"/>
      <c r="F4" s="7"/>
      <c r="G4" s="7"/>
    </row>
    <row r="5" spans="1:7" ht="15.95" customHeight="1">
      <c r="B5" s="7"/>
      <c r="C5" s="7"/>
      <c r="D5" s="7"/>
      <c r="E5" s="7"/>
      <c r="F5" s="7"/>
      <c r="G5" s="7"/>
    </row>
    <row r="6" spans="1:7" ht="15.95" customHeight="1">
      <c r="B6" s="185" t="s">
        <v>32</v>
      </c>
      <c r="C6" s="193"/>
      <c r="D6" s="194"/>
      <c r="E6" s="195"/>
      <c r="F6" s="7"/>
      <c r="G6" s="50"/>
    </row>
    <row r="7" spans="1:7" ht="15.95" customHeight="1">
      <c r="B7" s="355" t="s">
        <v>59</v>
      </c>
      <c r="C7" s="356"/>
      <c r="D7" s="355" t="s">
        <v>275</v>
      </c>
      <c r="E7" s="356"/>
      <c r="F7" s="78"/>
      <c r="G7" s="7"/>
    </row>
    <row r="8" spans="1:7" ht="15.95" customHeight="1">
      <c r="A8" s="75"/>
      <c r="B8" s="343" t="s">
        <v>77</v>
      </c>
      <c r="C8" s="344"/>
      <c r="D8" s="342" t="s">
        <v>220</v>
      </c>
      <c r="E8" s="344"/>
      <c r="F8" s="7"/>
      <c r="G8" s="7"/>
    </row>
    <row r="9" spans="1:7" ht="15.95" customHeight="1">
      <c r="A9" s="42" t="s">
        <v>93</v>
      </c>
      <c r="B9" s="189" t="s">
        <v>94</v>
      </c>
      <c r="C9" s="189" t="s">
        <v>95</v>
      </c>
      <c r="D9" s="189" t="s">
        <v>94</v>
      </c>
      <c r="E9" s="189" t="s">
        <v>95</v>
      </c>
    </row>
    <row r="10" spans="1:7" ht="5.0999999999999996" customHeight="1">
      <c r="A10" s="5"/>
    </row>
    <row r="11" spans="1:7" ht="14.1" customHeight="1">
      <c r="A11" s="328" t="s">
        <v>235</v>
      </c>
      <c r="B11" s="329">
        <v>0</v>
      </c>
      <c r="C11" s="335">
        <f>B11/'- 3 -'!$D11*100</f>
        <v>0</v>
      </c>
      <c r="D11" s="329">
        <v>133148</v>
      </c>
      <c r="E11" s="335">
        <f>D11/'- 3 -'!$D11*100</f>
        <v>0.79915602094630489</v>
      </c>
    </row>
    <row r="12" spans="1:7" ht="14.1" customHeight="1">
      <c r="A12" s="26" t="s">
        <v>236</v>
      </c>
      <c r="B12" s="27">
        <v>0</v>
      </c>
      <c r="C12" s="79">
        <f>B12/'- 3 -'!$D12*100</f>
        <v>0</v>
      </c>
      <c r="D12" s="27">
        <v>199620</v>
      </c>
      <c r="E12" s="79">
        <f>D12/'- 3 -'!$D12*100</f>
        <v>0.67043118377552502</v>
      </c>
    </row>
    <row r="13" spans="1:7" ht="14.1" customHeight="1">
      <c r="A13" s="328" t="s">
        <v>237</v>
      </c>
      <c r="B13" s="329">
        <v>0</v>
      </c>
      <c r="C13" s="335">
        <f>B13/'- 3 -'!$D13*100</f>
        <v>0</v>
      </c>
      <c r="D13" s="329">
        <v>68857</v>
      </c>
      <c r="E13" s="335">
        <f>D13/'- 3 -'!$D13*100</f>
        <v>8.2101050502835407E-2</v>
      </c>
    </row>
    <row r="14" spans="1:7" ht="14.1" customHeight="1">
      <c r="A14" s="26" t="s">
        <v>636</v>
      </c>
      <c r="B14" s="27">
        <v>0</v>
      </c>
      <c r="C14" s="79">
        <f>B14/'- 3 -'!$D14*100</f>
        <v>0</v>
      </c>
      <c r="D14" s="27">
        <v>292664</v>
      </c>
      <c r="E14" s="79">
        <f>D14/'- 3 -'!$D14*100</f>
        <v>0.40086267712533313</v>
      </c>
    </row>
    <row r="15" spans="1:7" ht="14.1" customHeight="1">
      <c r="A15" s="328" t="s">
        <v>238</v>
      </c>
      <c r="B15" s="329">
        <v>0</v>
      </c>
      <c r="C15" s="335">
        <f>B15/'- 3 -'!$D15*100</f>
        <v>0</v>
      </c>
      <c r="D15" s="329">
        <v>55375</v>
      </c>
      <c r="E15" s="335">
        <f>D15/'- 3 -'!$D15*100</f>
        <v>0.29183206452041993</v>
      </c>
    </row>
    <row r="16" spans="1:7" ht="14.1" customHeight="1">
      <c r="A16" s="26" t="s">
        <v>239</v>
      </c>
      <c r="B16" s="27">
        <v>0</v>
      </c>
      <c r="C16" s="79">
        <f>B16/'- 3 -'!$D16*100</f>
        <v>0</v>
      </c>
      <c r="D16" s="27">
        <v>85244</v>
      </c>
      <c r="E16" s="79">
        <f>D16/'- 3 -'!$D16*100</f>
        <v>0.65397605534998504</v>
      </c>
    </row>
    <row r="17" spans="1:5" ht="14.1" customHeight="1">
      <c r="A17" s="328" t="s">
        <v>240</v>
      </c>
      <c r="B17" s="329">
        <v>0</v>
      </c>
      <c r="C17" s="335">
        <f>B17/'- 3 -'!$D17*100</f>
        <v>0</v>
      </c>
      <c r="D17" s="329">
        <v>48597</v>
      </c>
      <c r="E17" s="335">
        <f>D17/'- 3 -'!$D17*100</f>
        <v>0.29623890521385227</v>
      </c>
    </row>
    <row r="18" spans="1:5" ht="14.1" customHeight="1">
      <c r="A18" s="26" t="s">
        <v>241</v>
      </c>
      <c r="B18" s="27">
        <v>2400365</v>
      </c>
      <c r="C18" s="79">
        <f>B18/'- 3 -'!$D18*100</f>
        <v>2.0202781516828168</v>
      </c>
      <c r="D18" s="27">
        <v>610941</v>
      </c>
      <c r="E18" s="79">
        <f>D18/'- 3 -'!$D18*100</f>
        <v>0.51420127950009764</v>
      </c>
    </row>
    <row r="19" spans="1:5" ht="14.1" customHeight="1">
      <c r="A19" s="328" t="s">
        <v>242</v>
      </c>
      <c r="B19" s="329">
        <v>1935</v>
      </c>
      <c r="C19" s="335">
        <f>B19/'- 3 -'!$D19*100</f>
        <v>4.468740433200391E-3</v>
      </c>
      <c r="D19" s="329">
        <v>10820</v>
      </c>
      <c r="E19" s="335">
        <f>D19/'- 3 -'!$D19*100</f>
        <v>2.4987995600634742E-2</v>
      </c>
    </row>
    <row r="20" spans="1:5" ht="14.1" customHeight="1">
      <c r="A20" s="26" t="s">
        <v>243</v>
      </c>
      <c r="B20" s="27">
        <v>0</v>
      </c>
      <c r="C20" s="79">
        <f>B20/'- 3 -'!$D20*100</f>
        <v>0</v>
      </c>
      <c r="D20" s="27">
        <v>243674</v>
      </c>
      <c r="E20" s="79">
        <f>D20/'- 3 -'!$D20*100</f>
        <v>0.34489370931674146</v>
      </c>
    </row>
    <row r="21" spans="1:5" ht="14.1" customHeight="1">
      <c r="A21" s="328" t="s">
        <v>244</v>
      </c>
      <c r="B21" s="329">
        <v>0</v>
      </c>
      <c r="C21" s="335">
        <f>B21/'- 3 -'!$D21*100</f>
        <v>0</v>
      </c>
      <c r="D21" s="329">
        <v>91822</v>
      </c>
      <c r="E21" s="335">
        <f>D21/'- 3 -'!$D21*100</f>
        <v>0.26505126127533007</v>
      </c>
    </row>
    <row r="22" spans="1:5" ht="14.1" customHeight="1">
      <c r="A22" s="26" t="s">
        <v>245</v>
      </c>
      <c r="B22" s="27">
        <v>0</v>
      </c>
      <c r="C22" s="79">
        <f>B22/'- 3 -'!$D22*100</f>
        <v>0</v>
      </c>
      <c r="D22" s="27">
        <v>51118</v>
      </c>
      <c r="E22" s="79">
        <f>D22/'- 3 -'!$D22*100</f>
        <v>0.26527572058232995</v>
      </c>
    </row>
    <row r="23" spans="1:5" ht="14.1" customHeight="1">
      <c r="A23" s="328" t="s">
        <v>246</v>
      </c>
      <c r="B23" s="329">
        <v>0</v>
      </c>
      <c r="C23" s="335">
        <f>B23/'- 3 -'!$D23*100</f>
        <v>0</v>
      </c>
      <c r="D23" s="329">
        <v>0</v>
      </c>
      <c r="E23" s="335">
        <f>D23/'- 3 -'!$D23*100</f>
        <v>0</v>
      </c>
    </row>
    <row r="24" spans="1:5" ht="14.1" customHeight="1">
      <c r="A24" s="26" t="s">
        <v>247</v>
      </c>
      <c r="B24" s="27">
        <v>0</v>
      </c>
      <c r="C24" s="79">
        <f>B24/'- 3 -'!$D24*100</f>
        <v>0</v>
      </c>
      <c r="D24" s="27">
        <v>74426</v>
      </c>
      <c r="E24" s="79">
        <f>D24/'- 3 -'!$D24*100</f>
        <v>0.14249344108200818</v>
      </c>
    </row>
    <row r="25" spans="1:5" ht="14.1" customHeight="1">
      <c r="A25" s="328" t="s">
        <v>248</v>
      </c>
      <c r="B25" s="329">
        <v>0</v>
      </c>
      <c r="C25" s="335">
        <f>B25/'- 3 -'!$D25*100</f>
        <v>0</v>
      </c>
      <c r="D25" s="329">
        <v>27965</v>
      </c>
      <c r="E25" s="335">
        <f>D25/'- 3 -'!$D25*100</f>
        <v>1.8146588498790191E-2</v>
      </c>
    </row>
    <row r="26" spans="1:5" ht="14.1" customHeight="1">
      <c r="A26" s="26" t="s">
        <v>249</v>
      </c>
      <c r="B26" s="27">
        <v>0</v>
      </c>
      <c r="C26" s="79">
        <f>B26/'- 3 -'!$D26*100</f>
        <v>0</v>
      </c>
      <c r="D26" s="27">
        <v>203886</v>
      </c>
      <c r="E26" s="79">
        <f>D26/'- 3 -'!$D26*100</f>
        <v>0.54225180269881212</v>
      </c>
    </row>
    <row r="27" spans="1:5" ht="14.1" customHeight="1">
      <c r="A27" s="328" t="s">
        <v>250</v>
      </c>
      <c r="B27" s="329">
        <v>0</v>
      </c>
      <c r="C27" s="335">
        <f>B27/'- 3 -'!$D27*100</f>
        <v>0</v>
      </c>
      <c r="D27" s="329">
        <v>91848</v>
      </c>
      <c r="E27" s="335">
        <f>D27/'- 3 -'!$D27*100</f>
        <v>0.24962436626032405</v>
      </c>
    </row>
    <row r="28" spans="1:5" ht="14.1" customHeight="1">
      <c r="A28" s="26" t="s">
        <v>251</v>
      </c>
      <c r="B28" s="27">
        <v>0</v>
      </c>
      <c r="C28" s="79">
        <f>B28/'- 3 -'!$D28*100</f>
        <v>0</v>
      </c>
      <c r="D28" s="27">
        <v>122093</v>
      </c>
      <c r="E28" s="79">
        <f>D28/'- 3 -'!$D28*100</f>
        <v>0.4523159925098697</v>
      </c>
    </row>
    <row r="29" spans="1:5" ht="14.1" customHeight="1">
      <c r="A29" s="328" t="s">
        <v>252</v>
      </c>
      <c r="B29" s="329">
        <v>0</v>
      </c>
      <c r="C29" s="335">
        <f>B29/'- 3 -'!$D29*100</f>
        <v>0</v>
      </c>
      <c r="D29" s="329">
        <v>523802</v>
      </c>
      <c r="E29" s="335">
        <f>D29/'- 3 -'!$D29*100</f>
        <v>0.37207849792071923</v>
      </c>
    </row>
    <row r="30" spans="1:5" ht="14.1" customHeight="1">
      <c r="A30" s="26" t="s">
        <v>253</v>
      </c>
      <c r="B30" s="27">
        <v>0</v>
      </c>
      <c r="C30" s="79">
        <f>B30/'- 3 -'!$D30*100</f>
        <v>0</v>
      </c>
      <c r="D30" s="27">
        <v>42958</v>
      </c>
      <c r="E30" s="79">
        <f>D30/'- 3 -'!$D30*100</f>
        <v>0.31932340723531627</v>
      </c>
    </row>
    <row r="31" spans="1:5" ht="14.1" customHeight="1">
      <c r="A31" s="328" t="s">
        <v>254</v>
      </c>
      <c r="B31" s="329">
        <v>0</v>
      </c>
      <c r="C31" s="335">
        <f>B31/'- 3 -'!$D31*100</f>
        <v>0</v>
      </c>
      <c r="D31" s="329">
        <v>32471</v>
      </c>
      <c r="E31" s="335">
        <f>D31/'- 3 -'!$D31*100</f>
        <v>9.6324144168388998E-2</v>
      </c>
    </row>
    <row r="32" spans="1:5" ht="14.1" customHeight="1">
      <c r="A32" s="26" t="s">
        <v>255</v>
      </c>
      <c r="B32" s="27">
        <v>0</v>
      </c>
      <c r="C32" s="79">
        <f>B32/'- 3 -'!$D32*100</f>
        <v>0</v>
      </c>
      <c r="D32" s="27">
        <v>144952</v>
      </c>
      <c r="E32" s="79">
        <f>D32/'- 3 -'!$D32*100</f>
        <v>0.55692133981707104</v>
      </c>
    </row>
    <row r="33" spans="1:6" ht="14.1" customHeight="1">
      <c r="A33" s="328" t="s">
        <v>256</v>
      </c>
      <c r="B33" s="329">
        <v>0</v>
      </c>
      <c r="C33" s="335">
        <f>B33/'- 3 -'!$D33*100</f>
        <v>0</v>
      </c>
      <c r="D33" s="329">
        <v>82342</v>
      </c>
      <c r="E33" s="335">
        <f>D33/'- 3 -'!$D33*100</f>
        <v>0.31451509989125925</v>
      </c>
    </row>
    <row r="34" spans="1:6" ht="14.1" customHeight="1">
      <c r="A34" s="26" t="s">
        <v>257</v>
      </c>
      <c r="B34" s="27">
        <v>0</v>
      </c>
      <c r="C34" s="79">
        <f>B34/'- 3 -'!$D34*100</f>
        <v>0</v>
      </c>
      <c r="D34" s="27">
        <v>103679</v>
      </c>
      <c r="E34" s="79">
        <f>D34/'- 3 -'!$D34*100</f>
        <v>0.41101865700974938</v>
      </c>
    </row>
    <row r="35" spans="1:6" ht="14.1" customHeight="1">
      <c r="A35" s="328" t="s">
        <v>258</v>
      </c>
      <c r="B35" s="329">
        <v>0</v>
      </c>
      <c r="C35" s="335">
        <f>B35/'- 3 -'!$D35*100</f>
        <v>0</v>
      </c>
      <c r="D35" s="329">
        <v>150224</v>
      </c>
      <c r="E35" s="335">
        <f>D35/'- 3 -'!$D35*100</f>
        <v>8.7689046599404893E-2</v>
      </c>
    </row>
    <row r="36" spans="1:6" ht="14.1" customHeight="1">
      <c r="A36" s="26" t="s">
        <v>259</v>
      </c>
      <c r="B36" s="27">
        <v>0</v>
      </c>
      <c r="C36" s="79">
        <f>B36/'- 3 -'!$D36*100</f>
        <v>0</v>
      </c>
      <c r="D36" s="27">
        <v>91488</v>
      </c>
      <c r="E36" s="79">
        <f>D36/'- 3 -'!$D36*100</f>
        <v>0.42765386550237311</v>
      </c>
    </row>
    <row r="37" spans="1:6" ht="14.1" customHeight="1">
      <c r="A37" s="328" t="s">
        <v>260</v>
      </c>
      <c r="B37" s="329">
        <v>0</v>
      </c>
      <c r="C37" s="335">
        <f>B37/'- 3 -'!$D37*100</f>
        <v>0</v>
      </c>
      <c r="D37" s="329">
        <v>91574</v>
      </c>
      <c r="E37" s="335">
        <f>D37/'- 3 -'!$D37*100</f>
        <v>0.21614459496066854</v>
      </c>
    </row>
    <row r="38" spans="1:6" ht="14.1" customHeight="1">
      <c r="A38" s="26" t="s">
        <v>261</v>
      </c>
      <c r="B38" s="27">
        <v>0</v>
      </c>
      <c r="C38" s="79">
        <f>B38/'- 3 -'!$D38*100</f>
        <v>0</v>
      </c>
      <c r="D38" s="27">
        <v>370114</v>
      </c>
      <c r="E38" s="79">
        <f>D38/'- 3 -'!$D38*100</f>
        <v>0.32175104115689546</v>
      </c>
    </row>
    <row r="39" spans="1:6" ht="14.1" customHeight="1">
      <c r="A39" s="328" t="s">
        <v>262</v>
      </c>
      <c r="B39" s="329">
        <v>0</v>
      </c>
      <c r="C39" s="335">
        <f>B39/'- 3 -'!$D39*100</f>
        <v>0</v>
      </c>
      <c r="D39" s="329">
        <v>28019</v>
      </c>
      <c r="E39" s="335">
        <f>D39/'- 3 -'!$D39*100</f>
        <v>0.1383962756736847</v>
      </c>
    </row>
    <row r="40" spans="1:6" ht="14.1" customHeight="1">
      <c r="A40" s="26" t="s">
        <v>263</v>
      </c>
      <c r="B40" s="27">
        <v>0</v>
      </c>
      <c r="C40" s="79">
        <f>B40/'- 3 -'!$D40*100</f>
        <v>0</v>
      </c>
      <c r="D40" s="27">
        <v>90015</v>
      </c>
      <c r="E40" s="79">
        <f>D40/'- 3 -'!$D40*100</f>
        <v>9.4600593488275903E-2</v>
      </c>
    </row>
    <row r="41" spans="1:6" ht="14.1" customHeight="1">
      <c r="A41" s="328" t="s">
        <v>264</v>
      </c>
      <c r="B41" s="329">
        <v>0</v>
      </c>
      <c r="C41" s="335">
        <f>B41/'- 3 -'!$D41*100</f>
        <v>0</v>
      </c>
      <c r="D41" s="329">
        <v>123076</v>
      </c>
      <c r="E41" s="335">
        <f>D41/'- 3 -'!$D41*100</f>
        <v>0.21000327880578304</v>
      </c>
    </row>
    <row r="42" spans="1:6" ht="14.1" customHeight="1">
      <c r="A42" s="26" t="s">
        <v>265</v>
      </c>
      <c r="B42" s="27">
        <v>0</v>
      </c>
      <c r="C42" s="79">
        <f>B42/'- 3 -'!$D42*100</f>
        <v>0</v>
      </c>
      <c r="D42" s="27">
        <v>62769</v>
      </c>
      <c r="E42" s="79">
        <f>D42/'- 3 -'!$D42*100</f>
        <v>0.31155471456006179</v>
      </c>
    </row>
    <row r="43" spans="1:6" ht="14.1" customHeight="1">
      <c r="A43" s="328" t="s">
        <v>266</v>
      </c>
      <c r="B43" s="329">
        <v>0</v>
      </c>
      <c r="C43" s="335">
        <f>B43/'- 3 -'!$D43*100</f>
        <v>0</v>
      </c>
      <c r="D43" s="329">
        <v>10400</v>
      </c>
      <c r="E43" s="335">
        <f>D43/'- 3 -'!$D43*100</f>
        <v>8.4292074632202868E-2</v>
      </c>
    </row>
    <row r="44" spans="1:6" ht="14.1" customHeight="1">
      <c r="A44" s="26" t="s">
        <v>267</v>
      </c>
      <c r="B44" s="27">
        <v>0</v>
      </c>
      <c r="C44" s="79">
        <f>B44/'- 3 -'!$D44*100</f>
        <v>0</v>
      </c>
      <c r="D44" s="27">
        <v>44202</v>
      </c>
      <c r="E44" s="79">
        <f>D44/'- 3 -'!$D44*100</f>
        <v>0.42978137369024705</v>
      </c>
    </row>
    <row r="45" spans="1:6" ht="14.1" customHeight="1">
      <c r="A45" s="328" t="s">
        <v>268</v>
      </c>
      <c r="B45" s="329">
        <v>0</v>
      </c>
      <c r="C45" s="335">
        <f>B45/'- 3 -'!$D45*100</f>
        <v>0</v>
      </c>
      <c r="D45" s="329">
        <v>69811</v>
      </c>
      <c r="E45" s="335">
        <f>D45/'- 3 -'!$D45*100</f>
        <v>0.41352599818657731</v>
      </c>
    </row>
    <row r="46" spans="1:6" ht="14.1" customHeight="1">
      <c r="A46" s="26" t="s">
        <v>269</v>
      </c>
      <c r="B46" s="27">
        <v>0</v>
      </c>
      <c r="C46" s="79">
        <f>B46/'- 3 -'!$D46*100</f>
        <v>0</v>
      </c>
      <c r="D46" s="27">
        <v>422031</v>
      </c>
      <c r="E46" s="79">
        <f>D46/'- 3 -'!$D46*100</f>
        <v>0.11853142465846163</v>
      </c>
    </row>
    <row r="47" spans="1:6" ht="5.0999999999999996" customHeight="1">
      <c r="A47"/>
      <c r="B47" s="29"/>
      <c r="C47"/>
      <c r="D47" s="29"/>
      <c r="E47"/>
    </row>
    <row r="48" spans="1:6" ht="14.1" customHeight="1">
      <c r="A48" s="330" t="s">
        <v>270</v>
      </c>
      <c r="B48" s="331">
        <f>SUM(B11:B46)</f>
        <v>2402300</v>
      </c>
      <c r="C48" s="338">
        <f>B48/'- 3 -'!$D48*100</f>
        <v>0.1161907736811245</v>
      </c>
      <c r="D48" s="331">
        <f>SUM(D11:D46)</f>
        <v>4896025</v>
      </c>
      <c r="E48" s="338">
        <f>D48/'- 3 -'!$D48*100</f>
        <v>0.23680345198856412</v>
      </c>
      <c r="F48" s="5"/>
    </row>
    <row r="49" spans="1:5" ht="5.0999999999999996" customHeight="1">
      <c r="A49" s="28" t="s">
        <v>16</v>
      </c>
      <c r="B49" s="29"/>
      <c r="C49"/>
      <c r="D49" s="29"/>
      <c r="E49"/>
    </row>
    <row r="50" spans="1:5" ht="14.1" customHeight="1">
      <c r="A50" s="26" t="s">
        <v>271</v>
      </c>
      <c r="B50" s="27">
        <v>0</v>
      </c>
      <c r="C50" s="79">
        <f>B50/'- 3 -'!$D50*100</f>
        <v>0</v>
      </c>
      <c r="D50" s="27">
        <v>28723</v>
      </c>
      <c r="E50" s="79">
        <f>D50/'- 3 -'!$D50*100</f>
        <v>0.90214903880280495</v>
      </c>
    </row>
    <row r="51" spans="1:5" ht="14.1" customHeight="1">
      <c r="A51" s="328" t="s">
        <v>272</v>
      </c>
      <c r="B51" s="329">
        <v>0</v>
      </c>
      <c r="C51" s="335">
        <f>B51/'- 3 -'!$D51*100</f>
        <v>0</v>
      </c>
      <c r="D51" s="329">
        <v>0</v>
      </c>
      <c r="E51" s="335">
        <f>D51/'- 3 -'!$D51*100</f>
        <v>0</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sheetPr codeName="Sheet29">
    <pageSetUpPr fitToPage="1"/>
  </sheetPr>
  <dimension ref="A1:G52"/>
  <sheetViews>
    <sheetView showGridLines="0" showZeros="0" workbookViewId="0"/>
  </sheetViews>
  <sheetFormatPr defaultColWidth="15.83203125" defaultRowHeight="12"/>
  <cols>
    <col min="1" max="1" width="33.83203125" style="1" customWidth="1"/>
    <col min="2" max="2" width="17.83203125" style="1" customWidth="1"/>
    <col min="3" max="3" width="14.83203125" style="1" customWidth="1"/>
    <col min="4" max="4" width="18.83203125" style="1" customWidth="1"/>
    <col min="5" max="5" width="14.83203125" style="1" customWidth="1"/>
    <col min="6" max="6" width="17.83203125" style="1" customWidth="1"/>
    <col min="7" max="7" width="14.83203125" style="1" customWidth="1"/>
    <col min="8" max="16384" width="15.83203125" style="1"/>
  </cols>
  <sheetData>
    <row r="1" spans="1:7" ht="6.95" customHeight="1">
      <c r="A1" s="6"/>
      <c r="B1" s="7"/>
      <c r="C1" s="7"/>
      <c r="D1" s="7"/>
      <c r="E1" s="7"/>
      <c r="F1" s="7"/>
      <c r="G1" s="7"/>
    </row>
    <row r="2" spans="1:7" ht="15.95" customHeight="1">
      <c r="A2" s="152"/>
      <c r="B2" s="8" t="s">
        <v>478</v>
      </c>
      <c r="C2" s="9"/>
      <c r="D2" s="178"/>
      <c r="E2" s="9"/>
      <c r="F2" s="82"/>
      <c r="G2" s="487" t="s">
        <v>440</v>
      </c>
    </row>
    <row r="3" spans="1:7" ht="15.95" customHeight="1">
      <c r="A3" s="697"/>
      <c r="B3" s="10" t="str">
        <f>OPYEAR</f>
        <v>OPERATING FUND 2013/2014 ACTUAL</v>
      </c>
      <c r="C3" s="11"/>
      <c r="D3" s="179"/>
      <c r="E3" s="11"/>
      <c r="F3" s="84"/>
      <c r="G3" s="84"/>
    </row>
    <row r="4" spans="1:7" ht="15.95" customHeight="1">
      <c r="B4" s="7"/>
      <c r="C4" s="7"/>
      <c r="D4" s="7"/>
      <c r="E4" s="7"/>
      <c r="F4" s="7"/>
      <c r="G4" s="7"/>
    </row>
    <row r="5" spans="1:7" ht="15.95" customHeight="1">
      <c r="B5" s="7"/>
      <c r="C5" s="7"/>
      <c r="D5" s="7"/>
      <c r="E5" s="7"/>
      <c r="F5" s="7"/>
      <c r="G5" s="7"/>
    </row>
    <row r="6" spans="1:7" ht="15.95" customHeight="1">
      <c r="B6" s="174" t="s">
        <v>33</v>
      </c>
      <c r="C6" s="186"/>
      <c r="D6" s="187"/>
      <c r="E6" s="187"/>
      <c r="F6" s="187"/>
      <c r="G6" s="188"/>
    </row>
    <row r="7" spans="1:7" ht="15.95" customHeight="1">
      <c r="B7" s="364"/>
      <c r="C7" s="356"/>
      <c r="D7" s="358" t="s">
        <v>60</v>
      </c>
      <c r="E7" s="358"/>
      <c r="F7" s="358"/>
      <c r="G7" s="356"/>
    </row>
    <row r="8" spans="1:7" ht="15.95" customHeight="1">
      <c r="A8" s="75"/>
      <c r="B8" s="343" t="s">
        <v>43</v>
      </c>
      <c r="C8" s="344"/>
      <c r="D8" s="342" t="s">
        <v>65</v>
      </c>
      <c r="E8" s="344"/>
      <c r="F8" s="342" t="s">
        <v>233</v>
      </c>
      <c r="G8" s="344"/>
    </row>
    <row r="9" spans="1:7" ht="15.95" customHeight="1">
      <c r="A9" s="42" t="s">
        <v>93</v>
      </c>
      <c r="B9" s="189" t="s">
        <v>94</v>
      </c>
      <c r="C9" s="189" t="s">
        <v>95</v>
      </c>
      <c r="D9" s="189" t="s">
        <v>94</v>
      </c>
      <c r="E9" s="189" t="s">
        <v>95</v>
      </c>
      <c r="F9" s="189" t="s">
        <v>94</v>
      </c>
      <c r="G9" s="189" t="s">
        <v>95</v>
      </c>
    </row>
    <row r="10" spans="1:7" ht="5.0999999999999996" customHeight="1">
      <c r="A10" s="5"/>
    </row>
    <row r="11" spans="1:7" ht="14.1" customHeight="1">
      <c r="A11" s="328" t="s">
        <v>235</v>
      </c>
      <c r="B11" s="329">
        <v>60301</v>
      </c>
      <c r="C11" s="335">
        <f>B11/'- 3 -'!$D11*100</f>
        <v>0.36192738320577955</v>
      </c>
      <c r="D11" s="329">
        <v>1373488</v>
      </c>
      <c r="E11" s="335">
        <f>D11/'- 3 -'!$D11*100</f>
        <v>8.2436927696810969</v>
      </c>
      <c r="F11" s="329">
        <v>232358</v>
      </c>
      <c r="G11" s="335">
        <f>F11/'- 3 -'!$D11*100</f>
        <v>1.3946157262222603</v>
      </c>
    </row>
    <row r="12" spans="1:7" ht="14.1" customHeight="1">
      <c r="A12" s="26" t="s">
        <v>236</v>
      </c>
      <c r="B12" s="27">
        <v>79911</v>
      </c>
      <c r="C12" s="79">
        <f>B12/'- 3 -'!$D12*100</f>
        <v>0.26838406134999493</v>
      </c>
      <c r="D12" s="27">
        <v>2296819</v>
      </c>
      <c r="E12" s="79">
        <f>D12/'- 3 -'!$D12*100</f>
        <v>7.7139519140773354</v>
      </c>
      <c r="F12" s="27">
        <v>527791</v>
      </c>
      <c r="G12" s="79">
        <f>F12/'- 3 -'!$D12*100</f>
        <v>1.7726056753635315</v>
      </c>
    </row>
    <row r="13" spans="1:7" ht="14.1" customHeight="1">
      <c r="A13" s="328" t="s">
        <v>237</v>
      </c>
      <c r="B13" s="329">
        <v>239649</v>
      </c>
      <c r="C13" s="335">
        <f>B13/'- 3 -'!$D13*100</f>
        <v>0.28574341972426914</v>
      </c>
      <c r="D13" s="329">
        <v>5945296</v>
      </c>
      <c r="E13" s="335">
        <f>D13/'- 3 -'!$D13*100</f>
        <v>7.0888224457978888</v>
      </c>
      <c r="F13" s="329">
        <v>457619</v>
      </c>
      <c r="G13" s="335">
        <f>F13/'- 3 -'!$D13*100</f>
        <v>0.54563807063997893</v>
      </c>
    </row>
    <row r="14" spans="1:7" ht="14.1" customHeight="1">
      <c r="A14" s="26" t="s">
        <v>636</v>
      </c>
      <c r="B14" s="27">
        <v>306024</v>
      </c>
      <c r="C14" s="79">
        <f>B14/'- 3 -'!$D14*100</f>
        <v>0.41916190547728094</v>
      </c>
      <c r="D14" s="27">
        <v>6150490</v>
      </c>
      <c r="E14" s="79">
        <f>D14/'- 3 -'!$D14*100</f>
        <v>8.4243428882014548</v>
      </c>
      <c r="F14" s="27">
        <v>642006</v>
      </c>
      <c r="G14" s="79">
        <f>F14/'- 3 -'!$D14*100</f>
        <v>0.87935736506890705</v>
      </c>
    </row>
    <row r="15" spans="1:7" ht="14.1" customHeight="1">
      <c r="A15" s="328" t="s">
        <v>238</v>
      </c>
      <c r="B15" s="329">
        <v>78107</v>
      </c>
      <c r="C15" s="335">
        <f>B15/'- 3 -'!$D15*100</f>
        <v>0.41163209144011631</v>
      </c>
      <c r="D15" s="329">
        <v>1913330</v>
      </c>
      <c r="E15" s="335">
        <f>D15/'- 3 -'!$D15*100</f>
        <v>10.083450004674583</v>
      </c>
      <c r="F15" s="329">
        <v>192175</v>
      </c>
      <c r="G15" s="335">
        <f>F15/'- 3 -'!$D15*100</f>
        <v>1.0127824288796696</v>
      </c>
    </row>
    <row r="16" spans="1:7" ht="14.1" customHeight="1">
      <c r="A16" s="26" t="s">
        <v>239</v>
      </c>
      <c r="B16" s="27">
        <v>71223</v>
      </c>
      <c r="C16" s="79">
        <f>B16/'- 3 -'!$D16*100</f>
        <v>0.54640956067514412</v>
      </c>
      <c r="D16" s="27">
        <v>1787489</v>
      </c>
      <c r="E16" s="79">
        <f>D16/'- 3 -'!$D16*100</f>
        <v>13.713281934229851</v>
      </c>
      <c r="F16" s="27">
        <v>93166</v>
      </c>
      <c r="G16" s="79">
        <f>F16/'- 3 -'!$D16*100</f>
        <v>0.71475216053606949</v>
      </c>
    </row>
    <row r="17" spans="1:7" ht="14.1" customHeight="1">
      <c r="A17" s="328" t="s">
        <v>240</v>
      </c>
      <c r="B17" s="329">
        <v>69259</v>
      </c>
      <c r="C17" s="335">
        <f>B17/'- 3 -'!$D17*100</f>
        <v>0.42219088289824874</v>
      </c>
      <c r="D17" s="329">
        <v>1558589</v>
      </c>
      <c r="E17" s="335">
        <f>D17/'- 3 -'!$D17*100</f>
        <v>9.5008889239737613</v>
      </c>
      <c r="F17" s="329">
        <v>108700</v>
      </c>
      <c r="G17" s="335">
        <f>F17/'- 3 -'!$D17*100</f>
        <v>0.66261639600686761</v>
      </c>
    </row>
    <row r="18" spans="1:7" ht="14.1" customHeight="1">
      <c r="A18" s="26" t="s">
        <v>241</v>
      </c>
      <c r="B18" s="27">
        <v>845614</v>
      </c>
      <c r="C18" s="79">
        <f>B18/'- 3 -'!$D18*100</f>
        <v>0.71171488042739883</v>
      </c>
      <c r="D18" s="27">
        <v>14884565</v>
      </c>
      <c r="E18" s="79">
        <f>D18/'- 3 -'!$D18*100</f>
        <v>12.527662029234198</v>
      </c>
      <c r="F18" s="27">
        <v>1463154</v>
      </c>
      <c r="G18" s="79">
        <f>F18/'- 3 -'!$D18*100</f>
        <v>1.2314702383792964</v>
      </c>
    </row>
    <row r="19" spans="1:7" ht="14.1" customHeight="1">
      <c r="A19" s="328" t="s">
        <v>242</v>
      </c>
      <c r="B19" s="329">
        <v>184973</v>
      </c>
      <c r="C19" s="335">
        <f>B19/'- 3 -'!$D19*100</f>
        <v>0.42718156286841125</v>
      </c>
      <c r="D19" s="329">
        <v>3476737</v>
      </c>
      <c r="E19" s="335">
        <f>D19/'- 3 -'!$D19*100</f>
        <v>8.0292688410872497</v>
      </c>
      <c r="F19" s="329">
        <v>90347</v>
      </c>
      <c r="G19" s="335">
        <f>F19/'- 3 -'!$D19*100</f>
        <v>0.20864976326530008</v>
      </c>
    </row>
    <row r="20" spans="1:7" ht="14.1" customHeight="1">
      <c r="A20" s="26" t="s">
        <v>243</v>
      </c>
      <c r="B20" s="27">
        <v>384433</v>
      </c>
      <c r="C20" s="79">
        <f>B20/'- 3 -'!$D20*100</f>
        <v>0.54412257095037997</v>
      </c>
      <c r="D20" s="27">
        <v>6148628</v>
      </c>
      <c r="E20" s="79">
        <f>D20/'- 3 -'!$D20*100</f>
        <v>8.7027057385226883</v>
      </c>
      <c r="F20" s="27">
        <v>578339</v>
      </c>
      <c r="G20" s="79">
        <f>F20/'- 3 -'!$D20*100</f>
        <v>0.81857515759799959</v>
      </c>
    </row>
    <row r="21" spans="1:7" ht="14.1" customHeight="1">
      <c r="A21" s="328" t="s">
        <v>244</v>
      </c>
      <c r="B21" s="329">
        <v>159117</v>
      </c>
      <c r="C21" s="335">
        <f>B21/'- 3 -'!$D21*100</f>
        <v>0.45930345168202275</v>
      </c>
      <c r="D21" s="329">
        <v>2832949</v>
      </c>
      <c r="E21" s="335">
        <f>D21/'- 3 -'!$D21*100</f>
        <v>8.1775250547655798</v>
      </c>
      <c r="F21" s="329">
        <v>677131</v>
      </c>
      <c r="G21" s="335">
        <f>F21/'- 3 -'!$D21*100</f>
        <v>1.9545906819566718</v>
      </c>
    </row>
    <row r="22" spans="1:7" ht="14.1" customHeight="1">
      <c r="A22" s="26" t="s">
        <v>245</v>
      </c>
      <c r="B22" s="27">
        <v>59518</v>
      </c>
      <c r="C22" s="79">
        <f>B22/'- 3 -'!$D22*100</f>
        <v>0.30886733318242332</v>
      </c>
      <c r="D22" s="27">
        <v>2200184</v>
      </c>
      <c r="E22" s="79">
        <f>D22/'- 3 -'!$D22*100</f>
        <v>11.417805782967116</v>
      </c>
      <c r="F22" s="27">
        <v>65166</v>
      </c>
      <c r="G22" s="79">
        <f>F22/'- 3 -'!$D22*100</f>
        <v>0.33817750317829559</v>
      </c>
    </row>
    <row r="23" spans="1:7" ht="14.1" customHeight="1">
      <c r="A23" s="328" t="s">
        <v>246</v>
      </c>
      <c r="B23" s="329">
        <v>75904</v>
      </c>
      <c r="C23" s="335">
        <f>B23/'- 3 -'!$D23*100</f>
        <v>0.46762916804899562</v>
      </c>
      <c r="D23" s="329">
        <v>1150746</v>
      </c>
      <c r="E23" s="335">
        <f>D23/'- 3 -'!$D23*100</f>
        <v>7.0895129982044347</v>
      </c>
      <c r="F23" s="329">
        <v>164441</v>
      </c>
      <c r="G23" s="335">
        <f>F23/'- 3 -'!$D23*100</f>
        <v>1.0130876900182451</v>
      </c>
    </row>
    <row r="24" spans="1:7" ht="14.1" customHeight="1">
      <c r="A24" s="26" t="s">
        <v>247</v>
      </c>
      <c r="B24" s="27">
        <v>116447</v>
      </c>
      <c r="C24" s="79">
        <f>B24/'- 3 -'!$D24*100</f>
        <v>0.22294539184796452</v>
      </c>
      <c r="D24" s="27">
        <v>4963406</v>
      </c>
      <c r="E24" s="79">
        <f>D24/'- 3 -'!$D24*100</f>
        <v>9.5027651684503525</v>
      </c>
      <c r="F24" s="27">
        <v>201176</v>
      </c>
      <c r="G24" s="79">
        <f>F24/'- 3 -'!$D24*100</f>
        <v>0.38516459977849243</v>
      </c>
    </row>
    <row r="25" spans="1:7" ht="14.1" customHeight="1">
      <c r="A25" s="328" t="s">
        <v>248</v>
      </c>
      <c r="B25" s="329">
        <v>563638</v>
      </c>
      <c r="C25" s="335">
        <f>B25/'- 3 -'!$D25*100</f>
        <v>0.36574671368786366</v>
      </c>
      <c r="D25" s="329">
        <v>15058452</v>
      </c>
      <c r="E25" s="335">
        <f>D25/'- 3 -'!$D25*100</f>
        <v>9.7714833496436331</v>
      </c>
      <c r="F25" s="329">
        <v>682280</v>
      </c>
      <c r="G25" s="335">
        <f>F25/'- 3 -'!$D25*100</f>
        <v>0.44273393173447428</v>
      </c>
    </row>
    <row r="26" spans="1:7" ht="14.1" customHeight="1">
      <c r="A26" s="26" t="s">
        <v>249</v>
      </c>
      <c r="B26" s="27">
        <v>144357</v>
      </c>
      <c r="C26" s="79">
        <f>B26/'- 3 -'!$D26*100</f>
        <v>0.38392946785062454</v>
      </c>
      <c r="D26" s="27">
        <v>3998371</v>
      </c>
      <c r="E26" s="79">
        <f>D26/'- 3 -'!$D26*100</f>
        <v>10.634000777928119</v>
      </c>
      <c r="F26" s="27">
        <v>284052</v>
      </c>
      <c r="G26" s="79">
        <f>F26/'- 3 -'!$D26*100</f>
        <v>0.75545995831103163</v>
      </c>
    </row>
    <row r="27" spans="1:7" ht="14.1" customHeight="1">
      <c r="A27" s="328" t="s">
        <v>250</v>
      </c>
      <c r="B27" s="329">
        <v>174087</v>
      </c>
      <c r="C27" s="335">
        <f>B27/'- 3 -'!$D27*100</f>
        <v>0.47313340572642881</v>
      </c>
      <c r="D27" s="329">
        <v>3236269</v>
      </c>
      <c r="E27" s="335">
        <f>D27/'- 3 -'!$D27*100</f>
        <v>8.7955273731919323</v>
      </c>
      <c r="F27" s="329">
        <v>317222</v>
      </c>
      <c r="G27" s="335">
        <f>F27/'- 3 -'!$D27*100</f>
        <v>0.86214550903484577</v>
      </c>
    </row>
    <row r="28" spans="1:7" ht="14.1" customHeight="1">
      <c r="A28" s="26" t="s">
        <v>251</v>
      </c>
      <c r="B28" s="27">
        <v>47189</v>
      </c>
      <c r="C28" s="79">
        <f>B28/'- 3 -'!$D28*100</f>
        <v>0.17482033671503069</v>
      </c>
      <c r="D28" s="27">
        <v>3065088</v>
      </c>
      <c r="E28" s="79">
        <f>D28/'- 3 -'!$D28*100</f>
        <v>11.355182695568883</v>
      </c>
      <c r="F28" s="27">
        <v>150302</v>
      </c>
      <c r="G28" s="79">
        <f>F28/'- 3 -'!$D28*100</f>
        <v>0.55682142552167979</v>
      </c>
    </row>
    <row r="29" spans="1:7" ht="14.1" customHeight="1">
      <c r="A29" s="328" t="s">
        <v>252</v>
      </c>
      <c r="B29" s="329">
        <v>987438</v>
      </c>
      <c r="C29" s="335">
        <f>B29/'- 3 -'!$D29*100</f>
        <v>0.70141856623273524</v>
      </c>
      <c r="D29" s="329">
        <v>13120006</v>
      </c>
      <c r="E29" s="335">
        <f>D29/'- 3 -'!$D29*100</f>
        <v>9.3196897399987471</v>
      </c>
      <c r="F29" s="329">
        <v>1982517</v>
      </c>
      <c r="G29" s="335">
        <f>F29/'- 3 -'!$D29*100</f>
        <v>1.4082648547777414</v>
      </c>
    </row>
    <row r="30" spans="1:7" ht="14.1" customHeight="1">
      <c r="A30" s="26" t="s">
        <v>253</v>
      </c>
      <c r="B30" s="27">
        <v>56445</v>
      </c>
      <c r="C30" s="79">
        <f>B30/'- 3 -'!$D30*100</f>
        <v>0.41957748781129073</v>
      </c>
      <c r="D30" s="27">
        <v>1109085</v>
      </c>
      <c r="E30" s="79">
        <f>D30/'- 3 -'!$D30*100</f>
        <v>8.2442572073555738</v>
      </c>
      <c r="F30" s="27">
        <v>280547</v>
      </c>
      <c r="G30" s="79">
        <f>F30/'- 3 -'!$D30*100</f>
        <v>2.0854142169013055</v>
      </c>
    </row>
    <row r="31" spans="1:7" ht="14.1" customHeight="1">
      <c r="A31" s="328" t="s">
        <v>254</v>
      </c>
      <c r="B31" s="329">
        <v>97982</v>
      </c>
      <c r="C31" s="335">
        <f>B31/'- 3 -'!$D31*100</f>
        <v>0.29066035212673125</v>
      </c>
      <c r="D31" s="329">
        <v>3314655</v>
      </c>
      <c r="E31" s="335">
        <f>D31/'- 3 -'!$D31*100</f>
        <v>9.8328140829808586</v>
      </c>
      <c r="F31" s="329">
        <v>130007</v>
      </c>
      <c r="G31" s="335">
        <f>F31/'- 3 -'!$D31*100</f>
        <v>0.38566145209262875</v>
      </c>
    </row>
    <row r="32" spans="1:7" ht="14.1" customHeight="1">
      <c r="A32" s="26" t="s">
        <v>255</v>
      </c>
      <c r="B32" s="27">
        <v>91360</v>
      </c>
      <c r="C32" s="79">
        <f>B32/'- 3 -'!$D32*100</f>
        <v>0.35101505053871357</v>
      </c>
      <c r="D32" s="27">
        <v>2283788</v>
      </c>
      <c r="E32" s="79">
        <f>D32/'- 3 -'!$D32*100</f>
        <v>8.7745617364241202</v>
      </c>
      <c r="F32" s="27">
        <v>389662</v>
      </c>
      <c r="G32" s="79">
        <f>F32/'- 3 -'!$D32*100</f>
        <v>1.4971237590084963</v>
      </c>
    </row>
    <row r="33" spans="1:7" ht="14.1" customHeight="1">
      <c r="A33" s="328" t="s">
        <v>256</v>
      </c>
      <c r="B33" s="329">
        <v>72515</v>
      </c>
      <c r="C33" s="335">
        <f>B33/'- 3 -'!$D33*100</f>
        <v>0.27697970013619616</v>
      </c>
      <c r="D33" s="329">
        <v>2640744</v>
      </c>
      <c r="E33" s="335">
        <f>D33/'- 3 -'!$D33*100</f>
        <v>10.086636988987923</v>
      </c>
      <c r="F33" s="329">
        <v>486072</v>
      </c>
      <c r="G33" s="335">
        <f>F33/'- 3 -'!$D33*100</f>
        <v>1.8566100366076144</v>
      </c>
    </row>
    <row r="34" spans="1:7" ht="14.1" customHeight="1">
      <c r="A34" s="26" t="s">
        <v>257</v>
      </c>
      <c r="B34" s="27">
        <v>57509</v>
      </c>
      <c r="C34" s="79">
        <f>B34/'- 3 -'!$D34*100</f>
        <v>0.22798514594058275</v>
      </c>
      <c r="D34" s="27">
        <v>2017878</v>
      </c>
      <c r="E34" s="79">
        <f>D34/'- 3 -'!$D34*100</f>
        <v>7.9995515540226947</v>
      </c>
      <c r="F34" s="27">
        <v>451823</v>
      </c>
      <c r="G34" s="79">
        <f>F34/'- 3 -'!$D34*100</f>
        <v>1.7911793387871795</v>
      </c>
    </row>
    <row r="35" spans="1:7" ht="14.1" customHeight="1">
      <c r="A35" s="328" t="s">
        <v>258</v>
      </c>
      <c r="B35" s="329">
        <v>764086</v>
      </c>
      <c r="C35" s="335">
        <f>B35/'- 3 -'!$D35*100</f>
        <v>0.44601377183374746</v>
      </c>
      <c r="D35" s="329">
        <v>18817558</v>
      </c>
      <c r="E35" s="335">
        <f>D35/'- 3 -'!$D35*100</f>
        <v>10.984221697924463</v>
      </c>
      <c r="F35" s="329">
        <v>947582</v>
      </c>
      <c r="G35" s="335">
        <f>F35/'- 3 -'!$D35*100</f>
        <v>0.5531244152382927</v>
      </c>
    </row>
    <row r="36" spans="1:7" ht="14.1" customHeight="1">
      <c r="A36" s="26" t="s">
        <v>259</v>
      </c>
      <c r="B36" s="27">
        <v>58496</v>
      </c>
      <c r="C36" s="79">
        <f>B36/'- 3 -'!$D36*100</f>
        <v>0.27343521026174822</v>
      </c>
      <c r="D36" s="27">
        <v>2023410</v>
      </c>
      <c r="E36" s="79">
        <f>D36/'- 3 -'!$D36*100</f>
        <v>9.4582798617977968</v>
      </c>
      <c r="F36" s="27">
        <v>175247</v>
      </c>
      <c r="G36" s="79">
        <f>F36/'- 3 -'!$D36*100</f>
        <v>0.8191790941729451</v>
      </c>
    </row>
    <row r="37" spans="1:7" ht="14.1" customHeight="1">
      <c r="A37" s="328" t="s">
        <v>260</v>
      </c>
      <c r="B37" s="329">
        <v>109327</v>
      </c>
      <c r="C37" s="335">
        <f>B37/'- 3 -'!$D37*100</f>
        <v>0.25804748218124157</v>
      </c>
      <c r="D37" s="329">
        <v>3617379</v>
      </c>
      <c r="E37" s="335">
        <f>D37/'- 3 -'!$D37*100</f>
        <v>8.5381977283314949</v>
      </c>
      <c r="F37" s="329">
        <v>384728</v>
      </c>
      <c r="G37" s="335">
        <f>F37/'- 3 -'!$D37*100</f>
        <v>0.90808392917234249</v>
      </c>
    </row>
    <row r="38" spans="1:7" ht="14.1" customHeight="1">
      <c r="A38" s="26" t="s">
        <v>261</v>
      </c>
      <c r="B38" s="27">
        <v>513154</v>
      </c>
      <c r="C38" s="79">
        <f>B38/'- 3 -'!$D38*100</f>
        <v>0.44609994156888289</v>
      </c>
      <c r="D38" s="27">
        <v>8954005</v>
      </c>
      <c r="E38" s="79">
        <f>D38/'- 3 -'!$D38*100</f>
        <v>7.7839812362516625</v>
      </c>
      <c r="F38" s="27">
        <v>504071</v>
      </c>
      <c r="G38" s="79">
        <f>F38/'- 3 -'!$D38*100</f>
        <v>0.43820382116590412</v>
      </c>
    </row>
    <row r="39" spans="1:7" ht="14.1" customHeight="1">
      <c r="A39" s="328" t="s">
        <v>262</v>
      </c>
      <c r="B39" s="329">
        <v>73056</v>
      </c>
      <c r="C39" s="335">
        <f>B39/'- 3 -'!$D39*100</f>
        <v>0.36085079109235552</v>
      </c>
      <c r="D39" s="329">
        <v>1994623</v>
      </c>
      <c r="E39" s="335">
        <f>D39/'- 3 -'!$D39*100</f>
        <v>9.8521858229441452</v>
      </c>
      <c r="F39" s="329">
        <v>142884</v>
      </c>
      <c r="G39" s="335">
        <f>F39/'- 3 -'!$D39*100</f>
        <v>0.70575728803164872</v>
      </c>
    </row>
    <row r="40" spans="1:7" ht="14.1" customHeight="1">
      <c r="A40" s="26" t="s">
        <v>263</v>
      </c>
      <c r="B40" s="27">
        <v>419227</v>
      </c>
      <c r="C40" s="79">
        <f>B40/'- 3 -'!$D40*100</f>
        <v>0.44058349171037542</v>
      </c>
      <c r="D40" s="27">
        <v>7610645</v>
      </c>
      <c r="E40" s="79">
        <f>D40/'- 3 -'!$D40*100</f>
        <v>7.9983506507646451</v>
      </c>
      <c r="F40" s="27">
        <v>1104374</v>
      </c>
      <c r="G40" s="79">
        <f>F40/'- 3 -'!$D40*100</f>
        <v>1.1606336258737011</v>
      </c>
    </row>
    <row r="41" spans="1:7" ht="14.1" customHeight="1">
      <c r="A41" s="328" t="s">
        <v>264</v>
      </c>
      <c r="B41" s="329">
        <v>189947</v>
      </c>
      <c r="C41" s="335">
        <f>B41/'- 3 -'!$D41*100</f>
        <v>0.32410455977869018</v>
      </c>
      <c r="D41" s="329">
        <v>4700985</v>
      </c>
      <c r="E41" s="335">
        <f>D41/'- 3 -'!$D41*100</f>
        <v>8.0212410511944157</v>
      </c>
      <c r="F41" s="329">
        <v>429800</v>
      </c>
      <c r="G41" s="335">
        <f>F41/'- 3 -'!$D41*100</f>
        <v>0.73336320022364676</v>
      </c>
    </row>
    <row r="42" spans="1:7" ht="14.1" customHeight="1">
      <c r="A42" s="26" t="s">
        <v>265</v>
      </c>
      <c r="B42" s="27">
        <v>49971</v>
      </c>
      <c r="C42" s="79">
        <f>B42/'- 3 -'!$D42*100</f>
        <v>0.24803168190158914</v>
      </c>
      <c r="D42" s="27">
        <v>1718678</v>
      </c>
      <c r="E42" s="79">
        <f>D42/'- 3 -'!$D42*100</f>
        <v>8.5306796939676897</v>
      </c>
      <c r="F42" s="27">
        <v>241590</v>
      </c>
      <c r="G42" s="79">
        <f>F42/'- 3 -'!$D42*100</f>
        <v>1.1991349788998602</v>
      </c>
    </row>
    <row r="43" spans="1:7" ht="14.1" customHeight="1">
      <c r="A43" s="328" t="s">
        <v>266</v>
      </c>
      <c r="B43" s="329">
        <v>16717</v>
      </c>
      <c r="C43" s="335">
        <f>B43/'- 3 -'!$D43*100</f>
        <v>0.13549140496408996</v>
      </c>
      <c r="D43" s="329">
        <v>793230</v>
      </c>
      <c r="E43" s="335">
        <f>D43/'- 3 -'!$D43*100</f>
        <v>6.4291348423559898</v>
      </c>
      <c r="F43" s="329">
        <v>141078</v>
      </c>
      <c r="G43" s="335">
        <f>F43/'- 3 -'!$D43*100</f>
        <v>1.1434382024001843</v>
      </c>
    </row>
    <row r="44" spans="1:7" ht="14.1" customHeight="1">
      <c r="A44" s="26" t="s">
        <v>267</v>
      </c>
      <c r="B44" s="27">
        <v>29331</v>
      </c>
      <c r="C44" s="79">
        <f>B44/'- 3 -'!$D44*100</f>
        <v>0.2851888482808162</v>
      </c>
      <c r="D44" s="27">
        <v>867892</v>
      </c>
      <c r="E44" s="79">
        <f>D44/'- 3 -'!$D44*100</f>
        <v>8.4386185234780307</v>
      </c>
      <c r="F44" s="27">
        <v>68313</v>
      </c>
      <c r="G44" s="79">
        <f>F44/'- 3 -'!$D44*100</f>
        <v>0.66421553280172496</v>
      </c>
    </row>
    <row r="45" spans="1:7" ht="14.1" customHeight="1">
      <c r="A45" s="328" t="s">
        <v>268</v>
      </c>
      <c r="B45" s="329">
        <v>83166</v>
      </c>
      <c r="C45" s="335">
        <f>B45/'- 3 -'!$D45*100</f>
        <v>0.49263444392982325</v>
      </c>
      <c r="D45" s="329">
        <v>1423296</v>
      </c>
      <c r="E45" s="335">
        <f>D45/'- 3 -'!$D45*100</f>
        <v>8.4309048590474678</v>
      </c>
      <c r="F45" s="329">
        <v>139928</v>
      </c>
      <c r="G45" s="335">
        <f>F45/'- 3 -'!$D45*100</f>
        <v>0.82886458973874311</v>
      </c>
    </row>
    <row r="46" spans="1:7" ht="14.1" customHeight="1">
      <c r="A46" s="26" t="s">
        <v>269</v>
      </c>
      <c r="B46" s="27">
        <v>939198</v>
      </c>
      <c r="C46" s="79">
        <f>B46/'- 3 -'!$D46*100</f>
        <v>0.26378270074088833</v>
      </c>
      <c r="D46" s="27">
        <v>34973034</v>
      </c>
      <c r="E46" s="79">
        <f>D46/'- 3 -'!$D46*100</f>
        <v>9.8225095896955832</v>
      </c>
      <c r="F46" s="27">
        <v>5249078</v>
      </c>
      <c r="G46" s="79">
        <f>F46/'- 3 -'!$D46*100</f>
        <v>1.4742535346535881</v>
      </c>
    </row>
    <row r="47" spans="1:7" ht="5.0999999999999996" customHeight="1">
      <c r="A47"/>
      <c r="B47" s="29"/>
      <c r="C47"/>
      <c r="D47" s="29"/>
      <c r="E47"/>
      <c r="F47" s="29"/>
      <c r="G47"/>
    </row>
    <row r="48" spans="1:7" ht="14.1" customHeight="1">
      <c r="A48" s="330" t="s">
        <v>270</v>
      </c>
      <c r="B48" s="331">
        <f>SUM(B11:B46)</f>
        <v>8268676</v>
      </c>
      <c r="C48" s="338">
        <f>B48/'- 3 -'!$D48*100</f>
        <v>0.39992667933170123</v>
      </c>
      <c r="D48" s="331">
        <f>SUM(D11:D46)</f>
        <v>194021787</v>
      </c>
      <c r="E48" s="338">
        <f>D48/'- 3 -'!$D48*100</f>
        <v>9.3841491664339785</v>
      </c>
      <c r="F48" s="331">
        <f>SUM(F11:F46)</f>
        <v>20176726</v>
      </c>
      <c r="G48" s="338">
        <f>F48/'- 3 -'!$D48*100</f>
        <v>0.97587703629524236</v>
      </c>
    </row>
    <row r="49" spans="1:7" ht="5.0999999999999996" customHeight="1">
      <c r="A49" s="28" t="s">
        <v>16</v>
      </c>
      <c r="B49" s="29"/>
      <c r="C49"/>
      <c r="D49" s="29"/>
      <c r="E49"/>
      <c r="F49" s="29"/>
      <c r="G49"/>
    </row>
    <row r="50" spans="1:7" ht="14.1" customHeight="1">
      <c r="A50" s="26" t="s">
        <v>271</v>
      </c>
      <c r="B50" s="27">
        <v>948</v>
      </c>
      <c r="C50" s="79">
        <f>B50/'- 3 -'!$D50*100</f>
        <v>2.9775346892213873E-2</v>
      </c>
      <c r="D50" s="27">
        <v>414193</v>
      </c>
      <c r="E50" s="79">
        <f>D50/'- 3 -'!$D50*100</f>
        <v>13.009219678614706</v>
      </c>
      <c r="F50" s="27">
        <v>0</v>
      </c>
      <c r="G50" s="79">
        <f>F50/'- 3 -'!$D50*100</f>
        <v>0</v>
      </c>
    </row>
    <row r="51" spans="1:7" ht="14.1" customHeight="1">
      <c r="A51" s="328" t="s">
        <v>272</v>
      </c>
      <c r="B51" s="329">
        <v>133378</v>
      </c>
      <c r="C51" s="335">
        <f>B51/'- 3 -'!$D51*100</f>
        <v>0.67741898784426591</v>
      </c>
      <c r="D51" s="329">
        <v>1703611</v>
      </c>
      <c r="E51" s="335">
        <f>D51/'- 3 -'!$D51*100</f>
        <v>8.6525396939552071</v>
      </c>
      <c r="F51" s="329">
        <v>52341</v>
      </c>
      <c r="G51" s="335">
        <f>F51/'- 3 -'!$D51*100</f>
        <v>0.26583684897626836</v>
      </c>
    </row>
    <row r="52" spans="1:7"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sheetPr codeName="Sheet30">
    <pageSetUpPr fitToPage="1"/>
  </sheetPr>
  <dimension ref="A1:F52"/>
  <sheetViews>
    <sheetView showGridLines="0" showZeros="0" workbookViewId="0"/>
  </sheetViews>
  <sheetFormatPr defaultColWidth="15.83203125" defaultRowHeight="12"/>
  <cols>
    <col min="1" max="1" width="32.83203125" style="1" customWidth="1"/>
    <col min="2" max="2" width="19.83203125" style="1" customWidth="1"/>
    <col min="3" max="3" width="15.83203125" style="1" customWidth="1"/>
    <col min="4" max="4" width="19.83203125" style="1" customWidth="1"/>
    <col min="5" max="5" width="15.83203125" style="1"/>
    <col min="6" max="6" width="28.83203125" style="1" customWidth="1"/>
    <col min="7" max="16384" width="15.83203125" style="1"/>
  </cols>
  <sheetData>
    <row r="1" spans="1:6" ht="6.95" customHeight="1">
      <c r="A1" s="6"/>
      <c r="B1" s="6"/>
      <c r="C1" s="6"/>
      <c r="D1" s="7"/>
      <c r="E1" s="7"/>
      <c r="F1" s="7"/>
    </row>
    <row r="2" spans="1:6" ht="15.95" customHeight="1">
      <c r="A2" s="152"/>
      <c r="B2" s="8" t="s">
        <v>478</v>
      </c>
      <c r="C2" s="190"/>
      <c r="D2" s="178"/>
      <c r="E2" s="9"/>
      <c r="F2" s="487" t="s">
        <v>439</v>
      </c>
    </row>
    <row r="3" spans="1:6" ht="15.95" customHeight="1">
      <c r="A3" s="697"/>
      <c r="B3" s="10" t="str">
        <f>OPYEAR</f>
        <v>OPERATING FUND 2013/2014 ACTUAL</v>
      </c>
      <c r="C3" s="36"/>
      <c r="D3" s="179"/>
      <c r="E3" s="11"/>
      <c r="F3" s="74"/>
    </row>
    <row r="4" spans="1:6" ht="15.95" customHeight="1">
      <c r="D4" s="7"/>
      <c r="E4" s="7"/>
      <c r="F4" s="7"/>
    </row>
    <row r="5" spans="1:6" ht="15.95" customHeight="1">
      <c r="D5" s="7"/>
      <c r="E5" s="7"/>
      <c r="F5" s="7"/>
    </row>
    <row r="6" spans="1:6" ht="15.95" customHeight="1">
      <c r="B6" s="174" t="s">
        <v>33</v>
      </c>
      <c r="C6" s="187"/>
      <c r="D6" s="46"/>
      <c r="E6" s="191"/>
      <c r="F6" s="50"/>
    </row>
    <row r="7" spans="1:6" ht="15.95" customHeight="1">
      <c r="B7" s="417"/>
      <c r="C7" s="356"/>
      <c r="D7" s="417"/>
      <c r="E7" s="356"/>
      <c r="F7" s="7"/>
    </row>
    <row r="8" spans="1:6" ht="15.95" customHeight="1">
      <c r="A8" s="75"/>
      <c r="B8" s="343" t="s">
        <v>78</v>
      </c>
      <c r="C8" s="344"/>
      <c r="D8" s="342" t="s">
        <v>79</v>
      </c>
      <c r="E8" s="344"/>
      <c r="F8" s="7"/>
    </row>
    <row r="9" spans="1:6" ht="15.95" customHeight="1">
      <c r="A9" s="42" t="s">
        <v>93</v>
      </c>
      <c r="B9" s="189" t="s">
        <v>94</v>
      </c>
      <c r="C9" s="189" t="s">
        <v>95</v>
      </c>
      <c r="D9" s="192" t="s">
        <v>94</v>
      </c>
      <c r="E9" s="189" t="s">
        <v>95</v>
      </c>
    </row>
    <row r="10" spans="1:6" ht="5.0999999999999996" customHeight="1">
      <c r="A10" s="5"/>
    </row>
    <row r="11" spans="1:6" ht="14.1" customHeight="1">
      <c r="A11" s="328" t="s">
        <v>235</v>
      </c>
      <c r="B11" s="329">
        <v>57370</v>
      </c>
      <c r="C11" s="335">
        <f>B11/'- 3 -'!$D11*100</f>
        <v>0.34433548323436713</v>
      </c>
      <c r="D11" s="329">
        <v>36110</v>
      </c>
      <c r="E11" s="335">
        <f>D11/'- 3 -'!$D11*100</f>
        <v>0.21673268780883731</v>
      </c>
    </row>
    <row r="12" spans="1:6" ht="14.1" customHeight="1">
      <c r="A12" s="26" t="s">
        <v>236</v>
      </c>
      <c r="B12" s="27">
        <v>254124</v>
      </c>
      <c r="C12" s="79">
        <f>B12/'- 3 -'!$D12*100</f>
        <v>0.8534848920237027</v>
      </c>
      <c r="D12" s="27">
        <v>117649</v>
      </c>
      <c r="E12" s="79">
        <f>D12/'- 3 -'!$D12*100</f>
        <v>0.39512853591827846</v>
      </c>
    </row>
    <row r="13" spans="1:6" ht="14.1" customHeight="1">
      <c r="A13" s="328" t="s">
        <v>237</v>
      </c>
      <c r="B13" s="329">
        <v>236251</v>
      </c>
      <c r="C13" s="335">
        <f>B13/'- 3 -'!$D13*100</f>
        <v>0.2816918437100856</v>
      </c>
      <c r="D13" s="329">
        <v>152019</v>
      </c>
      <c r="E13" s="335">
        <f>D13/'- 3 -'!$D13*100</f>
        <v>0.18125854446738218</v>
      </c>
    </row>
    <row r="14" spans="1:6" ht="14.1" customHeight="1">
      <c r="A14" s="26" t="s">
        <v>636</v>
      </c>
      <c r="B14" s="27">
        <v>114284</v>
      </c>
      <c r="C14" s="79">
        <f>B14/'- 3 -'!$D14*100</f>
        <v>0.1565351057615271</v>
      </c>
      <c r="D14" s="27">
        <v>81570</v>
      </c>
      <c r="E14" s="79">
        <f>D14/'- 3 -'!$D14*100</f>
        <v>0.11172665094823218</v>
      </c>
    </row>
    <row r="15" spans="1:6" ht="14.1" customHeight="1">
      <c r="A15" s="328" t="s">
        <v>238</v>
      </c>
      <c r="B15" s="329">
        <v>145077</v>
      </c>
      <c r="C15" s="335">
        <f>B15/'- 3 -'!$D15*100</f>
        <v>0.76457102346598571</v>
      </c>
      <c r="D15" s="329">
        <v>112414</v>
      </c>
      <c r="E15" s="335">
        <f>D15/'- 3 -'!$D15*100</f>
        <v>0.5924335837652096</v>
      </c>
    </row>
    <row r="16" spans="1:6" ht="14.1" customHeight="1">
      <c r="A16" s="26" t="s">
        <v>239</v>
      </c>
      <c r="B16" s="27">
        <v>7731</v>
      </c>
      <c r="C16" s="79">
        <f>B16/'- 3 -'!$D16*100</f>
        <v>5.9310788840396207E-2</v>
      </c>
      <c r="D16" s="27">
        <v>40720</v>
      </c>
      <c r="E16" s="79">
        <f>D16/'- 3 -'!$D16*100</f>
        <v>0.31239623872473599</v>
      </c>
    </row>
    <row r="17" spans="1:5" ht="14.1" customHeight="1">
      <c r="A17" s="328" t="s">
        <v>240</v>
      </c>
      <c r="B17" s="329">
        <v>65060</v>
      </c>
      <c r="C17" s="335">
        <f>B17/'- 3 -'!$D17*100</f>
        <v>0.39659450528249129</v>
      </c>
      <c r="D17" s="329">
        <v>48245</v>
      </c>
      <c r="E17" s="335">
        <f>D17/'- 3 -'!$D17*100</f>
        <v>0.29409317410626795</v>
      </c>
    </row>
    <row r="18" spans="1:5" ht="14.1" customHeight="1">
      <c r="A18" s="26" t="s">
        <v>241</v>
      </c>
      <c r="B18" s="27">
        <v>2937245</v>
      </c>
      <c r="C18" s="79">
        <f>B18/'- 3 -'!$D18*100</f>
        <v>2.4721456526984835</v>
      </c>
      <c r="D18" s="27">
        <v>69281</v>
      </c>
      <c r="E18" s="79">
        <f>D18/'- 3 -'!$D18*100</f>
        <v>5.8310669680126652E-2</v>
      </c>
    </row>
    <row r="19" spans="1:5" ht="14.1" customHeight="1">
      <c r="A19" s="328" t="s">
        <v>242</v>
      </c>
      <c r="B19" s="329">
        <v>38029</v>
      </c>
      <c r="C19" s="335">
        <f>B19/'- 3 -'!$D19*100</f>
        <v>8.7825183428515571E-2</v>
      </c>
      <c r="D19" s="329">
        <v>44348</v>
      </c>
      <c r="E19" s="335">
        <f>D19/'- 3 -'!$D19*100</f>
        <v>0.10241844999047593</v>
      </c>
    </row>
    <row r="20" spans="1:5" ht="14.1" customHeight="1">
      <c r="A20" s="26" t="s">
        <v>243</v>
      </c>
      <c r="B20" s="27">
        <v>205875</v>
      </c>
      <c r="C20" s="79">
        <f>B20/'- 3 -'!$D20*100</f>
        <v>0.29139338791001157</v>
      </c>
      <c r="D20" s="27">
        <v>382456</v>
      </c>
      <c r="E20" s="79">
        <f>D20/'- 3 -'!$D20*100</f>
        <v>0.54132434519252648</v>
      </c>
    </row>
    <row r="21" spans="1:5" ht="14.1" customHeight="1">
      <c r="A21" s="328" t="s">
        <v>244</v>
      </c>
      <c r="B21" s="329">
        <v>216408</v>
      </c>
      <c r="C21" s="335">
        <f>B21/'- 3 -'!$D21*100</f>
        <v>0.6246783270901487</v>
      </c>
      <c r="D21" s="329">
        <v>143836</v>
      </c>
      <c r="E21" s="335">
        <f>D21/'- 3 -'!$D21*100</f>
        <v>0.41519367054516754</v>
      </c>
    </row>
    <row r="22" spans="1:5" ht="14.1" customHeight="1">
      <c r="A22" s="26" t="s">
        <v>245</v>
      </c>
      <c r="B22" s="27">
        <v>64969</v>
      </c>
      <c r="C22" s="79">
        <f>B22/'- 3 -'!$D22*100</f>
        <v>0.33715517607326961</v>
      </c>
      <c r="D22" s="27">
        <v>4430</v>
      </c>
      <c r="E22" s="79">
        <f>D22/'- 3 -'!$D22*100</f>
        <v>2.2989386168858754E-2</v>
      </c>
    </row>
    <row r="23" spans="1:5" ht="14.1" customHeight="1">
      <c r="A23" s="328" t="s">
        <v>246</v>
      </c>
      <c r="B23" s="329">
        <v>52500</v>
      </c>
      <c r="C23" s="335">
        <f>B23/'- 3 -'!$D23*100</f>
        <v>0.32344186502124089</v>
      </c>
      <c r="D23" s="329">
        <v>21735</v>
      </c>
      <c r="E23" s="335">
        <f>D23/'- 3 -'!$D23*100</f>
        <v>0.13390493211879373</v>
      </c>
    </row>
    <row r="24" spans="1:5" ht="14.1" customHeight="1">
      <c r="A24" s="26" t="s">
        <v>247</v>
      </c>
      <c r="B24" s="27">
        <v>212889</v>
      </c>
      <c r="C24" s="79">
        <f>B24/'- 3 -'!$D24*100</f>
        <v>0.40758990377700854</v>
      </c>
      <c r="D24" s="27">
        <v>135283</v>
      </c>
      <c r="E24" s="79">
        <f>D24/'- 3 -'!$D24*100</f>
        <v>0.25900814486734897</v>
      </c>
    </row>
    <row r="25" spans="1:5" ht="14.1" customHeight="1">
      <c r="A25" s="328" t="s">
        <v>248</v>
      </c>
      <c r="B25" s="329">
        <v>275749</v>
      </c>
      <c r="C25" s="335">
        <f>B25/'- 3 -'!$D25*100</f>
        <v>0.17893451213849088</v>
      </c>
      <c r="D25" s="329">
        <v>603084</v>
      </c>
      <c r="E25" s="335">
        <f>D25/'- 3 -'!$D25*100</f>
        <v>0.39134336414104726</v>
      </c>
    </row>
    <row r="26" spans="1:5" ht="14.1" customHeight="1">
      <c r="A26" s="26" t="s">
        <v>249</v>
      </c>
      <c r="B26" s="27">
        <v>207530</v>
      </c>
      <c r="C26" s="79">
        <f>B26/'- 3 -'!$D26*100</f>
        <v>0.55194332427966841</v>
      </c>
      <c r="D26" s="27">
        <v>85930</v>
      </c>
      <c r="E26" s="79">
        <f>D26/'- 3 -'!$D26*100</f>
        <v>0.22853799380981987</v>
      </c>
    </row>
    <row r="27" spans="1:5" ht="14.1" customHeight="1">
      <c r="A27" s="328" t="s">
        <v>250</v>
      </c>
      <c r="B27" s="329">
        <v>156747</v>
      </c>
      <c r="C27" s="335">
        <f>B27/'- 3 -'!$D27*100</f>
        <v>0.42600677791794067</v>
      </c>
      <c r="D27" s="329">
        <v>133557</v>
      </c>
      <c r="E27" s="335">
        <f>D27/'- 3 -'!$D27*100</f>
        <v>0.36298102827094875</v>
      </c>
    </row>
    <row r="28" spans="1:5" ht="14.1" customHeight="1">
      <c r="A28" s="26" t="s">
        <v>251</v>
      </c>
      <c r="B28" s="27">
        <v>81502</v>
      </c>
      <c r="C28" s="79">
        <f>B28/'- 3 -'!$D28*100</f>
        <v>0.30193916130768683</v>
      </c>
      <c r="D28" s="27">
        <v>92354</v>
      </c>
      <c r="E28" s="79">
        <f>D28/'- 3 -'!$D28*100</f>
        <v>0.34214239286655673</v>
      </c>
    </row>
    <row r="29" spans="1:5" ht="14.1" customHeight="1">
      <c r="A29" s="328" t="s">
        <v>252</v>
      </c>
      <c r="B29" s="329">
        <v>437983</v>
      </c>
      <c r="C29" s="335">
        <f>B29/'- 3 -'!$D29*100</f>
        <v>0.31111766804023344</v>
      </c>
      <c r="D29" s="329">
        <v>928052</v>
      </c>
      <c r="E29" s="335">
        <f>D29/'- 3 -'!$D29*100</f>
        <v>0.659234203291166</v>
      </c>
    </row>
    <row r="30" spans="1:5" ht="14.1" customHeight="1">
      <c r="A30" s="26" t="s">
        <v>253</v>
      </c>
      <c r="B30" s="27">
        <v>75935</v>
      </c>
      <c r="C30" s="79">
        <f>B30/'- 3 -'!$D30*100</f>
        <v>0.56445418614492615</v>
      </c>
      <c r="D30" s="27">
        <v>41737</v>
      </c>
      <c r="E30" s="79">
        <f>D30/'- 3 -'!$D30*100</f>
        <v>0.31024724260394793</v>
      </c>
    </row>
    <row r="31" spans="1:5" ht="14.1" customHeight="1">
      <c r="A31" s="328" t="s">
        <v>254</v>
      </c>
      <c r="B31" s="329">
        <v>59229</v>
      </c>
      <c r="C31" s="335">
        <f>B31/'- 3 -'!$D31*100</f>
        <v>0.17570086338423554</v>
      </c>
      <c r="D31" s="329">
        <v>100141</v>
      </c>
      <c r="E31" s="335">
        <f>D31/'- 3 -'!$D31*100</f>
        <v>0.29706495399484595</v>
      </c>
    </row>
    <row r="32" spans="1:5" ht="14.1" customHeight="1">
      <c r="A32" s="26" t="s">
        <v>255</v>
      </c>
      <c r="B32" s="27">
        <v>100497</v>
      </c>
      <c r="C32" s="79">
        <f>B32/'- 3 -'!$D32*100</f>
        <v>0.38612039770128176</v>
      </c>
      <c r="D32" s="27">
        <v>164112</v>
      </c>
      <c r="E32" s="79">
        <f>D32/'- 3 -'!$D32*100</f>
        <v>0.63053614244756306</v>
      </c>
    </row>
    <row r="33" spans="1:5" ht="14.1" customHeight="1">
      <c r="A33" s="328" t="s">
        <v>256</v>
      </c>
      <c r="B33" s="329">
        <v>113508</v>
      </c>
      <c r="C33" s="335">
        <f>B33/'- 3 -'!$D33*100</f>
        <v>0.43355735783023308</v>
      </c>
      <c r="D33" s="329">
        <v>129393</v>
      </c>
      <c r="E33" s="335">
        <f>D33/'- 3 -'!$D33*100</f>
        <v>0.49423201185579302</v>
      </c>
    </row>
    <row r="34" spans="1:5" ht="14.1" customHeight="1">
      <c r="A34" s="26" t="s">
        <v>257</v>
      </c>
      <c r="B34" s="27">
        <v>104826</v>
      </c>
      <c r="C34" s="79">
        <f>B34/'- 3 -'!$D34*100</f>
        <v>0.41556575333195717</v>
      </c>
      <c r="D34" s="27">
        <v>130894</v>
      </c>
      <c r="E34" s="79">
        <f>D34/'- 3 -'!$D34*100</f>
        <v>0.51890813077512454</v>
      </c>
    </row>
    <row r="35" spans="1:5" ht="14.1" customHeight="1">
      <c r="A35" s="328" t="s">
        <v>258</v>
      </c>
      <c r="B35" s="329">
        <v>388015</v>
      </c>
      <c r="C35" s="335">
        <f>B35/'- 3 -'!$D35*100</f>
        <v>0.22649287341748384</v>
      </c>
      <c r="D35" s="329">
        <v>772246</v>
      </c>
      <c r="E35" s="335">
        <f>D35/'- 3 -'!$D35*100</f>
        <v>0.45077694296653015</v>
      </c>
    </row>
    <row r="36" spans="1:5" ht="14.1" customHeight="1">
      <c r="A36" s="26" t="s">
        <v>259</v>
      </c>
      <c r="B36" s="27">
        <v>92803</v>
      </c>
      <c r="C36" s="79">
        <f>B36/'- 3 -'!$D36*100</f>
        <v>0.43380073539936104</v>
      </c>
      <c r="D36" s="27">
        <v>64895</v>
      </c>
      <c r="E36" s="79">
        <f>D36/'- 3 -'!$D36*100</f>
        <v>0.30334686080990408</v>
      </c>
    </row>
    <row r="37" spans="1:5" ht="14.1" customHeight="1">
      <c r="A37" s="328" t="s">
        <v>260</v>
      </c>
      <c r="B37" s="329">
        <v>111586</v>
      </c>
      <c r="C37" s="335">
        <f>B37/'- 3 -'!$D37*100</f>
        <v>0.26337946112740696</v>
      </c>
      <c r="D37" s="329">
        <v>136854</v>
      </c>
      <c r="E37" s="335">
        <f>D37/'- 3 -'!$D37*100</f>
        <v>0.32302020659518355</v>
      </c>
    </row>
    <row r="38" spans="1:5" ht="14.1" customHeight="1">
      <c r="A38" s="26" t="s">
        <v>261</v>
      </c>
      <c r="B38" s="27">
        <v>438093</v>
      </c>
      <c r="C38" s="79">
        <f>B38/'- 3 -'!$D38*100</f>
        <v>0.38084719538722606</v>
      </c>
      <c r="D38" s="27">
        <v>459738</v>
      </c>
      <c r="E38" s="79">
        <f>D38/'- 3 -'!$D38*100</f>
        <v>0.39966383373606179</v>
      </c>
    </row>
    <row r="39" spans="1:5" ht="14.1" customHeight="1">
      <c r="A39" s="328" t="s">
        <v>262</v>
      </c>
      <c r="B39" s="329">
        <v>122486</v>
      </c>
      <c r="C39" s="335">
        <f>B39/'- 3 -'!$D39*100</f>
        <v>0.60500396952664071</v>
      </c>
      <c r="D39" s="329">
        <v>74461</v>
      </c>
      <c r="E39" s="335">
        <f>D39/'- 3 -'!$D39*100</f>
        <v>0.36779060933431734</v>
      </c>
    </row>
    <row r="40" spans="1:5" ht="14.1" customHeight="1">
      <c r="A40" s="26" t="s">
        <v>263</v>
      </c>
      <c r="B40" s="27">
        <v>475200</v>
      </c>
      <c r="C40" s="79">
        <f>B40/'- 3 -'!$D40*100</f>
        <v>0.49940789896826865</v>
      </c>
      <c r="D40" s="27">
        <v>276284</v>
      </c>
      <c r="E40" s="79">
        <f>D40/'- 3 -'!$D40*100</f>
        <v>0.29035861102388288</v>
      </c>
    </row>
    <row r="41" spans="1:5" ht="14.1" customHeight="1">
      <c r="A41" s="328" t="s">
        <v>264</v>
      </c>
      <c r="B41" s="329">
        <v>295263</v>
      </c>
      <c r="C41" s="335">
        <f>B41/'- 3 -'!$D41*100</f>
        <v>0.50380413817504566</v>
      </c>
      <c r="D41" s="329">
        <v>584607</v>
      </c>
      <c r="E41" s="335">
        <f>D41/'- 3 -'!$D41*100</f>
        <v>0.99750874916971954</v>
      </c>
    </row>
    <row r="42" spans="1:5" ht="14.1" customHeight="1">
      <c r="A42" s="26" t="s">
        <v>265</v>
      </c>
      <c r="B42" s="27">
        <v>119978</v>
      </c>
      <c r="C42" s="79">
        <f>B42/'- 3 -'!$D42*100</f>
        <v>0.59551229975763664</v>
      </c>
      <c r="D42" s="27">
        <v>98227</v>
      </c>
      <c r="E42" s="79">
        <f>D42/'- 3 -'!$D42*100</f>
        <v>0.48755093990809462</v>
      </c>
    </row>
    <row r="43" spans="1:5" ht="14.1" customHeight="1">
      <c r="A43" s="328" t="s">
        <v>266</v>
      </c>
      <c r="B43" s="329">
        <v>51935</v>
      </c>
      <c r="C43" s="335">
        <f>B43/'- 3 -'!$D43*100</f>
        <v>0.42093354769456315</v>
      </c>
      <c r="D43" s="329">
        <v>6349</v>
      </c>
      <c r="E43" s="335">
        <f>D43/'- 3 -'!$D43*100</f>
        <v>5.1458690561524627E-2</v>
      </c>
    </row>
    <row r="44" spans="1:5" ht="14.1" customHeight="1">
      <c r="A44" s="26" t="s">
        <v>267</v>
      </c>
      <c r="B44" s="27">
        <v>47032</v>
      </c>
      <c r="C44" s="79">
        <f>B44/'- 3 -'!$D44*100</f>
        <v>0.45729780479163162</v>
      </c>
      <c r="D44" s="27">
        <v>42711</v>
      </c>
      <c r="E44" s="79">
        <f>D44/'- 3 -'!$D44*100</f>
        <v>0.41528420097923496</v>
      </c>
    </row>
    <row r="45" spans="1:5" ht="14.1" customHeight="1">
      <c r="A45" s="328" t="s">
        <v>268</v>
      </c>
      <c r="B45" s="329">
        <v>46470</v>
      </c>
      <c r="C45" s="335">
        <f>B45/'- 3 -'!$D45*100</f>
        <v>0.2752654042447501</v>
      </c>
      <c r="D45" s="329">
        <v>30118</v>
      </c>
      <c r="E45" s="335">
        <f>D45/'- 3 -'!$D45*100</f>
        <v>0.17840420583265296</v>
      </c>
    </row>
    <row r="46" spans="1:5" ht="14.1" customHeight="1">
      <c r="A46" s="26" t="s">
        <v>269</v>
      </c>
      <c r="B46" s="27">
        <v>1761051</v>
      </c>
      <c r="C46" s="79">
        <f>B46/'- 3 -'!$D46*100</f>
        <v>0.49460794094795996</v>
      </c>
      <c r="D46" s="27">
        <v>1170324</v>
      </c>
      <c r="E46" s="79">
        <f>D46/'- 3 -'!$D46*100</f>
        <v>0.32869663847439984</v>
      </c>
    </row>
    <row r="47" spans="1:5" ht="5.0999999999999996" customHeight="1">
      <c r="A47"/>
      <c r="B47" s="29"/>
      <c r="C47"/>
      <c r="D47" s="29"/>
      <c r="E47"/>
    </row>
    <row r="48" spans="1:5" ht="14.1" customHeight="1">
      <c r="A48" s="330" t="s">
        <v>270</v>
      </c>
      <c r="B48" s="331">
        <f>SUM(B11:B46)</f>
        <v>10171230</v>
      </c>
      <c r="C48" s="338">
        <f>B48/'- 3 -'!$D48*100</f>
        <v>0.49194650251370103</v>
      </c>
      <c r="D48" s="331">
        <f>SUM(D11:D46)</f>
        <v>7516164</v>
      </c>
      <c r="E48" s="338">
        <f>D48/'- 3 -'!$D48*100</f>
        <v>0.36353032938193208</v>
      </c>
    </row>
    <row r="49" spans="1:5" ht="5.0999999999999996" customHeight="1">
      <c r="A49" s="28" t="s">
        <v>16</v>
      </c>
      <c r="B49" s="29"/>
      <c r="C49"/>
      <c r="D49" s="29"/>
      <c r="E49"/>
    </row>
    <row r="50" spans="1:5" ht="14.1" customHeight="1">
      <c r="A50" s="26" t="s">
        <v>271</v>
      </c>
      <c r="B50" s="27">
        <v>41920</v>
      </c>
      <c r="C50" s="79">
        <f>B50/'- 3 -'!$D50*100</f>
        <v>1.3166482507611872</v>
      </c>
      <c r="D50" s="27">
        <v>3732</v>
      </c>
      <c r="E50" s="79">
        <f>D50/'- 3 -'!$D50*100</f>
        <v>0.11721687194276602</v>
      </c>
    </row>
    <row r="51" spans="1:5" ht="14.1" customHeight="1">
      <c r="A51" s="328" t="s">
        <v>272</v>
      </c>
      <c r="B51" s="329">
        <v>0</v>
      </c>
      <c r="C51" s="335">
        <f>B51/'- 3 -'!$D51*100</f>
        <v>0</v>
      </c>
      <c r="D51" s="329">
        <v>31467</v>
      </c>
      <c r="E51" s="335">
        <f>D51/'- 3 -'!$D51*100</f>
        <v>0.15981903530189023</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F68"/>
  <sheetViews>
    <sheetView showGridLines="0" showZeros="0" workbookViewId="0"/>
  </sheetViews>
  <sheetFormatPr defaultColWidth="15.83203125" defaultRowHeight="12"/>
  <cols>
    <col min="1" max="1" width="40.83203125" style="1" customWidth="1"/>
    <col min="2" max="2" width="27.83203125" style="1" customWidth="1"/>
    <col min="3" max="3" width="18.83203125" style="1" customWidth="1"/>
    <col min="4" max="4" width="27.83203125" style="1" customWidth="1"/>
    <col min="5" max="5" width="18.83203125" style="1" customWidth="1"/>
    <col min="6" max="16384" width="15.83203125" style="1"/>
  </cols>
  <sheetData>
    <row r="1" spans="1:5" ht="6.95" customHeight="1">
      <c r="A1" s="6"/>
      <c r="B1" s="7"/>
      <c r="C1" s="7"/>
      <c r="D1" s="7"/>
      <c r="E1" s="7"/>
    </row>
    <row r="2" spans="1:5" ht="15.95" customHeight="1">
      <c r="A2" s="34"/>
      <c r="B2" s="708" t="s">
        <v>479</v>
      </c>
      <c r="C2" s="709"/>
      <c r="D2" s="709"/>
      <c r="E2" s="35"/>
    </row>
    <row r="3" spans="1:5" ht="15.95" customHeight="1">
      <c r="A3" s="698"/>
      <c r="B3" s="710"/>
      <c r="C3" s="710"/>
      <c r="D3" s="710"/>
      <c r="E3" s="37"/>
    </row>
    <row r="4" spans="1:5" ht="15.95" customHeight="1">
      <c r="B4" s="7"/>
      <c r="C4" s="38"/>
      <c r="D4" s="39"/>
      <c r="E4" s="38"/>
    </row>
    <row r="5" spans="1:5" ht="15.95" customHeight="1">
      <c r="B5" s="7"/>
      <c r="C5" s="7"/>
      <c r="D5" s="7"/>
      <c r="E5" s="7"/>
    </row>
    <row r="6" spans="1:5" ht="15.95" customHeight="1">
      <c r="B6" s="7"/>
      <c r="C6" s="7"/>
      <c r="D6" s="7"/>
      <c r="E6" s="7"/>
    </row>
    <row r="7" spans="1:5" ht="15.95" customHeight="1">
      <c r="B7" s="325" t="s">
        <v>708</v>
      </c>
      <c r="C7" s="326"/>
      <c r="D7" s="325" t="s">
        <v>735</v>
      </c>
      <c r="E7" s="327"/>
    </row>
    <row r="8" spans="1:5" ht="15.95" customHeight="1">
      <c r="A8" s="40"/>
      <c r="B8" s="41"/>
      <c r="C8" s="320"/>
      <c r="D8" s="41"/>
      <c r="E8" s="320"/>
    </row>
    <row r="9" spans="1:5" ht="15.95" customHeight="1">
      <c r="A9" s="42" t="s">
        <v>93</v>
      </c>
      <c r="B9" s="501" t="s">
        <v>461</v>
      </c>
      <c r="C9" s="321" t="s">
        <v>105</v>
      </c>
      <c r="D9" s="501" t="s">
        <v>461</v>
      </c>
      <c r="E9" s="321" t="s">
        <v>105</v>
      </c>
    </row>
    <row r="10" spans="1:5" ht="5.0999999999999996" customHeight="1">
      <c r="A10" s="5"/>
    </row>
    <row r="11" spans="1:5" ht="14.1" customHeight="1">
      <c r="A11" s="328" t="s">
        <v>235</v>
      </c>
      <c r="B11" s="329">
        <v>15627872</v>
      </c>
      <c r="C11" s="329">
        <v>10408</v>
      </c>
      <c r="D11" s="329">
        <f>'- 3 -'!F11</f>
        <v>16638444</v>
      </c>
      <c r="E11" s="329">
        <f>ROUND(D11/'- 7 -'!E11,0)</f>
        <v>11219</v>
      </c>
    </row>
    <row r="12" spans="1:5" ht="14.1" customHeight="1">
      <c r="A12" s="26" t="s">
        <v>236</v>
      </c>
      <c r="B12" s="44">
        <v>28941649</v>
      </c>
      <c r="C12" s="44">
        <v>12656</v>
      </c>
      <c r="D12" s="27">
        <f>'- 3 -'!F12</f>
        <v>29210965</v>
      </c>
      <c r="E12" s="27">
        <f>ROUND(D12/'- 7 -'!E12,0)</f>
        <v>13349</v>
      </c>
    </row>
    <row r="13" spans="1:5" ht="14.1" customHeight="1">
      <c r="A13" s="328" t="s">
        <v>237</v>
      </c>
      <c r="B13" s="329">
        <v>80151366</v>
      </c>
      <c r="C13" s="329">
        <v>10212</v>
      </c>
      <c r="D13" s="329">
        <f>'- 3 -'!F13</f>
        <v>83622829</v>
      </c>
      <c r="E13" s="329">
        <f>ROUND(D13/'- 7 -'!E13,0)</f>
        <v>10452</v>
      </c>
    </row>
    <row r="14" spans="1:5" ht="14.1" customHeight="1">
      <c r="A14" s="26" t="s">
        <v>636</v>
      </c>
      <c r="B14" s="27">
        <v>68931094</v>
      </c>
      <c r="C14" s="27">
        <v>13532</v>
      </c>
      <c r="D14" s="27">
        <f>'- 3 -'!F14</f>
        <v>71891712</v>
      </c>
      <c r="E14" s="27">
        <f>ROUND(D14/'- 7 -'!E14,0)</f>
        <v>13823</v>
      </c>
    </row>
    <row r="15" spans="1:5" ht="14.1" customHeight="1">
      <c r="A15" s="328" t="s">
        <v>238</v>
      </c>
      <c r="B15" s="329">
        <v>18519301</v>
      </c>
      <c r="C15" s="329">
        <v>11994</v>
      </c>
      <c r="D15" s="329">
        <f>'- 3 -'!F15</f>
        <v>18914368</v>
      </c>
      <c r="E15" s="329">
        <f>ROUND(D15/'- 7 -'!E15,0)</f>
        <v>12681</v>
      </c>
    </row>
    <row r="16" spans="1:5" ht="14.1" customHeight="1">
      <c r="A16" s="26" t="s">
        <v>239</v>
      </c>
      <c r="B16" s="44">
        <v>12673417</v>
      </c>
      <c r="C16" s="44">
        <v>12769</v>
      </c>
      <c r="D16" s="27">
        <f>'- 3 -'!F16</f>
        <v>12925490</v>
      </c>
      <c r="E16" s="27">
        <f>ROUND(D16/'- 7 -'!E16,0)</f>
        <v>13436</v>
      </c>
    </row>
    <row r="17" spans="1:5" ht="14.1" customHeight="1">
      <c r="A17" s="328" t="s">
        <v>240</v>
      </c>
      <c r="B17" s="329">
        <v>15750129</v>
      </c>
      <c r="C17" s="329">
        <v>12158</v>
      </c>
      <c r="D17" s="329">
        <f>'- 3 -'!F17</f>
        <v>16093366</v>
      </c>
      <c r="E17" s="329">
        <f>ROUND(D17/'- 7 -'!E17,0)</f>
        <v>12505</v>
      </c>
    </row>
    <row r="18" spans="1:5" ht="14.1" customHeight="1">
      <c r="A18" s="26" t="s">
        <v>241</v>
      </c>
      <c r="B18" s="27">
        <v>108465940</v>
      </c>
      <c r="C18" s="27">
        <v>18779</v>
      </c>
      <c r="D18" s="27">
        <f>'- 3 -'!F18</f>
        <v>114310239</v>
      </c>
      <c r="E18" s="27">
        <f>ROUND(D18/'- 7 -'!E18,0)</f>
        <v>18845</v>
      </c>
    </row>
    <row r="19" spans="1:5" ht="14.1" customHeight="1">
      <c r="A19" s="328" t="s">
        <v>242</v>
      </c>
      <c r="B19" s="329">
        <v>38904695</v>
      </c>
      <c r="C19" s="329">
        <v>9287</v>
      </c>
      <c r="D19" s="329">
        <f>'- 3 -'!F19</f>
        <v>43236789</v>
      </c>
      <c r="E19" s="329">
        <f>ROUND(D19/'- 7 -'!E19,0)</f>
        <v>10311</v>
      </c>
    </row>
    <row r="20" spans="1:5" ht="14.1" customHeight="1">
      <c r="A20" s="26" t="s">
        <v>243</v>
      </c>
      <c r="B20" s="44">
        <v>67523840</v>
      </c>
      <c r="C20" s="44">
        <v>9137</v>
      </c>
      <c r="D20" s="27">
        <f>'- 3 -'!F20</f>
        <v>70487403</v>
      </c>
      <c r="E20" s="27">
        <f>ROUND(D20/'- 7 -'!E20,0)</f>
        <v>9552</v>
      </c>
    </row>
    <row r="21" spans="1:5" ht="14.1" customHeight="1">
      <c r="A21" s="328" t="s">
        <v>244</v>
      </c>
      <c r="B21" s="329">
        <v>32407686</v>
      </c>
      <c r="C21" s="329">
        <v>11748</v>
      </c>
      <c r="D21" s="329">
        <f>'- 3 -'!F21</f>
        <v>34385782</v>
      </c>
      <c r="E21" s="329">
        <f>ROUND(D21/'- 7 -'!E21,0)</f>
        <v>12721</v>
      </c>
    </row>
    <row r="22" spans="1:5" ht="14.1" customHeight="1">
      <c r="A22" s="26" t="s">
        <v>245</v>
      </c>
      <c r="B22" s="27">
        <v>17921935</v>
      </c>
      <c r="C22" s="27">
        <v>11233</v>
      </c>
      <c r="D22" s="27">
        <f>'- 3 -'!F22</f>
        <v>18620893</v>
      </c>
      <c r="E22" s="27">
        <f>ROUND(D22/'- 7 -'!E22,0)</f>
        <v>11874</v>
      </c>
    </row>
    <row r="23" spans="1:5" ht="14.1" customHeight="1">
      <c r="A23" s="328" t="s">
        <v>246</v>
      </c>
      <c r="B23" s="329">
        <v>15511307</v>
      </c>
      <c r="C23" s="329">
        <v>13084</v>
      </c>
      <c r="D23" s="329">
        <f>'- 3 -'!F23</f>
        <v>15675920</v>
      </c>
      <c r="E23" s="329">
        <f>ROUND(D23/'- 7 -'!E23,0)</f>
        <v>13556</v>
      </c>
    </row>
    <row r="24" spans="1:5" ht="14.1" customHeight="1">
      <c r="A24" s="26" t="s">
        <v>247</v>
      </c>
      <c r="B24" s="44">
        <v>50236809</v>
      </c>
      <c r="C24" s="44">
        <v>11838</v>
      </c>
      <c r="D24" s="27">
        <f>'- 3 -'!F24</f>
        <v>51515479</v>
      </c>
      <c r="E24" s="27">
        <f>ROUND(D24/'- 7 -'!E24,0)</f>
        <v>12492</v>
      </c>
    </row>
    <row r="25" spans="1:5" ht="14.1" customHeight="1">
      <c r="A25" s="328" t="s">
        <v>248</v>
      </c>
      <c r="B25" s="329">
        <v>148668623</v>
      </c>
      <c r="C25" s="329">
        <v>10847</v>
      </c>
      <c r="D25" s="329">
        <f>'- 3 -'!F25</f>
        <v>152947874</v>
      </c>
      <c r="E25" s="329">
        <f>ROUND(D25/'- 7 -'!E25,0)</f>
        <v>11063</v>
      </c>
    </row>
    <row r="26" spans="1:5" ht="14.1" customHeight="1">
      <c r="A26" s="26" t="s">
        <v>249</v>
      </c>
      <c r="B26" s="27">
        <v>37162684</v>
      </c>
      <c r="C26" s="27">
        <v>11959</v>
      </c>
      <c r="D26" s="27">
        <f>'- 3 -'!F26</f>
        <v>37504380</v>
      </c>
      <c r="E26" s="27">
        <f>ROUND(D26/'- 7 -'!E26,0)</f>
        <v>12036</v>
      </c>
    </row>
    <row r="27" spans="1:5" ht="14.1" customHeight="1">
      <c r="A27" s="328" t="s">
        <v>250</v>
      </c>
      <c r="B27" s="329">
        <v>36432069</v>
      </c>
      <c r="C27" s="329">
        <v>13301</v>
      </c>
      <c r="D27" s="329">
        <f>'- 3 -'!F27</f>
        <v>36765385</v>
      </c>
      <c r="E27" s="329">
        <f>ROUND(D27/'- 7 -'!E27,0)</f>
        <v>13245</v>
      </c>
    </row>
    <row r="28" spans="1:5" ht="14.1" customHeight="1">
      <c r="A28" s="26" t="s">
        <v>251</v>
      </c>
      <c r="B28" s="44">
        <v>25217124</v>
      </c>
      <c r="C28" s="44">
        <v>12707</v>
      </c>
      <c r="D28" s="27">
        <f>'- 3 -'!F28</f>
        <v>26755194</v>
      </c>
      <c r="E28" s="27">
        <f>ROUND(D28/'- 7 -'!E28,0)</f>
        <v>13321</v>
      </c>
    </row>
    <row r="29" spans="1:5" ht="14.1" customHeight="1">
      <c r="A29" s="328" t="s">
        <v>252</v>
      </c>
      <c r="B29" s="329">
        <v>137051842</v>
      </c>
      <c r="C29" s="329">
        <v>11259</v>
      </c>
      <c r="D29" s="329">
        <f>'- 3 -'!F29</f>
        <v>139729545</v>
      </c>
      <c r="E29" s="329">
        <f>ROUND(D29/'- 7 -'!E29,0)</f>
        <v>11451</v>
      </c>
    </row>
    <row r="30" spans="1:5" ht="14.1" customHeight="1">
      <c r="A30" s="26" t="s">
        <v>253</v>
      </c>
      <c r="B30" s="27">
        <v>13304000</v>
      </c>
      <c r="C30" s="27">
        <v>12344</v>
      </c>
      <c r="D30" s="27">
        <f>'- 3 -'!F30</f>
        <v>13440478</v>
      </c>
      <c r="E30" s="27">
        <f>ROUND(D30/'- 7 -'!E30,0)</f>
        <v>12685</v>
      </c>
    </row>
    <row r="31" spans="1:5" ht="14.1" customHeight="1">
      <c r="A31" s="328" t="s">
        <v>254</v>
      </c>
      <c r="B31" s="329">
        <v>32594043</v>
      </c>
      <c r="C31" s="329">
        <v>10246</v>
      </c>
      <c r="D31" s="329">
        <f>'- 3 -'!F31</f>
        <v>33661200</v>
      </c>
      <c r="E31" s="329">
        <f>ROUND(D31/'- 7 -'!E31,0)</f>
        <v>10580</v>
      </c>
    </row>
    <row r="32" spans="1:5" ht="14.1" customHeight="1">
      <c r="A32" s="26" t="s">
        <v>255</v>
      </c>
      <c r="B32" s="44">
        <v>24395376</v>
      </c>
      <c r="C32" s="44">
        <v>11828</v>
      </c>
      <c r="D32" s="27">
        <f>'- 3 -'!F32</f>
        <v>25738959</v>
      </c>
      <c r="E32" s="27">
        <f>ROUND(D32/'- 7 -'!E32,0)</f>
        <v>12729</v>
      </c>
    </row>
    <row r="33" spans="1:6" ht="14.1" customHeight="1">
      <c r="A33" s="328" t="s">
        <v>256</v>
      </c>
      <c r="B33" s="329">
        <v>25213075</v>
      </c>
      <c r="C33" s="329">
        <v>12457</v>
      </c>
      <c r="D33" s="329">
        <f>'- 3 -'!F33</f>
        <v>26148819</v>
      </c>
      <c r="E33" s="329">
        <f>ROUND(D33/'- 7 -'!E33,0)</f>
        <v>13076</v>
      </c>
    </row>
    <row r="34" spans="1:6" ht="14.1" customHeight="1">
      <c r="A34" s="26" t="s">
        <v>257</v>
      </c>
      <c r="B34" s="27">
        <v>24189412</v>
      </c>
      <c r="C34" s="27">
        <v>11864</v>
      </c>
      <c r="D34" s="27">
        <f>'- 3 -'!F34</f>
        <v>25188082</v>
      </c>
      <c r="E34" s="27">
        <f>ROUND(D34/'- 7 -'!E34,0)</f>
        <v>12786</v>
      </c>
    </row>
    <row r="35" spans="1:6" ht="14.1" customHeight="1">
      <c r="A35" s="328" t="s">
        <v>258</v>
      </c>
      <c r="B35" s="329">
        <v>163717495</v>
      </c>
      <c r="C35" s="329">
        <v>10372</v>
      </c>
      <c r="D35" s="329">
        <f>'- 3 -'!F35</f>
        <v>168947116</v>
      </c>
      <c r="E35" s="329">
        <f>ROUND(D35/'- 7 -'!E35,0)</f>
        <v>10855</v>
      </c>
    </row>
    <row r="36" spans="1:6" ht="14.1" customHeight="1">
      <c r="A36" s="26" t="s">
        <v>259</v>
      </c>
      <c r="B36" s="44">
        <v>20412796</v>
      </c>
      <c r="C36" s="44">
        <v>12375</v>
      </c>
      <c r="D36" s="27">
        <f>'- 3 -'!F36</f>
        <v>21245846</v>
      </c>
      <c r="E36" s="27">
        <f>ROUND(D36/'- 7 -'!E36,0)</f>
        <v>13054</v>
      </c>
    </row>
    <row r="37" spans="1:6" ht="14.1" customHeight="1">
      <c r="A37" s="328" t="s">
        <v>260</v>
      </c>
      <c r="B37" s="329">
        <v>39170545</v>
      </c>
      <c r="C37" s="329">
        <v>10506</v>
      </c>
      <c r="D37" s="329">
        <f>'- 3 -'!F37</f>
        <v>41894502</v>
      </c>
      <c r="E37" s="329">
        <f>ROUND(D37/'- 7 -'!E37,0)</f>
        <v>10705</v>
      </c>
    </row>
    <row r="38" spans="1:6" ht="14.1" customHeight="1">
      <c r="A38" s="26" t="s">
        <v>261</v>
      </c>
      <c r="B38" s="27">
        <v>108078949</v>
      </c>
      <c r="C38" s="27">
        <v>10441</v>
      </c>
      <c r="D38" s="27">
        <f>'- 3 -'!F38</f>
        <v>112767219</v>
      </c>
      <c r="E38" s="27">
        <f>ROUND(D38/'- 7 -'!E38,0)</f>
        <v>10789</v>
      </c>
    </row>
    <row r="39" spans="1:6" ht="14.1" customHeight="1">
      <c r="A39" s="328" t="s">
        <v>262</v>
      </c>
      <c r="B39" s="329">
        <v>19465890</v>
      </c>
      <c r="C39" s="329">
        <v>12274</v>
      </c>
      <c r="D39" s="329">
        <f>'- 3 -'!F39</f>
        <v>20185720</v>
      </c>
      <c r="E39" s="329">
        <f>ROUND(D39/'- 7 -'!E39,0)</f>
        <v>12977</v>
      </c>
    </row>
    <row r="40" spans="1:6" ht="14.1" customHeight="1">
      <c r="A40" s="26" t="s">
        <v>263</v>
      </c>
      <c r="B40" s="44">
        <v>91867413</v>
      </c>
      <c r="C40" s="44">
        <v>11432</v>
      </c>
      <c r="D40" s="27">
        <f>'- 3 -'!F40</f>
        <v>94058562</v>
      </c>
      <c r="E40" s="27">
        <f>ROUND(D40/'- 7 -'!E40,0)</f>
        <v>11841</v>
      </c>
    </row>
    <row r="41" spans="1:6" ht="14.1" customHeight="1">
      <c r="A41" s="328" t="s">
        <v>264</v>
      </c>
      <c r="B41" s="329">
        <v>56650312</v>
      </c>
      <c r="C41" s="329">
        <v>12662</v>
      </c>
      <c r="D41" s="329">
        <f>'- 3 -'!F41</f>
        <v>57347286</v>
      </c>
      <c r="E41" s="329">
        <f>ROUND(D41/'- 7 -'!E41,0)</f>
        <v>13013</v>
      </c>
    </row>
    <row r="42" spans="1:6" ht="14.1" customHeight="1">
      <c r="A42" s="26" t="s">
        <v>265</v>
      </c>
      <c r="B42" s="27">
        <v>19518074</v>
      </c>
      <c r="C42" s="27">
        <v>13661</v>
      </c>
      <c r="D42" s="27">
        <f>'- 3 -'!F42</f>
        <v>19941446</v>
      </c>
      <c r="E42" s="27">
        <f>ROUND(D42/'- 7 -'!E42,0)</f>
        <v>13740</v>
      </c>
    </row>
    <row r="43" spans="1:6" ht="14.1" customHeight="1">
      <c r="A43" s="328" t="s">
        <v>266</v>
      </c>
      <c r="B43" s="329">
        <v>11390454</v>
      </c>
      <c r="C43" s="329">
        <v>11677</v>
      </c>
      <c r="D43" s="329">
        <f>'- 3 -'!F43</f>
        <v>12113898</v>
      </c>
      <c r="E43" s="329">
        <f>ROUND(D43/'- 7 -'!E43,0)</f>
        <v>12376</v>
      </c>
    </row>
    <row r="44" spans="1:6" ht="14.1" customHeight="1">
      <c r="A44" s="26" t="s">
        <v>267</v>
      </c>
      <c r="B44" s="44">
        <v>9743376</v>
      </c>
      <c r="C44" s="44">
        <v>13618</v>
      </c>
      <c r="D44" s="27">
        <f>'- 3 -'!F44</f>
        <v>10273896</v>
      </c>
      <c r="E44" s="27">
        <f>ROUND(D44/'- 7 -'!E44,0)</f>
        <v>14646</v>
      </c>
    </row>
    <row r="45" spans="1:6" ht="14.1" customHeight="1">
      <c r="A45" s="328" t="s">
        <v>268</v>
      </c>
      <c r="B45" s="329">
        <v>15870388</v>
      </c>
      <c r="C45" s="329">
        <v>9857</v>
      </c>
      <c r="D45" s="329">
        <f>'- 3 -'!F45</f>
        <v>16480574</v>
      </c>
      <c r="E45" s="329">
        <f>ROUND(D45/'- 7 -'!E45,0)</f>
        <v>10189</v>
      </c>
    </row>
    <row r="46" spans="1:6" ht="14.1" customHeight="1">
      <c r="A46" s="26" t="s">
        <v>269</v>
      </c>
      <c r="B46" s="27">
        <v>338440748</v>
      </c>
      <c r="C46" s="27">
        <v>11234</v>
      </c>
      <c r="D46" s="27">
        <f>'- 3 -'!F46</f>
        <v>346901090</v>
      </c>
      <c r="E46" s="27">
        <f>ROUND(D46/'- 7 -'!E46,0)</f>
        <v>11622</v>
      </c>
    </row>
    <row r="47" spans="1:6" ht="5.0999999999999996" customHeight="1">
      <c r="A47"/>
      <c r="B47"/>
      <c r="C47"/>
      <c r="D47"/>
      <c r="E47"/>
      <c r="F47"/>
    </row>
    <row r="48" spans="1:6" ht="14.1" customHeight="1">
      <c r="A48" s="330" t="s">
        <v>270</v>
      </c>
      <c r="B48" s="331">
        <v>1970121728</v>
      </c>
      <c r="C48" s="331">
        <v>11437</v>
      </c>
      <c r="D48" s="331">
        <f>SUM(D11:D46)</f>
        <v>2037566750</v>
      </c>
      <c r="E48" s="331">
        <f>ROUND(D48/'- 7 -'!E48,0)</f>
        <v>11845</v>
      </c>
      <c r="F48" s="322"/>
    </row>
    <row r="49" spans="1:5" ht="5.0999999999999996" customHeight="1">
      <c r="A49" s="28" t="s">
        <v>16</v>
      </c>
      <c r="B49" s="29"/>
      <c r="C49" s="29"/>
      <c r="D49" s="29"/>
      <c r="E49" s="29"/>
    </row>
    <row r="50" spans="1:5" ht="14.1" customHeight="1">
      <c r="A50" s="26" t="s">
        <v>271</v>
      </c>
      <c r="B50" s="44">
        <v>3160209</v>
      </c>
      <c r="C50" s="44">
        <v>18923</v>
      </c>
      <c r="D50" s="27">
        <f>'- 3 -'!F50</f>
        <v>3176342</v>
      </c>
      <c r="E50" s="27">
        <f>ROUND(D50/'- 7 -'!E50,0)</f>
        <v>17996</v>
      </c>
    </row>
    <row r="51" spans="1:5" ht="14.1" customHeight="1">
      <c r="A51" s="328" t="s">
        <v>272</v>
      </c>
      <c r="B51" s="329">
        <v>9557687</v>
      </c>
      <c r="C51" s="329">
        <v>13222</v>
      </c>
      <c r="D51" s="329">
        <f>'- 3 -'!F51</f>
        <v>9836380</v>
      </c>
      <c r="E51" s="329">
        <f>ROUND(D51/'- 7 -'!E51,0)</f>
        <v>13607</v>
      </c>
    </row>
    <row r="52" spans="1:5" ht="50.1" customHeight="1">
      <c r="A52" s="30"/>
      <c r="B52" s="30"/>
      <c r="C52" s="30"/>
      <c r="D52" s="30"/>
      <c r="E52" s="30"/>
    </row>
    <row r="53" spans="1:5" ht="15" customHeight="1">
      <c r="A53" s="31" t="s">
        <v>604</v>
      </c>
      <c r="B53" s="45"/>
      <c r="C53" s="45"/>
      <c r="D53" s="45"/>
      <c r="E53" s="45"/>
    </row>
    <row r="54" spans="1:5" ht="12" customHeight="1">
      <c r="A54" s="31" t="s">
        <v>710</v>
      </c>
      <c r="B54" s="45"/>
      <c r="C54" s="45"/>
      <c r="D54" s="45"/>
      <c r="E54" s="45"/>
    </row>
    <row r="55" spans="1:5" ht="12" customHeight="1">
      <c r="A55" s="31" t="s">
        <v>408</v>
      </c>
      <c r="B55" s="45"/>
      <c r="C55" s="45"/>
      <c r="D55" s="45"/>
      <c r="E55" s="45"/>
    </row>
    <row r="56" spans="1:5">
      <c r="A56" s="31"/>
    </row>
    <row r="60" spans="1:5" s="2" customFormat="1" ht="11.25"/>
    <row r="61" spans="1:5" s="2" customFormat="1" ht="11.25"/>
    <row r="62" spans="1:5" s="2" customFormat="1" ht="11.25"/>
    <row r="63" spans="1:5" s="2" customFormat="1" ht="11.25"/>
    <row r="64" spans="1:5" s="2" customFormat="1" ht="11.25"/>
    <row r="65" s="2" customFormat="1" ht="11.25"/>
    <row r="66" s="2" customFormat="1" ht="11.25"/>
    <row r="67" s="2" customFormat="1" ht="11.25"/>
    <row r="68" s="2" customFormat="1" ht="11.25"/>
  </sheetData>
  <mergeCells count="1">
    <mergeCell ref="B2:D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sheetPr codeName="Sheet31">
    <pageSetUpPr fitToPage="1"/>
  </sheetPr>
  <dimension ref="A1:G52"/>
  <sheetViews>
    <sheetView showGridLines="0" showZeros="0" workbookViewId="0"/>
  </sheetViews>
  <sheetFormatPr defaultColWidth="15.83203125" defaultRowHeight="12"/>
  <cols>
    <col min="1" max="1" width="34.83203125" style="1" customWidth="1"/>
    <col min="2" max="2" width="19.83203125" style="1" customWidth="1"/>
    <col min="3" max="3" width="12.83203125" style="1" customWidth="1"/>
    <col min="4" max="4" width="19.83203125" style="1" customWidth="1"/>
    <col min="5" max="5" width="12.83203125" style="1" customWidth="1"/>
    <col min="6" max="6" width="19.83203125" style="1" customWidth="1"/>
    <col min="7" max="7" width="12.83203125" style="1" customWidth="1"/>
    <col min="8" max="16384" width="15.83203125" style="1"/>
  </cols>
  <sheetData>
    <row r="1" spans="1:7" ht="6.95" customHeight="1">
      <c r="A1" s="6"/>
      <c r="B1" s="7"/>
      <c r="C1" s="7"/>
      <c r="D1" s="7"/>
      <c r="E1" s="7"/>
      <c r="F1" s="7"/>
      <c r="G1" s="7"/>
    </row>
    <row r="2" spans="1:7" ht="15.95" customHeight="1">
      <c r="A2" s="152"/>
      <c r="B2" s="8" t="s">
        <v>478</v>
      </c>
      <c r="C2" s="9"/>
      <c r="D2" s="9"/>
      <c r="E2" s="9"/>
      <c r="F2" s="9"/>
      <c r="G2" s="487" t="s">
        <v>453</v>
      </c>
    </row>
    <row r="3" spans="1:7" ht="15.95" customHeight="1">
      <c r="A3" s="697"/>
      <c r="B3" s="10" t="str">
        <f>OPYEAR</f>
        <v>OPERATING FUND 2013/2014 ACTUAL</v>
      </c>
      <c r="C3" s="11"/>
      <c r="D3" s="11"/>
      <c r="E3" s="11"/>
      <c r="F3" s="11"/>
      <c r="G3" s="84"/>
    </row>
    <row r="4" spans="1:7" ht="15.95" customHeight="1">
      <c r="B4" s="7"/>
      <c r="C4" s="7"/>
      <c r="D4" s="7"/>
      <c r="E4" s="7"/>
      <c r="F4" s="7"/>
      <c r="G4" s="7"/>
    </row>
    <row r="5" spans="1:7" ht="15.95" customHeight="1">
      <c r="B5" s="7"/>
      <c r="C5" s="7"/>
      <c r="D5" s="7"/>
      <c r="E5" s="7"/>
      <c r="F5" s="7"/>
      <c r="G5" s="7"/>
    </row>
    <row r="6" spans="1:7" ht="15.95" customHeight="1">
      <c r="B6" s="185" t="s">
        <v>34</v>
      </c>
      <c r="C6" s="186"/>
      <c r="D6" s="186"/>
      <c r="E6" s="186"/>
      <c r="F6" s="187"/>
      <c r="G6" s="188"/>
    </row>
    <row r="7" spans="1:7" ht="15.95" customHeight="1">
      <c r="B7" s="719" t="s">
        <v>454</v>
      </c>
      <c r="C7" s="720"/>
      <c r="D7" s="358" t="s">
        <v>456</v>
      </c>
      <c r="E7" s="358"/>
      <c r="F7" s="355" t="s">
        <v>503</v>
      </c>
      <c r="G7" s="356"/>
    </row>
    <row r="8" spans="1:7" ht="15.95" customHeight="1">
      <c r="A8" s="75"/>
      <c r="B8" s="721" t="s">
        <v>455</v>
      </c>
      <c r="C8" s="722"/>
      <c r="D8" s="343" t="s">
        <v>143</v>
      </c>
      <c r="E8" s="343"/>
      <c r="F8" s="342" t="s">
        <v>504</v>
      </c>
      <c r="G8" s="344"/>
    </row>
    <row r="9" spans="1:7" ht="15.95" customHeight="1">
      <c r="A9" s="42" t="s">
        <v>93</v>
      </c>
      <c r="B9" s="189" t="s">
        <v>94</v>
      </c>
      <c r="C9" s="189" t="s">
        <v>95</v>
      </c>
      <c r="D9" s="192" t="s">
        <v>94</v>
      </c>
      <c r="E9" s="189" t="s">
        <v>95</v>
      </c>
      <c r="F9" s="192" t="s">
        <v>94</v>
      </c>
      <c r="G9" s="189" t="s">
        <v>95</v>
      </c>
    </row>
    <row r="10" spans="1:7" ht="5.0999999999999996" customHeight="1">
      <c r="A10" s="5"/>
    </row>
    <row r="11" spans="1:7" ht="14.1" customHeight="1">
      <c r="A11" s="328" t="s">
        <v>235</v>
      </c>
      <c r="B11" s="329">
        <v>14298</v>
      </c>
      <c r="C11" s="335">
        <f>B11/'- 3 -'!$D11*100</f>
        <v>8.581678123208962E-2</v>
      </c>
      <c r="D11" s="329">
        <v>0</v>
      </c>
      <c r="E11" s="335">
        <f>D11/'- 3 -'!$D11*100</f>
        <v>0</v>
      </c>
      <c r="F11" s="329">
        <v>271580</v>
      </c>
      <c r="G11" s="335">
        <f>F11/'- 3 -'!$D11*100</f>
        <v>1.6300266783473842</v>
      </c>
    </row>
    <row r="12" spans="1:7" ht="14.1" customHeight="1">
      <c r="A12" s="26" t="s">
        <v>236</v>
      </c>
      <c r="B12" s="27">
        <v>62</v>
      </c>
      <c r="C12" s="79">
        <f>B12/'- 3 -'!$D12*100</f>
        <v>2.0822930264543911E-4</v>
      </c>
      <c r="D12" s="27">
        <v>0</v>
      </c>
      <c r="E12" s="79">
        <f>D12/'- 3 -'!$D12*100</f>
        <v>0</v>
      </c>
      <c r="F12" s="27">
        <v>475443</v>
      </c>
      <c r="G12" s="79">
        <f>F12/'- 3 -'!$D12*100</f>
        <v>1.596792973187992</v>
      </c>
    </row>
    <row r="13" spans="1:7" ht="14.1" customHeight="1">
      <c r="A13" s="328" t="s">
        <v>237</v>
      </c>
      <c r="B13" s="329">
        <v>26808</v>
      </c>
      <c r="C13" s="335">
        <f>B13/'- 3 -'!$D13*100</f>
        <v>3.196428775404115E-2</v>
      </c>
      <c r="D13" s="329">
        <v>0</v>
      </c>
      <c r="E13" s="335">
        <f>D13/'- 3 -'!$D13*100</f>
        <v>0</v>
      </c>
      <c r="F13" s="329">
        <v>1439690</v>
      </c>
      <c r="G13" s="335">
        <f>F13/'- 3 -'!$D13*100</f>
        <v>1.7166019634667078</v>
      </c>
    </row>
    <row r="14" spans="1:7" ht="14.1" customHeight="1">
      <c r="A14" s="26" t="s">
        <v>636</v>
      </c>
      <c r="B14" s="27">
        <v>75826</v>
      </c>
      <c r="C14" s="79">
        <f>B14/'- 3 -'!$D14*100</f>
        <v>0.10385907851907139</v>
      </c>
      <c r="D14" s="27">
        <v>0</v>
      </c>
      <c r="E14" s="79">
        <f>D14/'- 3 -'!$D14*100</f>
        <v>0</v>
      </c>
      <c r="F14" s="27">
        <v>1080533</v>
      </c>
      <c r="G14" s="79">
        <f>F14/'- 3 -'!$D14*100</f>
        <v>1.4800089901807791</v>
      </c>
    </row>
    <row r="15" spans="1:7" ht="14.1" customHeight="1">
      <c r="A15" s="328" t="s">
        <v>238</v>
      </c>
      <c r="B15" s="329">
        <v>10145</v>
      </c>
      <c r="C15" s="335">
        <f>B15/'- 3 -'!$D15*100</f>
        <v>5.3465215251641718E-2</v>
      </c>
      <c r="D15" s="329">
        <v>0</v>
      </c>
      <c r="E15" s="335">
        <f>D15/'- 3 -'!$D15*100</f>
        <v>0</v>
      </c>
      <c r="F15" s="329">
        <v>295239</v>
      </c>
      <c r="G15" s="335">
        <f>F15/'- 3 -'!$D15*100</f>
        <v>1.5559405308703251</v>
      </c>
    </row>
    <row r="16" spans="1:7" ht="14.1" customHeight="1">
      <c r="A16" s="26" t="s">
        <v>239</v>
      </c>
      <c r="B16" s="27">
        <v>16697</v>
      </c>
      <c r="C16" s="79">
        <f>B16/'- 3 -'!$D16*100</f>
        <v>0.12809626714113254</v>
      </c>
      <c r="D16" s="27">
        <v>0</v>
      </c>
      <c r="E16" s="79">
        <f>D16/'- 3 -'!$D16*100</f>
        <v>0</v>
      </c>
      <c r="F16" s="27">
        <v>200956</v>
      </c>
      <c r="G16" s="79">
        <f>F16/'- 3 -'!$D16*100</f>
        <v>1.5416969191838907</v>
      </c>
    </row>
    <row r="17" spans="1:7" ht="14.1" customHeight="1">
      <c r="A17" s="328" t="s">
        <v>240</v>
      </c>
      <c r="B17" s="329">
        <v>46024</v>
      </c>
      <c r="C17" s="335">
        <f>B17/'- 3 -'!$D17*100</f>
        <v>0.28055434231665199</v>
      </c>
      <c r="D17" s="329">
        <v>0</v>
      </c>
      <c r="E17" s="335">
        <f>D17/'- 3 -'!$D17*100</f>
        <v>0</v>
      </c>
      <c r="F17" s="329">
        <v>261666</v>
      </c>
      <c r="G17" s="335">
        <f>F17/'- 3 -'!$D17*100</f>
        <v>1.5950706704464857</v>
      </c>
    </row>
    <row r="18" spans="1:7" ht="14.1" customHeight="1">
      <c r="A18" s="26" t="s">
        <v>241</v>
      </c>
      <c r="B18" s="27">
        <v>188513</v>
      </c>
      <c r="C18" s="79">
        <f>B18/'- 3 -'!$D18*100</f>
        <v>0.15866282636523313</v>
      </c>
      <c r="D18" s="27">
        <v>0</v>
      </c>
      <c r="E18" s="79">
        <f>D18/'- 3 -'!$D18*100</f>
        <v>0</v>
      </c>
      <c r="F18" s="27">
        <v>1711031</v>
      </c>
      <c r="G18" s="79">
        <f>F18/'- 3 -'!$D18*100</f>
        <v>1.4400970461375673</v>
      </c>
    </row>
    <row r="19" spans="1:7" ht="14.1" customHeight="1">
      <c r="A19" s="328" t="s">
        <v>242</v>
      </c>
      <c r="B19" s="329">
        <v>18342</v>
      </c>
      <c r="C19" s="335">
        <f>B19/'- 3 -'!$D19*100</f>
        <v>4.2359502338894864E-2</v>
      </c>
      <c r="D19" s="329">
        <v>0</v>
      </c>
      <c r="E19" s="335">
        <f>D19/'- 3 -'!$D19*100</f>
        <v>0</v>
      </c>
      <c r="F19" s="329">
        <v>697405</v>
      </c>
      <c r="G19" s="335">
        <f>F19/'- 3 -'!$D19*100</f>
        <v>1.6106056443494152</v>
      </c>
    </row>
    <row r="20" spans="1:7" ht="14.1" customHeight="1">
      <c r="A20" s="26" t="s">
        <v>243</v>
      </c>
      <c r="B20" s="27">
        <v>115672</v>
      </c>
      <c r="C20" s="79">
        <f>B20/'- 3 -'!$D20*100</f>
        <v>0.16372097615702177</v>
      </c>
      <c r="D20" s="27">
        <v>0</v>
      </c>
      <c r="E20" s="79">
        <f>D20/'- 3 -'!$D20*100</f>
        <v>0</v>
      </c>
      <c r="F20" s="27">
        <v>1172873</v>
      </c>
      <c r="G20" s="79">
        <f>F20/'- 3 -'!$D20*100</f>
        <v>1.6600725540166557</v>
      </c>
    </row>
    <row r="21" spans="1:7" ht="14.1" customHeight="1">
      <c r="A21" s="328" t="s">
        <v>244</v>
      </c>
      <c r="B21" s="329">
        <v>28080</v>
      </c>
      <c r="C21" s="335">
        <f>B21/'- 3 -'!$D21*100</f>
        <v>8.105507848458178E-2</v>
      </c>
      <c r="D21" s="329">
        <v>0</v>
      </c>
      <c r="E21" s="335">
        <f>D21/'- 3 -'!$D21*100</f>
        <v>0</v>
      </c>
      <c r="F21" s="329">
        <v>560626</v>
      </c>
      <c r="G21" s="335">
        <f>F21/'- 3 -'!$D21*100</f>
        <v>1.6182900438211234</v>
      </c>
    </row>
    <row r="22" spans="1:7" ht="14.1" customHeight="1">
      <c r="A22" s="26" t="s">
        <v>245</v>
      </c>
      <c r="B22" s="27">
        <v>7234</v>
      </c>
      <c r="C22" s="79">
        <f>B22/'- 3 -'!$D22*100</f>
        <v>3.7540681612985155E-2</v>
      </c>
      <c r="D22" s="27">
        <v>0</v>
      </c>
      <c r="E22" s="79">
        <f>D22/'- 3 -'!$D22*100</f>
        <v>0</v>
      </c>
      <c r="F22" s="27">
        <v>328035</v>
      </c>
      <c r="G22" s="79">
        <f>F22/'- 3 -'!$D22*100</f>
        <v>1.7023303141990025</v>
      </c>
    </row>
    <row r="23" spans="1:7" ht="14.1" customHeight="1">
      <c r="A23" s="328" t="s">
        <v>246</v>
      </c>
      <c r="B23" s="329">
        <v>4784</v>
      </c>
      <c r="C23" s="335">
        <f>B23/'- 3 -'!$D23*100</f>
        <v>2.9473254900221263E-2</v>
      </c>
      <c r="D23" s="329">
        <v>0</v>
      </c>
      <c r="E23" s="335">
        <f>D23/'- 3 -'!$D23*100</f>
        <v>0</v>
      </c>
      <c r="F23" s="329">
        <v>252930</v>
      </c>
      <c r="G23" s="335">
        <f>F23/'- 3 -'!$D23*100</f>
        <v>1.5582504937109041</v>
      </c>
    </row>
    <row r="24" spans="1:7" ht="14.1" customHeight="1">
      <c r="A24" s="26" t="s">
        <v>247</v>
      </c>
      <c r="B24" s="27">
        <v>60878</v>
      </c>
      <c r="C24" s="79">
        <f>B24/'- 3 -'!$D24*100</f>
        <v>0.11655490965778753</v>
      </c>
      <c r="D24" s="27">
        <v>0</v>
      </c>
      <c r="E24" s="79">
        <f>D24/'- 3 -'!$D24*100</f>
        <v>0</v>
      </c>
      <c r="F24" s="27">
        <v>870222</v>
      </c>
      <c r="G24" s="79">
        <f>F24/'- 3 -'!$D24*100</f>
        <v>1.6660968920171353</v>
      </c>
    </row>
    <row r="25" spans="1:7" ht="14.1" customHeight="1">
      <c r="A25" s="328" t="s">
        <v>248</v>
      </c>
      <c r="B25" s="329">
        <v>85742</v>
      </c>
      <c r="C25" s="335">
        <f>B25/'- 3 -'!$D25*100</f>
        <v>5.5638290400975107E-2</v>
      </c>
      <c r="D25" s="329">
        <v>17943</v>
      </c>
      <c r="E25" s="335">
        <f>D25/'- 3 -'!$D25*100</f>
        <v>1.1643276861569549E-2</v>
      </c>
      <c r="F25" s="329">
        <v>2600765</v>
      </c>
      <c r="G25" s="335">
        <f>F25/'- 3 -'!$D25*100</f>
        <v>1.6876457084590051</v>
      </c>
    </row>
    <row r="26" spans="1:7" ht="14.1" customHeight="1">
      <c r="A26" s="26" t="s">
        <v>249</v>
      </c>
      <c r="B26" s="27">
        <v>141193</v>
      </c>
      <c r="C26" s="79">
        <f>B26/'- 3 -'!$D26*100</f>
        <v>0.37551454625846498</v>
      </c>
      <c r="D26" s="27">
        <v>0</v>
      </c>
      <c r="E26" s="79">
        <f>D26/'- 3 -'!$D26*100</f>
        <v>0</v>
      </c>
      <c r="F26" s="27">
        <v>584230</v>
      </c>
      <c r="G26" s="79">
        <f>F26/'- 3 -'!$D26*100</f>
        <v>1.5538083570756553</v>
      </c>
    </row>
    <row r="27" spans="1:7" ht="14.1" customHeight="1">
      <c r="A27" s="328" t="s">
        <v>250</v>
      </c>
      <c r="B27" s="329">
        <v>1738</v>
      </c>
      <c r="C27" s="335">
        <f>B27/'- 3 -'!$D27*100</f>
        <v>4.7235339752683047E-3</v>
      </c>
      <c r="D27" s="329">
        <v>5000</v>
      </c>
      <c r="E27" s="335">
        <f>D27/'- 3 -'!$D27*100</f>
        <v>1.3588993024362211E-2</v>
      </c>
      <c r="F27" s="329">
        <v>632682</v>
      </c>
      <c r="G27" s="335">
        <f>F27/'- 3 -'!$D27*100</f>
        <v>1.7195022569279066</v>
      </c>
    </row>
    <row r="28" spans="1:7" ht="14.1" customHeight="1">
      <c r="A28" s="26" t="s">
        <v>251</v>
      </c>
      <c r="B28" s="27">
        <v>39917</v>
      </c>
      <c r="C28" s="79">
        <f>B28/'- 3 -'!$D28*100</f>
        <v>0.1478798741370633</v>
      </c>
      <c r="D28" s="27">
        <v>0</v>
      </c>
      <c r="E28" s="79">
        <f>D28/'- 3 -'!$D28*100</f>
        <v>0</v>
      </c>
      <c r="F28" s="27">
        <v>406548</v>
      </c>
      <c r="G28" s="79">
        <f>F28/'- 3 -'!$D28*100</f>
        <v>1.5061319004603255</v>
      </c>
    </row>
    <row r="29" spans="1:7" ht="14.1" customHeight="1">
      <c r="A29" s="328" t="s">
        <v>252</v>
      </c>
      <c r="B29" s="329">
        <v>129593</v>
      </c>
      <c r="C29" s="335">
        <f>B29/'- 3 -'!$D29*100</f>
        <v>9.205533537680223E-2</v>
      </c>
      <c r="D29" s="329">
        <v>0</v>
      </c>
      <c r="E29" s="335">
        <f>D29/'- 3 -'!$D29*100</f>
        <v>0</v>
      </c>
      <c r="F29" s="329">
        <v>2362847</v>
      </c>
      <c r="G29" s="335">
        <f>F29/'- 3 -'!$D29*100</f>
        <v>1.6784291823560764</v>
      </c>
    </row>
    <row r="30" spans="1:7" ht="14.1" customHeight="1">
      <c r="A30" s="26" t="s">
        <v>253</v>
      </c>
      <c r="B30" s="27">
        <v>8458</v>
      </c>
      <c r="C30" s="79">
        <f>B30/'- 3 -'!$D30*100</f>
        <v>6.2871581041861926E-2</v>
      </c>
      <c r="D30" s="27">
        <v>0</v>
      </c>
      <c r="E30" s="79">
        <f>D30/'- 3 -'!$D30*100</f>
        <v>0</v>
      </c>
      <c r="F30" s="27">
        <v>178142</v>
      </c>
      <c r="G30" s="79">
        <f>F30/'- 3 -'!$D30*100</f>
        <v>1.3241982962827346</v>
      </c>
    </row>
    <row r="31" spans="1:7" ht="14.1" customHeight="1">
      <c r="A31" s="328" t="s">
        <v>254</v>
      </c>
      <c r="B31" s="329">
        <v>33226</v>
      </c>
      <c r="C31" s="335">
        <f>B31/'- 3 -'!$D31*100</f>
        <v>9.8563826618795022E-2</v>
      </c>
      <c r="D31" s="329">
        <v>0</v>
      </c>
      <c r="E31" s="335">
        <f>D31/'- 3 -'!$D31*100</f>
        <v>0</v>
      </c>
      <c r="F31" s="329">
        <v>575819</v>
      </c>
      <c r="G31" s="335">
        <f>F31/'- 3 -'!$D31*100</f>
        <v>1.7081479588216435</v>
      </c>
    </row>
    <row r="32" spans="1:7" ht="14.1" customHeight="1">
      <c r="A32" s="26" t="s">
        <v>255</v>
      </c>
      <c r="B32" s="27">
        <v>32868</v>
      </c>
      <c r="C32" s="79">
        <f>B32/'- 3 -'!$D32*100</f>
        <v>0.12628242864608621</v>
      </c>
      <c r="D32" s="27">
        <v>0</v>
      </c>
      <c r="E32" s="79">
        <f>D32/'- 3 -'!$D32*100</f>
        <v>0</v>
      </c>
      <c r="F32" s="27">
        <v>417590</v>
      </c>
      <c r="G32" s="79">
        <f>F32/'- 3 -'!$D32*100</f>
        <v>1.6044261706924408</v>
      </c>
    </row>
    <row r="33" spans="1:7" ht="14.1" customHeight="1">
      <c r="A33" s="328" t="s">
        <v>256</v>
      </c>
      <c r="B33" s="329">
        <v>16824</v>
      </c>
      <c r="C33" s="335">
        <f>B33/'- 3 -'!$D33*100</f>
        <v>6.4261276633680808E-2</v>
      </c>
      <c r="D33" s="329">
        <v>0</v>
      </c>
      <c r="E33" s="335">
        <f>D33/'- 3 -'!$D33*100</f>
        <v>0</v>
      </c>
      <c r="F33" s="329">
        <v>405981</v>
      </c>
      <c r="G33" s="335">
        <f>F33/'- 3 -'!$D33*100</f>
        <v>1.5506928999654286</v>
      </c>
    </row>
    <row r="34" spans="1:7" ht="14.1" customHeight="1">
      <c r="A34" s="26" t="s">
        <v>257</v>
      </c>
      <c r="B34" s="27">
        <v>59547</v>
      </c>
      <c r="C34" s="79">
        <f>B34/'- 3 -'!$D34*100</f>
        <v>0.23606446791500252</v>
      </c>
      <c r="D34" s="27">
        <v>0</v>
      </c>
      <c r="E34" s="79">
        <f>D34/'- 3 -'!$D34*100</f>
        <v>0</v>
      </c>
      <c r="F34" s="27">
        <v>393867</v>
      </c>
      <c r="G34" s="79">
        <f>F34/'- 3 -'!$D34*100</f>
        <v>1.5614221335126588</v>
      </c>
    </row>
    <row r="35" spans="1:7" ht="14.1" customHeight="1">
      <c r="A35" s="328" t="s">
        <v>258</v>
      </c>
      <c r="B35" s="329">
        <v>20842</v>
      </c>
      <c r="C35" s="335">
        <f>B35/'- 3 -'!$D35*100</f>
        <v>1.2165932934982405E-2</v>
      </c>
      <c r="D35" s="329">
        <v>0</v>
      </c>
      <c r="E35" s="335">
        <f>D35/'- 3 -'!$D35*100</f>
        <v>0</v>
      </c>
      <c r="F35" s="329">
        <v>2902994</v>
      </c>
      <c r="G35" s="335">
        <f>F35/'- 3 -'!$D35*100</f>
        <v>1.6945413259119235</v>
      </c>
    </row>
    <row r="36" spans="1:7" ht="14.1" customHeight="1">
      <c r="A36" s="26" t="s">
        <v>259</v>
      </c>
      <c r="B36" s="27">
        <v>15060</v>
      </c>
      <c r="C36" s="79">
        <f>B36/'- 3 -'!$D36*100</f>
        <v>7.0396852204286237E-2</v>
      </c>
      <c r="D36" s="27">
        <v>0</v>
      </c>
      <c r="E36" s="79">
        <f>D36/'- 3 -'!$D36*100</f>
        <v>0</v>
      </c>
      <c r="F36" s="27">
        <v>370587</v>
      </c>
      <c r="G36" s="79">
        <f>F36/'- 3 -'!$D36*100</f>
        <v>1.732281425486708</v>
      </c>
    </row>
    <row r="37" spans="1:7" ht="14.1" customHeight="1">
      <c r="A37" s="328" t="s">
        <v>260</v>
      </c>
      <c r="B37" s="329">
        <v>38623</v>
      </c>
      <c r="C37" s="335">
        <f>B37/'- 3 -'!$D37*100</f>
        <v>9.1162914049467123E-2</v>
      </c>
      <c r="D37" s="329">
        <v>0</v>
      </c>
      <c r="E37" s="335">
        <f>D37/'- 3 -'!$D37*100</f>
        <v>0</v>
      </c>
      <c r="F37" s="329">
        <v>705614</v>
      </c>
      <c r="G37" s="335">
        <f>F37/'- 3 -'!$D37*100</f>
        <v>1.6654798548559329</v>
      </c>
    </row>
    <row r="38" spans="1:7" ht="14.1" customHeight="1">
      <c r="A38" s="26" t="s">
        <v>261</v>
      </c>
      <c r="B38" s="27">
        <v>40031</v>
      </c>
      <c r="C38" s="79">
        <f>B38/'- 3 -'!$D38*100</f>
        <v>3.4800131658223356E-2</v>
      </c>
      <c r="D38" s="27">
        <v>178</v>
      </c>
      <c r="E38" s="79">
        <f>D38/'- 3 -'!$D38*100</f>
        <v>1.5474066186614769E-4</v>
      </c>
      <c r="F38" s="27">
        <v>1922336</v>
      </c>
      <c r="G38" s="79">
        <f>F38/'- 3 -'!$D38*100</f>
        <v>1.6711435110624882</v>
      </c>
    </row>
    <row r="39" spans="1:7" ht="14.1" customHeight="1">
      <c r="A39" s="328" t="s">
        <v>262</v>
      </c>
      <c r="B39" s="329">
        <v>100600</v>
      </c>
      <c r="C39" s="335">
        <f>B39/'- 3 -'!$D39*100</f>
        <v>0.49690086486929158</v>
      </c>
      <c r="D39" s="329">
        <v>0</v>
      </c>
      <c r="E39" s="335">
        <f>D39/'- 3 -'!$D39*100</f>
        <v>0</v>
      </c>
      <c r="F39" s="329">
        <v>315991</v>
      </c>
      <c r="G39" s="335">
        <f>F39/'- 3 -'!$D39*100</f>
        <v>1.5607972285378959</v>
      </c>
    </row>
    <row r="40" spans="1:7" ht="14.1" customHeight="1">
      <c r="A40" s="26" t="s">
        <v>263</v>
      </c>
      <c r="B40" s="27">
        <v>23927</v>
      </c>
      <c r="C40" s="79">
        <f>B40/'- 3 -'!$D40*100</f>
        <v>2.5145902353985197E-2</v>
      </c>
      <c r="D40" s="27">
        <v>0</v>
      </c>
      <c r="E40" s="79">
        <f>D40/'- 3 -'!$D40*100</f>
        <v>0</v>
      </c>
      <c r="F40" s="27">
        <v>1600638</v>
      </c>
      <c r="G40" s="79">
        <f>F40/'- 3 -'!$D40*100</f>
        <v>1.6821785786800751</v>
      </c>
    </row>
    <row r="41" spans="1:7" ht="14.1" customHeight="1">
      <c r="A41" s="328" t="s">
        <v>264</v>
      </c>
      <c r="B41" s="329">
        <v>134651</v>
      </c>
      <c r="C41" s="335">
        <f>B41/'- 3 -'!$D41*100</f>
        <v>0.22975357904447247</v>
      </c>
      <c r="D41" s="329">
        <v>0</v>
      </c>
      <c r="E41" s="335">
        <f>D41/'- 3 -'!$D41*100</f>
        <v>0</v>
      </c>
      <c r="F41" s="329">
        <v>926180</v>
      </c>
      <c r="G41" s="335">
        <f>F41/'- 3 -'!$D41*100</f>
        <v>1.5803311511938973</v>
      </c>
    </row>
    <row r="42" spans="1:7" ht="14.1" customHeight="1">
      <c r="A42" s="26" t="s">
        <v>265</v>
      </c>
      <c r="B42" s="27">
        <v>0</v>
      </c>
      <c r="C42" s="79">
        <f>B42/'- 3 -'!$D42*100</f>
        <v>0</v>
      </c>
      <c r="D42" s="27">
        <v>0</v>
      </c>
      <c r="E42" s="79">
        <f>D42/'- 3 -'!$D42*100</f>
        <v>0</v>
      </c>
      <c r="F42" s="27">
        <v>312932</v>
      </c>
      <c r="G42" s="79">
        <f>F42/'- 3 -'!$D42*100</f>
        <v>1.5532418859103898</v>
      </c>
    </row>
    <row r="43" spans="1:7" ht="14.1" customHeight="1">
      <c r="A43" s="328" t="s">
        <v>266</v>
      </c>
      <c r="B43" s="329">
        <v>26371</v>
      </c>
      <c r="C43" s="335">
        <f>B43/'- 3 -'!$D43*100</f>
        <v>0.21373714424286752</v>
      </c>
      <c r="D43" s="329">
        <v>0</v>
      </c>
      <c r="E43" s="335">
        <f>D43/'- 3 -'!$D43*100</f>
        <v>0</v>
      </c>
      <c r="F43" s="329">
        <v>199772</v>
      </c>
      <c r="G43" s="335">
        <f>F43/'- 3 -'!$D43*100</f>
        <v>1.6191534935985032</v>
      </c>
    </row>
    <row r="44" spans="1:7" ht="14.1" customHeight="1">
      <c r="A44" s="26" t="s">
        <v>267</v>
      </c>
      <c r="B44" s="27">
        <v>2284</v>
      </c>
      <c r="C44" s="79">
        <f>B44/'- 3 -'!$D44*100</f>
        <v>2.2207607291718116E-2</v>
      </c>
      <c r="D44" s="27">
        <v>0</v>
      </c>
      <c r="E44" s="79">
        <f>D44/'- 3 -'!$D44*100</f>
        <v>0</v>
      </c>
      <c r="F44" s="27">
        <v>156592</v>
      </c>
      <c r="G44" s="79">
        <f>F44/'- 3 -'!$D44*100</f>
        <v>1.5225628901159034</v>
      </c>
    </row>
    <row r="45" spans="1:7" ht="14.1" customHeight="1">
      <c r="A45" s="328" t="s">
        <v>268</v>
      </c>
      <c r="B45" s="329">
        <v>27162</v>
      </c>
      <c r="C45" s="335">
        <f>B45/'- 3 -'!$D45*100</f>
        <v>0.16089431698075968</v>
      </c>
      <c r="D45" s="329">
        <v>0</v>
      </c>
      <c r="E45" s="335">
        <f>D45/'- 3 -'!$D45*100</f>
        <v>0</v>
      </c>
      <c r="F45" s="329">
        <v>280022</v>
      </c>
      <c r="G45" s="335">
        <f>F45/'- 3 -'!$D45*100</f>
        <v>1.6587124817607792</v>
      </c>
    </row>
    <row r="46" spans="1:7" ht="14.1" customHeight="1">
      <c r="A46" s="26" t="s">
        <v>269</v>
      </c>
      <c r="B46" s="27">
        <v>172206</v>
      </c>
      <c r="C46" s="79">
        <f>B46/'- 3 -'!$D46*100</f>
        <v>4.8365694735066952E-2</v>
      </c>
      <c r="D46" s="27">
        <v>-83630</v>
      </c>
      <c r="E46" s="79">
        <f>D46/'- 3 -'!$D46*100</f>
        <v>-2.3488281771213836E-2</v>
      </c>
      <c r="F46" s="27">
        <v>6111470</v>
      </c>
      <c r="G46" s="79">
        <f>F46/'- 3 -'!$D46*100</f>
        <v>1.7164645389970132</v>
      </c>
    </row>
    <row r="47" spans="1:7" ht="5.0999999999999996" customHeight="1">
      <c r="A47"/>
      <c r="B47" s="29"/>
      <c r="C47"/>
      <c r="D47" s="29"/>
      <c r="E47"/>
      <c r="F47" s="29"/>
      <c r="G47"/>
    </row>
    <row r="48" spans="1:7" ht="14.1" customHeight="1">
      <c r="A48" s="330" t="s">
        <v>270</v>
      </c>
      <c r="B48" s="331">
        <f>SUM(B11:B46)</f>
        <v>1764226</v>
      </c>
      <c r="C48" s="338">
        <f>B48/'- 3 -'!$D48*100</f>
        <v>8.5329385958604495E-2</v>
      </c>
      <c r="D48" s="331">
        <f>SUM(D11:D46)</f>
        <v>-60509</v>
      </c>
      <c r="E48" s="338">
        <f>D48/'- 3 -'!$F48*100</f>
        <v>-2.9696695826038583E-3</v>
      </c>
      <c r="F48" s="331">
        <f>SUM(F11:F46)</f>
        <v>33981828</v>
      </c>
      <c r="G48" s="338">
        <f>F48/'- 3 -'!$D48*100</f>
        <v>1.6435811041164299</v>
      </c>
    </row>
    <row r="49" spans="1:7" ht="5.0999999999999996" customHeight="1">
      <c r="A49" s="28" t="s">
        <v>16</v>
      </c>
      <c r="B49" s="29"/>
      <c r="C49"/>
      <c r="D49" s="29"/>
      <c r="E49"/>
      <c r="F49" s="29"/>
      <c r="G49"/>
    </row>
    <row r="50" spans="1:7" ht="14.1" customHeight="1">
      <c r="A50" s="26" t="s">
        <v>271</v>
      </c>
      <c r="B50" s="27">
        <v>9654</v>
      </c>
      <c r="C50" s="79">
        <f>B50/'- 3 -'!$D50*100</f>
        <v>0.30321856423779819</v>
      </c>
      <c r="D50" s="27">
        <v>0</v>
      </c>
      <c r="E50" s="79">
        <f>D50/'- 3 -'!$D50*100</f>
        <v>0</v>
      </c>
      <c r="F50" s="27">
        <v>44929</v>
      </c>
      <c r="G50" s="79">
        <f>F50/'- 3 -'!$D50*100</f>
        <v>1.4111567094095752</v>
      </c>
    </row>
    <row r="51" spans="1:7" ht="14.1" customHeight="1">
      <c r="A51" s="328" t="s">
        <v>272</v>
      </c>
      <c r="B51" s="329">
        <v>57027</v>
      </c>
      <c r="C51" s="335">
        <f>B51/'- 3 -'!$D51*100</f>
        <v>0.28963676633174096</v>
      </c>
      <c r="D51" s="329">
        <v>0</v>
      </c>
      <c r="E51" s="335">
        <f>D51/'- 3 -'!$D51*100</f>
        <v>0</v>
      </c>
      <c r="F51" s="329">
        <v>125345</v>
      </c>
      <c r="G51" s="335">
        <f>F51/'- 3 -'!$D51*100</f>
        <v>0.6366198550835932</v>
      </c>
    </row>
    <row r="52" spans="1:7" ht="50.1" customHeight="1"/>
  </sheetData>
  <mergeCells count="2">
    <mergeCell ref="B7:C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sheetPr codeName="Sheet32">
    <pageSetUpPr fitToPage="1"/>
  </sheetPr>
  <dimension ref="A1:H52"/>
  <sheetViews>
    <sheetView showGridLines="0" showZeros="0" workbookViewId="0"/>
  </sheetViews>
  <sheetFormatPr defaultColWidth="15.83203125" defaultRowHeight="12"/>
  <cols>
    <col min="1" max="1" width="32.83203125" style="1" customWidth="1"/>
    <col min="2" max="2" width="16.83203125" style="1" customWidth="1"/>
    <col min="3" max="3" width="17.83203125" style="1" customWidth="1"/>
    <col min="4" max="4" width="10.83203125" style="1" customWidth="1"/>
    <col min="5" max="5" width="15.83203125" style="1" customWidth="1"/>
    <col min="6" max="6" width="11.83203125" style="1" customWidth="1"/>
    <col min="7" max="7" width="14.83203125" style="1" customWidth="1"/>
    <col min="8" max="8" width="11.83203125" style="1" customWidth="1"/>
    <col min="9" max="16384" width="15.83203125" style="1"/>
  </cols>
  <sheetData>
    <row r="1" spans="1:8" ht="6.95" customHeight="1">
      <c r="A1" s="6"/>
      <c r="B1" s="7"/>
      <c r="C1" s="7"/>
      <c r="D1" s="7"/>
      <c r="E1" s="7"/>
      <c r="F1" s="7"/>
      <c r="G1" s="7"/>
      <c r="H1" s="7"/>
    </row>
    <row r="2" spans="1:8" ht="15.95" customHeight="1">
      <c r="A2" s="152"/>
      <c r="B2" s="8" t="s">
        <v>482</v>
      </c>
      <c r="C2" s="9"/>
      <c r="D2" s="9"/>
      <c r="E2" s="9"/>
      <c r="F2" s="82"/>
      <c r="G2" s="82"/>
      <c r="H2" s="82"/>
    </row>
    <row r="3" spans="1:8" ht="15.95" customHeight="1">
      <c r="A3" s="697"/>
      <c r="B3" s="10" t="str">
        <f>OPYEAR</f>
        <v>OPERATING FUND 2013/2014 ACTUAL</v>
      </c>
      <c r="C3" s="11"/>
      <c r="D3" s="11"/>
      <c r="E3" s="11"/>
      <c r="F3" s="84"/>
      <c r="G3" s="84"/>
      <c r="H3" s="84"/>
    </row>
    <row r="4" spans="1:8" ht="15.95" customHeight="1">
      <c r="B4" s="7"/>
      <c r="C4" s="7"/>
      <c r="D4" s="7"/>
      <c r="E4" s="7"/>
      <c r="F4" s="7"/>
      <c r="G4" s="7"/>
      <c r="H4" s="7"/>
    </row>
    <row r="5" spans="1:8" ht="15.95" customHeight="1">
      <c r="B5" s="7"/>
      <c r="C5" s="7"/>
      <c r="D5" s="7"/>
      <c r="E5" s="7"/>
      <c r="F5" s="7"/>
      <c r="G5" s="7"/>
      <c r="H5" s="7"/>
    </row>
    <row r="6" spans="1:8" ht="15.95" customHeight="1">
      <c r="B6" s="355" t="s">
        <v>38</v>
      </c>
      <c r="C6" s="358"/>
      <c r="D6" s="362"/>
      <c r="E6" s="362"/>
      <c r="F6" s="362"/>
      <c r="G6" s="362"/>
      <c r="H6" s="352"/>
    </row>
    <row r="7" spans="1:8" ht="15.95" customHeight="1">
      <c r="B7" s="342" t="s">
        <v>68</v>
      </c>
      <c r="C7" s="343"/>
      <c r="D7" s="354"/>
      <c r="E7" s="354"/>
      <c r="F7" s="354"/>
      <c r="G7" s="354"/>
      <c r="H7" s="363"/>
    </row>
    <row r="8" spans="1:8" ht="15.95" customHeight="1">
      <c r="A8" s="75"/>
      <c r="B8" s="38"/>
      <c r="C8" s="85" t="s">
        <v>200</v>
      </c>
      <c r="D8" s="86" t="s">
        <v>73</v>
      </c>
      <c r="E8" s="183" t="s">
        <v>85</v>
      </c>
      <c r="F8" s="183" t="s">
        <v>86</v>
      </c>
      <c r="G8" s="183" t="s">
        <v>87</v>
      </c>
      <c r="H8" s="183" t="s">
        <v>86</v>
      </c>
    </row>
    <row r="9" spans="1:8" ht="15.95" customHeight="1">
      <c r="A9" s="42" t="s">
        <v>93</v>
      </c>
      <c r="B9" s="87" t="s">
        <v>94</v>
      </c>
      <c r="C9" s="87" t="s">
        <v>100</v>
      </c>
      <c r="D9" s="87" t="s">
        <v>96</v>
      </c>
      <c r="E9" s="87" t="s">
        <v>101</v>
      </c>
      <c r="F9" s="87" t="s">
        <v>102</v>
      </c>
      <c r="G9" s="87" t="s">
        <v>103</v>
      </c>
      <c r="H9" s="87" t="s">
        <v>102</v>
      </c>
    </row>
    <row r="10" spans="1:8" ht="5.0999999999999996" customHeight="1">
      <c r="A10" s="5"/>
    </row>
    <row r="11" spans="1:8" ht="14.1" customHeight="1">
      <c r="A11" s="328" t="s">
        <v>235</v>
      </c>
      <c r="B11" s="329">
        <f>'- 30 -'!$D11</f>
        <v>1012880</v>
      </c>
      <c r="C11" s="329">
        <v>665</v>
      </c>
      <c r="D11" s="329">
        <f ca="1">IF(AND(CELL("type",C11)="v",C11&gt;0),B11/C11,"")</f>
        <v>1523.1278195488721</v>
      </c>
      <c r="E11" s="329">
        <v>626717</v>
      </c>
      <c r="F11" s="418">
        <f ca="1">IF(AND(CELL("type",E11)="v",E11&gt;0),B11/E11,"")</f>
        <v>1.6161680630970598</v>
      </c>
      <c r="G11" s="329">
        <v>417736</v>
      </c>
      <c r="H11" s="418">
        <f ca="1">IF(AND(CELL("type",G11)="v",G11&gt;0),B11/G11,"")</f>
        <v>2.4246892774383819</v>
      </c>
    </row>
    <row r="12" spans="1:8" ht="14.1" customHeight="1">
      <c r="A12" s="26" t="s">
        <v>236</v>
      </c>
      <c r="B12" s="27">
        <f>'- 30 -'!$D12</f>
        <v>1937566</v>
      </c>
      <c r="C12" s="27">
        <v>1530</v>
      </c>
      <c r="D12" s="27">
        <f t="shared" ref="D12:D46" ca="1" si="0">IF(AND(CELL("type",C12)="v",C12&gt;0),B12/C12,"")</f>
        <v>1266.3830065359477</v>
      </c>
      <c r="E12" s="27">
        <v>1151877</v>
      </c>
      <c r="F12" s="419">
        <f t="shared" ref="F12:F46" ca="1" si="1">IF(AND(CELL("type",E12)="v",E12&gt;0),B12/E12,"")</f>
        <v>1.6820945291901825</v>
      </c>
      <c r="G12" s="27">
        <v>718207</v>
      </c>
      <c r="H12" s="419">
        <f t="shared" ref="H12:H46" ca="1" si="2">IF(AND(CELL("type",G12)="v",G12&gt;0),B12/G12,"")</f>
        <v>2.6977821157410049</v>
      </c>
    </row>
    <row r="13" spans="1:8" ht="14.1" customHeight="1">
      <c r="A13" s="328" t="s">
        <v>237</v>
      </c>
      <c r="B13" s="329">
        <f>'- 30 -'!$D13</f>
        <v>1802188</v>
      </c>
      <c r="C13" s="329">
        <v>2944</v>
      </c>
      <c r="D13" s="329">
        <f t="shared" ca="1" si="0"/>
        <v>612.15625</v>
      </c>
      <c r="E13" s="329">
        <v>805073</v>
      </c>
      <c r="F13" s="418">
        <f t="shared" ca="1" si="1"/>
        <v>2.2385398591183656</v>
      </c>
      <c r="G13" s="329">
        <v>490487</v>
      </c>
      <c r="H13" s="418">
        <f t="shared" ca="1" si="2"/>
        <v>3.6742829065806024</v>
      </c>
    </row>
    <row r="14" spans="1:8" ht="14.1" customHeight="1">
      <c r="A14" s="26" t="s">
        <v>636</v>
      </c>
      <c r="B14" s="27">
        <f>'- 30 -'!$D14</f>
        <v>7010062</v>
      </c>
      <c r="C14" s="27">
        <v>4131</v>
      </c>
      <c r="D14" s="27">
        <f t="shared" ca="1" si="0"/>
        <v>1696.9406923263132</v>
      </c>
      <c r="E14" s="27">
        <v>2926704</v>
      </c>
      <c r="F14" s="419">
        <f t="shared" ca="1" si="1"/>
        <v>2.3952070315276162</v>
      </c>
      <c r="G14" s="27">
        <v>1526096</v>
      </c>
      <c r="H14" s="419">
        <f t="shared" ca="1" si="2"/>
        <v>4.5934606997200698</v>
      </c>
    </row>
    <row r="15" spans="1:8" ht="14.1" customHeight="1">
      <c r="A15" s="328" t="s">
        <v>238</v>
      </c>
      <c r="B15" s="329">
        <f>'- 30 -'!$D15</f>
        <v>1245076</v>
      </c>
      <c r="C15" s="329">
        <v>1047</v>
      </c>
      <c r="D15" s="329">
        <f t="shared" ca="1" si="0"/>
        <v>1189.1843361986628</v>
      </c>
      <c r="E15" s="329">
        <v>753690</v>
      </c>
      <c r="F15" s="418">
        <f t="shared" ca="1" si="1"/>
        <v>1.6519736231076436</v>
      </c>
      <c r="G15" s="329">
        <v>471380</v>
      </c>
      <c r="H15" s="418">
        <f t="shared" ca="1" si="2"/>
        <v>2.6413424413424416</v>
      </c>
    </row>
    <row r="16" spans="1:8" ht="14.1" customHeight="1">
      <c r="A16" s="26" t="s">
        <v>239</v>
      </c>
      <c r="B16" s="27">
        <f>'- 30 -'!$D16</f>
        <v>350992</v>
      </c>
      <c r="C16" s="27">
        <v>260</v>
      </c>
      <c r="D16" s="27">
        <f t="shared" ca="1" si="0"/>
        <v>1349.9692307692308</v>
      </c>
      <c r="E16" s="27">
        <v>55476</v>
      </c>
      <c r="F16" s="419">
        <f t="shared" ca="1" si="1"/>
        <v>6.3269161439180905</v>
      </c>
      <c r="G16" s="27">
        <v>36082</v>
      </c>
      <c r="H16" s="419">
        <f t="shared" ca="1" si="2"/>
        <v>9.7276204201540928</v>
      </c>
    </row>
    <row r="17" spans="1:8" ht="14.1" customHeight="1">
      <c r="A17" s="328" t="s">
        <v>240</v>
      </c>
      <c r="B17" s="329">
        <f>'- 30 -'!$D17</f>
        <v>1285240</v>
      </c>
      <c r="C17" s="329">
        <v>690</v>
      </c>
      <c r="D17" s="329">
        <f t="shared" ca="1" si="0"/>
        <v>1862.6666666666667</v>
      </c>
      <c r="E17" s="329">
        <v>927783</v>
      </c>
      <c r="F17" s="418">
        <f t="shared" ca="1" si="1"/>
        <v>1.3852808253654141</v>
      </c>
      <c r="G17" s="329">
        <v>606630</v>
      </c>
      <c r="H17" s="418">
        <f t="shared" ca="1" si="2"/>
        <v>2.1186555231360136</v>
      </c>
    </row>
    <row r="18" spans="1:8" ht="14.1" customHeight="1">
      <c r="A18" s="26" t="s">
        <v>241</v>
      </c>
      <c r="B18" s="27">
        <f>'- 30 -'!$D18</f>
        <v>7041064</v>
      </c>
      <c r="C18" s="27">
        <v>4901</v>
      </c>
      <c r="D18" s="27">
        <f t="shared" ca="1" si="0"/>
        <v>1436.6586410936543</v>
      </c>
      <c r="E18" s="27">
        <v>1633800</v>
      </c>
      <c r="F18" s="419">
        <f t="shared" ca="1" si="1"/>
        <v>4.3096241890072227</v>
      </c>
      <c r="G18" s="27">
        <v>1047800</v>
      </c>
      <c r="H18" s="419">
        <f t="shared" ca="1" si="2"/>
        <v>6.7198549341477385</v>
      </c>
    </row>
    <row r="19" spans="1:8" ht="14.1" customHeight="1">
      <c r="A19" s="328" t="s">
        <v>242</v>
      </c>
      <c r="B19" s="329">
        <f>'- 30 -'!$D19</f>
        <v>2328921</v>
      </c>
      <c r="C19" s="329">
        <v>2647</v>
      </c>
      <c r="D19" s="329">
        <f t="shared" ca="1" si="0"/>
        <v>879.83415187004152</v>
      </c>
      <c r="E19" s="329">
        <v>770480.8</v>
      </c>
      <c r="F19" s="418">
        <f t="shared" ca="1" si="1"/>
        <v>3.0226853154549729</v>
      </c>
      <c r="G19" s="329">
        <v>450871</v>
      </c>
      <c r="H19" s="418">
        <f t="shared" ca="1" si="2"/>
        <v>5.1653821159489075</v>
      </c>
    </row>
    <row r="20" spans="1:8" ht="14.1" customHeight="1">
      <c r="A20" s="26" t="s">
        <v>243</v>
      </c>
      <c r="B20" s="27">
        <f>'- 30 -'!$D20</f>
        <v>3040612</v>
      </c>
      <c r="C20" s="27">
        <v>4975</v>
      </c>
      <c r="D20" s="27">
        <f t="shared" ca="1" si="0"/>
        <v>611.17829145728638</v>
      </c>
      <c r="E20" s="27">
        <v>1415765</v>
      </c>
      <c r="F20" s="419">
        <f t="shared" ca="1" si="1"/>
        <v>2.1476812889144736</v>
      </c>
      <c r="G20" s="27">
        <v>846813</v>
      </c>
      <c r="H20" s="419">
        <f t="shared" ca="1" si="2"/>
        <v>3.5906534264353525</v>
      </c>
    </row>
    <row r="21" spans="1:8" ht="14.1" customHeight="1">
      <c r="A21" s="328" t="s">
        <v>244</v>
      </c>
      <c r="B21" s="329">
        <f>'- 30 -'!$D21</f>
        <v>1952436</v>
      </c>
      <c r="C21" s="329">
        <v>1545</v>
      </c>
      <c r="D21" s="329">
        <f t="shared" ca="1" si="0"/>
        <v>1263.7126213592232</v>
      </c>
      <c r="E21" s="329">
        <v>996616.79999999993</v>
      </c>
      <c r="F21" s="418">
        <f t="shared" ca="1" si="1"/>
        <v>1.9590639050034078</v>
      </c>
      <c r="G21" s="329">
        <v>619791.20000000007</v>
      </c>
      <c r="H21" s="418">
        <f t="shared" ca="1" si="2"/>
        <v>3.150151212214694</v>
      </c>
    </row>
    <row r="22" spans="1:8" ht="14.1" customHeight="1">
      <c r="A22" s="26" t="s">
        <v>245</v>
      </c>
      <c r="B22" s="27">
        <f>'- 30 -'!$D22</f>
        <v>437553</v>
      </c>
      <c r="C22" s="27">
        <v>464</v>
      </c>
      <c r="D22" s="27">
        <f t="shared" ca="1" si="0"/>
        <v>943.00215517241384</v>
      </c>
      <c r="E22" s="27">
        <v>163856</v>
      </c>
      <c r="F22" s="419">
        <f t="shared" ca="1" si="1"/>
        <v>2.6703507958207204</v>
      </c>
      <c r="G22" s="27">
        <v>96040</v>
      </c>
      <c r="H22" s="419">
        <f t="shared" ca="1" si="2"/>
        <v>4.5559454394002499</v>
      </c>
    </row>
    <row r="23" spans="1:8" ht="14.1" customHeight="1">
      <c r="A23" s="328" t="s">
        <v>246</v>
      </c>
      <c r="B23" s="329">
        <f>'- 30 -'!$D23</f>
        <v>1510176</v>
      </c>
      <c r="C23" s="329">
        <v>810</v>
      </c>
      <c r="D23" s="329">
        <f t="shared" ca="1" si="0"/>
        <v>1864.4148148148149</v>
      </c>
      <c r="E23" s="329">
        <v>1022764</v>
      </c>
      <c r="F23" s="418">
        <f t="shared" ca="1" si="1"/>
        <v>1.4765635082971242</v>
      </c>
      <c r="G23" s="329">
        <v>612518</v>
      </c>
      <c r="H23" s="418">
        <f t="shared" ca="1" si="2"/>
        <v>2.4655210132600183</v>
      </c>
    </row>
    <row r="24" spans="1:8" ht="14.1" customHeight="1">
      <c r="A24" s="26" t="s">
        <v>247</v>
      </c>
      <c r="B24" s="27">
        <f>'- 30 -'!$D24</f>
        <v>2153738</v>
      </c>
      <c r="C24" s="27">
        <v>2910</v>
      </c>
      <c r="D24" s="27">
        <f t="shared" ca="1" si="0"/>
        <v>740.11615120274917</v>
      </c>
      <c r="E24" s="27">
        <v>1039968</v>
      </c>
      <c r="F24" s="419">
        <f t="shared" ca="1" si="1"/>
        <v>2.0709656450967722</v>
      </c>
      <c r="G24" s="27">
        <v>650256</v>
      </c>
      <c r="H24" s="419">
        <f t="shared" ca="1" si="2"/>
        <v>3.3121386038729361</v>
      </c>
    </row>
    <row r="25" spans="1:8" ht="14.1" customHeight="1">
      <c r="A25" s="328" t="s">
        <v>248</v>
      </c>
      <c r="B25" s="329">
        <f>'- 30 -'!$D25</f>
        <v>3048575</v>
      </c>
      <c r="C25" s="329">
        <v>2340</v>
      </c>
      <c r="D25" s="329">
        <f t="shared" ca="1" si="0"/>
        <v>1302.8098290598291</v>
      </c>
      <c r="E25" s="329">
        <v>734126</v>
      </c>
      <c r="F25" s="418">
        <f t="shared" ca="1" si="1"/>
        <v>4.1526590803213619</v>
      </c>
      <c r="G25" s="329">
        <v>492456</v>
      </c>
      <c r="H25" s="418">
        <f t="shared" ca="1" si="2"/>
        <v>6.1905530646392775</v>
      </c>
    </row>
    <row r="26" spans="1:8" ht="14.1" customHeight="1">
      <c r="A26" s="26" t="s">
        <v>249</v>
      </c>
      <c r="B26" s="27">
        <f>'- 30 -'!$D26</f>
        <v>2682143</v>
      </c>
      <c r="C26" s="27">
        <v>1297</v>
      </c>
      <c r="D26" s="27">
        <f t="shared" ca="1" si="0"/>
        <v>2067.959136468774</v>
      </c>
      <c r="E26" s="27">
        <v>1326960</v>
      </c>
      <c r="F26" s="419">
        <f t="shared" ca="1" si="1"/>
        <v>2.0212689154156869</v>
      </c>
      <c r="G26" s="27">
        <v>1056330</v>
      </c>
      <c r="H26" s="419">
        <f t="shared" ca="1" si="2"/>
        <v>2.53911467060483</v>
      </c>
    </row>
    <row r="27" spans="1:8" ht="14.1" customHeight="1">
      <c r="A27" s="328" t="s">
        <v>250</v>
      </c>
      <c r="B27" s="329">
        <f>'- 30 -'!$D27</f>
        <v>0</v>
      </c>
      <c r="C27" s="329">
        <v>0</v>
      </c>
      <c r="D27" s="329" t="str">
        <f ca="1">IF(AND(CELL("type",C27)="v",C27&gt;0),B27/C27,"")</f>
        <v/>
      </c>
      <c r="E27" s="329">
        <v>0</v>
      </c>
      <c r="F27" s="418" t="str">
        <f ca="1">IF(AND(CELL("type",E27)="v",E27&gt;0),B27/E27,"")</f>
        <v/>
      </c>
      <c r="G27" s="329">
        <v>0</v>
      </c>
      <c r="H27" s="418" t="str">
        <f ca="1">IF(AND(CELL("type",G27)="v",G27&gt;0),B27/G27,"")</f>
        <v/>
      </c>
    </row>
    <row r="28" spans="1:8" ht="14.1" customHeight="1">
      <c r="A28" s="26" t="s">
        <v>251</v>
      </c>
      <c r="B28" s="27">
        <f>'- 30 -'!$D28</f>
        <v>1862201</v>
      </c>
      <c r="C28" s="27">
        <v>858</v>
      </c>
      <c r="D28" s="27">
        <f t="shared" ca="1" si="0"/>
        <v>2170.397435897436</v>
      </c>
      <c r="E28" s="27">
        <v>1227000</v>
      </c>
      <c r="F28" s="419">
        <f t="shared" ca="1" si="1"/>
        <v>1.5176862265688671</v>
      </c>
      <c r="G28" s="27">
        <v>804000</v>
      </c>
      <c r="H28" s="419">
        <f t="shared" ca="1" si="2"/>
        <v>2.3161703980099504</v>
      </c>
    </row>
    <row r="29" spans="1:8" ht="14.1" customHeight="1">
      <c r="A29" s="328" t="s">
        <v>252</v>
      </c>
      <c r="B29" s="329">
        <f>'- 30 -'!$D29</f>
        <v>1767586</v>
      </c>
      <c r="C29" s="329">
        <v>2101</v>
      </c>
      <c r="D29" s="329">
        <f t="shared" ca="1" si="0"/>
        <v>841.30699666825319</v>
      </c>
      <c r="E29" s="329">
        <v>447174</v>
      </c>
      <c r="F29" s="418">
        <f t="shared" ca="1" si="1"/>
        <v>3.9527924253198981</v>
      </c>
      <c r="G29" s="329">
        <v>274428</v>
      </c>
      <c r="H29" s="418">
        <f t="shared" ca="1" si="2"/>
        <v>6.4409826985584564</v>
      </c>
    </row>
    <row r="30" spans="1:8" ht="14.1" customHeight="1">
      <c r="A30" s="26" t="s">
        <v>253</v>
      </c>
      <c r="B30" s="27">
        <f>'- 30 -'!$D30</f>
        <v>1090201</v>
      </c>
      <c r="C30" s="27">
        <v>640</v>
      </c>
      <c r="D30" s="27">
        <f t="shared" ca="1" si="0"/>
        <v>1703.4390625000001</v>
      </c>
      <c r="E30" s="27">
        <v>557891</v>
      </c>
      <c r="F30" s="419">
        <f t="shared" ca="1" si="1"/>
        <v>1.9541469570220706</v>
      </c>
      <c r="G30" s="27">
        <v>395844</v>
      </c>
      <c r="H30" s="419">
        <f t="shared" ca="1" si="2"/>
        <v>2.7541177837734057</v>
      </c>
    </row>
    <row r="31" spans="1:8" ht="14.1" customHeight="1">
      <c r="A31" s="328" t="s">
        <v>254</v>
      </c>
      <c r="B31" s="329">
        <f>'- 30 -'!$D31</f>
        <v>1001361</v>
      </c>
      <c r="C31" s="329">
        <v>1131</v>
      </c>
      <c r="D31" s="329">
        <f t="shared" ca="1" si="0"/>
        <v>885.37665782493366</v>
      </c>
      <c r="E31" s="329">
        <v>599374</v>
      </c>
      <c r="F31" s="418">
        <f t="shared" ca="1" si="1"/>
        <v>1.6706780741240026</v>
      </c>
      <c r="G31" s="329">
        <v>375945</v>
      </c>
      <c r="H31" s="418">
        <f t="shared" ca="1" si="2"/>
        <v>2.6635837689023663</v>
      </c>
    </row>
    <row r="32" spans="1:8" ht="14.1" customHeight="1">
      <c r="A32" s="26" t="s">
        <v>255</v>
      </c>
      <c r="B32" s="27">
        <f>'- 30 -'!$D32</f>
        <v>1826743</v>
      </c>
      <c r="C32" s="27">
        <v>1411</v>
      </c>
      <c r="D32" s="27">
        <f t="shared" ca="1" si="0"/>
        <v>1294.644223954642</v>
      </c>
      <c r="E32" s="27">
        <v>1084878</v>
      </c>
      <c r="F32" s="419">
        <f t="shared" ca="1" si="1"/>
        <v>1.6838234345244349</v>
      </c>
      <c r="G32" s="27">
        <v>711252</v>
      </c>
      <c r="H32" s="419">
        <f t="shared" ca="1" si="2"/>
        <v>2.5683484897054769</v>
      </c>
    </row>
    <row r="33" spans="1:8" ht="14.1" customHeight="1">
      <c r="A33" s="328" t="s">
        <v>256</v>
      </c>
      <c r="B33" s="329">
        <f>'- 30 -'!$D33</f>
        <v>2373164</v>
      </c>
      <c r="C33" s="329">
        <v>1149</v>
      </c>
      <c r="D33" s="329">
        <f t="shared" ca="1" si="0"/>
        <v>2065.4168842471713</v>
      </c>
      <c r="E33" s="329">
        <v>1524144</v>
      </c>
      <c r="F33" s="418">
        <f t="shared" ca="1" si="1"/>
        <v>1.5570471031608561</v>
      </c>
      <c r="G33" s="329">
        <v>896366</v>
      </c>
      <c r="H33" s="418">
        <f t="shared" ca="1" si="2"/>
        <v>2.6475390632844173</v>
      </c>
    </row>
    <row r="34" spans="1:8" ht="14.1" customHeight="1">
      <c r="A34" s="26" t="s">
        <v>257</v>
      </c>
      <c r="B34" s="27">
        <f>'- 30 -'!$D34</f>
        <v>2262421</v>
      </c>
      <c r="C34" s="27">
        <v>1360</v>
      </c>
      <c r="D34" s="27">
        <f t="shared" ca="1" si="0"/>
        <v>1663.5448529411765</v>
      </c>
      <c r="E34" s="27">
        <v>1260572</v>
      </c>
      <c r="F34" s="419">
        <f t="shared" ca="1" si="1"/>
        <v>1.7947574593121218</v>
      </c>
      <c r="G34" s="27">
        <v>824814</v>
      </c>
      <c r="H34" s="419">
        <f t="shared" ca="1" si="2"/>
        <v>2.742946894693834</v>
      </c>
    </row>
    <row r="35" spans="1:8" ht="14.1" customHeight="1">
      <c r="A35" s="328" t="s">
        <v>258</v>
      </c>
      <c r="B35" s="329">
        <f>'- 30 -'!$D35</f>
        <v>3271367</v>
      </c>
      <c r="C35" s="329">
        <v>3260</v>
      </c>
      <c r="D35" s="329">
        <f t="shared" ca="1" si="0"/>
        <v>1003.4868098159509</v>
      </c>
      <c r="E35" s="329">
        <v>957778</v>
      </c>
      <c r="F35" s="418">
        <f t="shared" ca="1" si="1"/>
        <v>3.4155796019536888</v>
      </c>
      <c r="G35" s="329">
        <v>457064</v>
      </c>
      <c r="H35" s="418">
        <f t="shared" ca="1" si="2"/>
        <v>7.1573499553673008</v>
      </c>
    </row>
    <row r="36" spans="1:8" ht="14.1" customHeight="1">
      <c r="A36" s="26" t="s">
        <v>259</v>
      </c>
      <c r="B36" s="27">
        <f>'- 30 -'!$D36</f>
        <v>1377456</v>
      </c>
      <c r="C36" s="27">
        <v>903</v>
      </c>
      <c r="D36" s="27">
        <f t="shared" ca="1" si="0"/>
        <v>1525.4219269102989</v>
      </c>
      <c r="E36" s="27">
        <v>815295</v>
      </c>
      <c r="F36" s="419">
        <f t="shared" ca="1" si="1"/>
        <v>1.6895185178371019</v>
      </c>
      <c r="G36" s="27">
        <v>528915</v>
      </c>
      <c r="H36" s="419">
        <f t="shared" ca="1" si="2"/>
        <v>2.6043050395621226</v>
      </c>
    </row>
    <row r="37" spans="1:8" ht="14.1" customHeight="1">
      <c r="A37" s="328" t="s">
        <v>260</v>
      </c>
      <c r="B37" s="329">
        <f>'- 30 -'!$D37</f>
        <v>2699749</v>
      </c>
      <c r="C37" s="329">
        <v>2746</v>
      </c>
      <c r="D37" s="329">
        <f t="shared" ca="1" si="0"/>
        <v>983.1569555717407</v>
      </c>
      <c r="E37" s="329">
        <v>1296832</v>
      </c>
      <c r="F37" s="418">
        <f t="shared" ca="1" si="1"/>
        <v>2.0818031942456696</v>
      </c>
      <c r="G37" s="329">
        <v>807760</v>
      </c>
      <c r="H37" s="418">
        <f t="shared" ca="1" si="2"/>
        <v>3.3422662672080814</v>
      </c>
    </row>
    <row r="38" spans="1:8" ht="14.1" customHeight="1">
      <c r="A38" s="26" t="s">
        <v>261</v>
      </c>
      <c r="B38" s="27">
        <f>'- 30 -'!$D38</f>
        <v>2753102</v>
      </c>
      <c r="C38" s="27">
        <v>2899</v>
      </c>
      <c r="D38" s="27">
        <f t="shared" ca="1" si="0"/>
        <v>949.67299068644365</v>
      </c>
      <c r="E38" s="27">
        <v>611876</v>
      </c>
      <c r="F38" s="419">
        <f t="shared" ca="1" si="1"/>
        <v>4.499444331858089</v>
      </c>
      <c r="G38" s="27">
        <v>438052</v>
      </c>
      <c r="H38" s="419">
        <f t="shared" ca="1" si="2"/>
        <v>6.2848748550400408</v>
      </c>
    </row>
    <row r="39" spans="1:8" ht="14.1" customHeight="1">
      <c r="A39" s="328" t="s">
        <v>262</v>
      </c>
      <c r="B39" s="329">
        <f>'- 30 -'!$D39</f>
        <v>1886552</v>
      </c>
      <c r="C39" s="329">
        <v>884</v>
      </c>
      <c r="D39" s="329">
        <f t="shared" ca="1" si="0"/>
        <v>2134.1085972850678</v>
      </c>
      <c r="E39" s="329">
        <v>1154784</v>
      </c>
      <c r="F39" s="418">
        <f t="shared" ca="1" si="1"/>
        <v>1.6336838750796685</v>
      </c>
      <c r="G39" s="329">
        <v>700672</v>
      </c>
      <c r="H39" s="418">
        <f t="shared" ca="1" si="2"/>
        <v>2.6924894957983194</v>
      </c>
    </row>
    <row r="40" spans="1:8" ht="14.1" customHeight="1">
      <c r="A40" s="26" t="s">
        <v>263</v>
      </c>
      <c r="B40" s="27">
        <f>'- 30 -'!$D40</f>
        <v>1647187</v>
      </c>
      <c r="C40" s="27">
        <v>1856</v>
      </c>
      <c r="D40" s="27">
        <f t="shared" ca="1" si="0"/>
        <v>887.49299568965512</v>
      </c>
      <c r="E40" s="27">
        <v>454730</v>
      </c>
      <c r="F40" s="419">
        <f t="shared" ca="1" si="1"/>
        <v>3.6223407296637564</v>
      </c>
      <c r="G40" s="27">
        <v>276205</v>
      </c>
      <c r="H40" s="419">
        <f t="shared" ca="1" si="2"/>
        <v>5.9636393258630367</v>
      </c>
    </row>
    <row r="41" spans="1:8" ht="14.1" customHeight="1">
      <c r="A41" s="328" t="s">
        <v>264</v>
      </c>
      <c r="B41" s="329">
        <f>'- 30 -'!$D41</f>
        <v>4324976</v>
      </c>
      <c r="C41" s="329">
        <v>3484</v>
      </c>
      <c r="D41" s="329">
        <f t="shared" ca="1" si="0"/>
        <v>1241.3823191733638</v>
      </c>
      <c r="E41" s="329">
        <v>2341056</v>
      </c>
      <c r="F41" s="418">
        <f t="shared" ca="1" si="1"/>
        <v>1.8474466223789605</v>
      </c>
      <c r="G41" s="329">
        <v>1445538</v>
      </c>
      <c r="H41" s="418">
        <f t="shared" ca="1" si="2"/>
        <v>2.9919490182893842</v>
      </c>
    </row>
    <row r="42" spans="1:8" ht="14.1" customHeight="1">
      <c r="A42" s="26" t="s">
        <v>265</v>
      </c>
      <c r="B42" s="27">
        <f>'- 30 -'!$D42</f>
        <v>1439168</v>
      </c>
      <c r="C42" s="27">
        <v>1345</v>
      </c>
      <c r="D42" s="27">
        <f t="shared" ca="1" si="0"/>
        <v>1070.0133828996281</v>
      </c>
      <c r="E42" s="27">
        <v>783829</v>
      </c>
      <c r="F42" s="419">
        <f t="shared" ca="1" si="1"/>
        <v>1.8360739395965191</v>
      </c>
      <c r="G42" s="27">
        <v>663793.9</v>
      </c>
      <c r="H42" s="419">
        <f t="shared" ca="1" si="2"/>
        <v>2.1680946450396728</v>
      </c>
    </row>
    <row r="43" spans="1:8" ht="14.1" customHeight="1">
      <c r="A43" s="328" t="s">
        <v>266</v>
      </c>
      <c r="B43" s="329">
        <f>'- 30 -'!$D43</f>
        <v>1090144</v>
      </c>
      <c r="C43" s="329">
        <v>553</v>
      </c>
      <c r="D43" s="329">
        <f t="shared" ca="1" si="0"/>
        <v>1971.3273056057867</v>
      </c>
      <c r="E43" s="329">
        <v>669141</v>
      </c>
      <c r="F43" s="418">
        <f t="shared" ca="1" si="1"/>
        <v>1.6291693380020056</v>
      </c>
      <c r="G43" s="329">
        <v>416926</v>
      </c>
      <c r="H43" s="418">
        <f t="shared" ca="1" si="2"/>
        <v>2.6147181993926978</v>
      </c>
    </row>
    <row r="44" spans="1:8" ht="14.1" customHeight="1">
      <c r="A44" s="26" t="s">
        <v>267</v>
      </c>
      <c r="B44" s="27">
        <f>'- 30 -'!$D44</f>
        <v>1015018</v>
      </c>
      <c r="C44" s="27">
        <v>462</v>
      </c>
      <c r="D44" s="27">
        <f t="shared" ca="1" si="0"/>
        <v>2197.0086580086581</v>
      </c>
      <c r="E44" s="27">
        <v>727848</v>
      </c>
      <c r="F44" s="419">
        <f t="shared" ca="1" si="1"/>
        <v>1.3945466635891011</v>
      </c>
      <c r="G44" s="27">
        <v>523700</v>
      </c>
      <c r="H44" s="419">
        <f t="shared" ca="1" si="2"/>
        <v>1.9381668894405193</v>
      </c>
    </row>
    <row r="45" spans="1:8" ht="14.1" customHeight="1">
      <c r="A45" s="328" t="s">
        <v>268</v>
      </c>
      <c r="B45" s="329">
        <f>'- 30 -'!$D45</f>
        <v>585330</v>
      </c>
      <c r="C45" s="329">
        <v>1055</v>
      </c>
      <c r="D45" s="329">
        <f t="shared" ca="1" si="0"/>
        <v>554.8151658767772</v>
      </c>
      <c r="E45" s="329">
        <v>259047</v>
      </c>
      <c r="F45" s="418">
        <f t="shared" ca="1" si="1"/>
        <v>2.2595513555455189</v>
      </c>
      <c r="G45" s="329">
        <v>154140</v>
      </c>
      <c r="H45" s="418">
        <f t="shared" ca="1" si="2"/>
        <v>3.7973919813156871</v>
      </c>
    </row>
    <row r="46" spans="1:8" ht="14.1" customHeight="1">
      <c r="A46" s="26" t="s">
        <v>269</v>
      </c>
      <c r="B46" s="27">
        <f>'- 30 -'!$D46</f>
        <v>4169688</v>
      </c>
      <c r="C46" s="27">
        <v>2357</v>
      </c>
      <c r="D46" s="27">
        <f t="shared" ca="1" si="0"/>
        <v>1769.0657615613068</v>
      </c>
      <c r="E46" s="27">
        <v>1024478</v>
      </c>
      <c r="F46" s="419">
        <f t="shared" ca="1" si="1"/>
        <v>4.070061045722797</v>
      </c>
      <c r="G46" s="27">
        <v>637728</v>
      </c>
      <c r="H46" s="419">
        <f t="shared" ca="1" si="2"/>
        <v>6.5383486376637059</v>
      </c>
    </row>
    <row r="47" spans="1:8" ht="5.0999999999999996" customHeight="1">
      <c r="A47"/>
      <c r="B47" s="29"/>
      <c r="C47" s="424"/>
      <c r="D47" s="29"/>
      <c r="E47" s="424"/>
      <c r="F47" s="421"/>
      <c r="G47" s="424"/>
      <c r="H47" s="421"/>
    </row>
    <row r="48" spans="1:8" ht="14.1" customHeight="1">
      <c r="A48" s="330" t="s">
        <v>270</v>
      </c>
      <c r="B48" s="331">
        <f>SUM(B11:B46)</f>
        <v>77282636</v>
      </c>
      <c r="C48" s="331">
        <f>SUM(C11:C46)</f>
        <v>63610</v>
      </c>
      <c r="D48" s="331">
        <f>B48/C48</f>
        <v>1214.9447571136614</v>
      </c>
      <c r="E48" s="331">
        <f>SUM(E11:E46)</f>
        <v>34149383.600000001</v>
      </c>
      <c r="F48" s="422">
        <f>B48/E48</f>
        <v>2.2630755771533164</v>
      </c>
      <c r="G48" s="331">
        <f>SUM(G11:G46)</f>
        <v>21472636.099999998</v>
      </c>
      <c r="H48" s="422">
        <f>B48/G48</f>
        <v>3.5991219541041821</v>
      </c>
    </row>
    <row r="49" spans="1:8" ht="5.0999999999999996" customHeight="1">
      <c r="A49" s="28" t="s">
        <v>16</v>
      </c>
      <c r="B49" s="29"/>
      <c r="C49" s="424"/>
      <c r="D49" s="29"/>
      <c r="E49" s="424"/>
      <c r="F49" s="421"/>
      <c r="G49" s="424"/>
      <c r="H49" s="421"/>
    </row>
    <row r="50" spans="1:8" ht="14.1" customHeight="1">
      <c r="A50" s="26" t="s">
        <v>271</v>
      </c>
      <c r="B50" s="27">
        <f>'- 30 -'!$D50</f>
        <v>2940</v>
      </c>
      <c r="C50" s="44" t="s">
        <v>195</v>
      </c>
      <c r="D50" s="27" t="str">
        <f ca="1">IF(AND(CELL("type",C50)="v",C50&gt;0),B50/C50,"")</f>
        <v/>
      </c>
      <c r="E50" s="44" t="s">
        <v>195</v>
      </c>
      <c r="F50" s="419" t="str">
        <f ca="1">IF(AND(CELL("type",E50)="v",E50&gt;0),B50/E50,"")</f>
        <v/>
      </c>
      <c r="G50" s="44" t="s">
        <v>195</v>
      </c>
      <c r="H50" s="419" t="str">
        <f ca="1">IF(AND(CELL("type",G50)="v",G50&gt;0),B50/G50,"")</f>
        <v/>
      </c>
    </row>
    <row r="51" spans="1:8" ht="14.1" customHeight="1">
      <c r="A51" s="328" t="s">
        <v>272</v>
      </c>
      <c r="B51" s="329">
        <f>'- 30 -'!$D51</f>
        <v>0</v>
      </c>
      <c r="C51" s="329">
        <v>0</v>
      </c>
      <c r="D51" s="329" t="str">
        <f ca="1">IF(AND(CELL("type",C51)="v",C51&gt;0),B51/C51,"")</f>
        <v/>
      </c>
      <c r="E51" s="329">
        <v>0</v>
      </c>
      <c r="F51" s="418" t="str">
        <f ca="1">IF(AND(CELL("type",E51)="v",E51&gt;0),B51/E51,"")</f>
        <v/>
      </c>
      <c r="G51" s="329">
        <v>0</v>
      </c>
      <c r="H51" s="418" t="str">
        <f ca="1">IF(AND(CELL("type",G51)="v",G51&gt;0),B51/G51,"")</f>
        <v/>
      </c>
    </row>
    <row r="52" spans="1:8"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sheetPr codeName="Sheet33">
    <pageSetUpPr fitToPage="1"/>
  </sheetPr>
  <dimension ref="A1:E52"/>
  <sheetViews>
    <sheetView showGridLines="0" showZeros="0" workbookViewId="0"/>
  </sheetViews>
  <sheetFormatPr defaultColWidth="15.83203125" defaultRowHeight="12"/>
  <cols>
    <col min="1" max="1" width="32.83203125" style="1" customWidth="1"/>
    <col min="2" max="2" width="22.83203125" style="1" customWidth="1"/>
    <col min="3" max="3" width="19.83203125" style="1" customWidth="1"/>
    <col min="4" max="4" width="15.83203125" style="1"/>
    <col min="5" max="5" width="41.83203125" style="1" customWidth="1"/>
    <col min="6" max="16384" width="15.83203125" style="1"/>
  </cols>
  <sheetData>
    <row r="1" spans="1:5" ht="6.95" customHeight="1">
      <c r="A1" s="6"/>
      <c r="B1" s="7"/>
      <c r="C1" s="7"/>
      <c r="D1" s="7"/>
      <c r="E1" s="7"/>
    </row>
    <row r="2" spans="1:5" ht="15.95" customHeight="1">
      <c r="A2" s="152"/>
      <c r="B2" s="8" t="s">
        <v>481</v>
      </c>
      <c r="C2" s="9"/>
      <c r="D2" s="9"/>
      <c r="E2" s="180"/>
    </row>
    <row r="3" spans="1:5" ht="15.95" customHeight="1">
      <c r="A3" s="697"/>
      <c r="B3" s="10" t="str">
        <f>OPYEAR</f>
        <v>OPERATING FUND 2013/2014 ACTUAL</v>
      </c>
      <c r="C3" s="11"/>
      <c r="D3" s="11"/>
      <c r="E3" s="181"/>
    </row>
    <row r="4" spans="1:5" ht="15.95" customHeight="1">
      <c r="B4" s="7"/>
      <c r="C4" s="7"/>
      <c r="D4" s="7"/>
      <c r="E4" s="7"/>
    </row>
    <row r="5" spans="1:5" ht="15.95" customHeight="1">
      <c r="B5" s="7"/>
      <c r="C5" s="7"/>
      <c r="D5" s="7"/>
      <c r="E5" s="7"/>
    </row>
    <row r="6" spans="1:5" ht="15.95" customHeight="1">
      <c r="B6" s="355" t="s">
        <v>39</v>
      </c>
      <c r="C6" s="362"/>
      <c r="D6" s="352"/>
    </row>
    <row r="7" spans="1:5" ht="15.95" customHeight="1">
      <c r="B7" s="342" t="s">
        <v>69</v>
      </c>
      <c r="C7" s="343"/>
      <c r="D7" s="363"/>
    </row>
    <row r="8" spans="1:5" ht="15.95" customHeight="1">
      <c r="A8" s="75"/>
      <c r="B8" s="182"/>
      <c r="C8" s="183" t="s">
        <v>85</v>
      </c>
      <c r="D8" s="86" t="s">
        <v>86</v>
      </c>
    </row>
    <row r="9" spans="1:5" ht="15.95" customHeight="1">
      <c r="A9" s="42" t="s">
        <v>93</v>
      </c>
      <c r="B9" s="87" t="s">
        <v>94</v>
      </c>
      <c r="C9" s="87" t="s">
        <v>104</v>
      </c>
      <c r="D9" s="87" t="s">
        <v>102</v>
      </c>
    </row>
    <row r="10" spans="1:5" ht="5.0999999999999996" customHeight="1">
      <c r="A10" s="5"/>
    </row>
    <row r="11" spans="1:5" ht="14.1" customHeight="1">
      <c r="A11" s="328" t="s">
        <v>235</v>
      </c>
      <c r="B11" s="329">
        <f>SUM('- 30 -'!$B11,'- 30 -'!$D11,'- 31 -'!$D11)</f>
        <v>1206866</v>
      </c>
      <c r="C11" s="329">
        <v>634818</v>
      </c>
      <c r="D11" s="418">
        <f ca="1">IF(AND(CELL("type",C11)="v",C11&gt;0),B11/C11,"")</f>
        <v>1.9011212662526897</v>
      </c>
      <c r="E11" s="184"/>
    </row>
    <row r="12" spans="1:5" ht="14.1" customHeight="1">
      <c r="A12" s="26" t="s">
        <v>236</v>
      </c>
      <c r="B12" s="27">
        <f>SUM('- 30 -'!$B12,'- 30 -'!$D12,'- 31 -'!$D12)</f>
        <v>2219680</v>
      </c>
      <c r="C12" s="27">
        <v>1189956</v>
      </c>
      <c r="D12" s="419">
        <f t="shared" ref="D12:D46" ca="1" si="0">IF(AND(CELL("type",C12)="v",C12&gt;0),B12/C12,"")</f>
        <v>1.8653462817112565</v>
      </c>
      <c r="E12" s="184"/>
    </row>
    <row r="13" spans="1:5" ht="14.1" customHeight="1">
      <c r="A13" s="328" t="s">
        <v>237</v>
      </c>
      <c r="B13" s="329">
        <f>SUM('- 30 -'!$B13,'- 30 -'!$D13,'- 31 -'!$D13)</f>
        <v>2041728</v>
      </c>
      <c r="C13" s="329">
        <v>811890</v>
      </c>
      <c r="D13" s="418">
        <f t="shared" ca="1" si="0"/>
        <v>2.5147840224660976</v>
      </c>
      <c r="E13" s="184"/>
    </row>
    <row r="14" spans="1:5" ht="14.1" customHeight="1">
      <c r="A14" s="26" t="s">
        <v>636</v>
      </c>
      <c r="B14" s="27">
        <f>SUM('- 30 -'!$B14,'- 30 -'!$D14,'- 31 -'!$D14)</f>
        <v>7508385</v>
      </c>
      <c r="C14" s="44" t="s">
        <v>195</v>
      </c>
      <c r="D14" s="419" t="str">
        <f t="shared" ca="1" si="0"/>
        <v/>
      </c>
      <c r="E14" s="184"/>
    </row>
    <row r="15" spans="1:5" ht="14.1" customHeight="1">
      <c r="A15" s="328" t="s">
        <v>238</v>
      </c>
      <c r="B15" s="329">
        <f>SUM('- 30 -'!$B15,'- 30 -'!$D15,'- 31 -'!$D15)</f>
        <v>1383742</v>
      </c>
      <c r="C15" s="329">
        <v>781453</v>
      </c>
      <c r="D15" s="418">
        <f t="shared" ca="1" si="0"/>
        <v>1.7707296536068069</v>
      </c>
      <c r="E15" s="184"/>
    </row>
    <row r="16" spans="1:5" ht="14.1" customHeight="1">
      <c r="A16" s="26" t="s">
        <v>239</v>
      </c>
      <c r="B16" s="27">
        <f>SUM('- 30 -'!$B16,'- 30 -'!$D16,'- 31 -'!$D16)</f>
        <v>436236</v>
      </c>
      <c r="C16" s="27">
        <v>55476</v>
      </c>
      <c r="D16" s="419">
        <f t="shared" ca="1" si="0"/>
        <v>7.8635085442353452</v>
      </c>
      <c r="E16" s="184"/>
    </row>
    <row r="17" spans="1:5" ht="14.1" customHeight="1">
      <c r="A17" s="328" t="s">
        <v>240</v>
      </c>
      <c r="B17" s="329">
        <f>SUM('- 30 -'!$B17,'- 30 -'!$D17,'- 31 -'!$D17)</f>
        <v>1385334</v>
      </c>
      <c r="C17" s="329">
        <v>883713.3075</v>
      </c>
      <c r="D17" s="418">
        <f t="shared" ca="1" si="0"/>
        <v>1.5676283114023379</v>
      </c>
      <c r="E17" s="184"/>
    </row>
    <row r="18" spans="1:5" ht="14.1" customHeight="1">
      <c r="A18" s="26" t="s">
        <v>241</v>
      </c>
      <c r="B18" s="27">
        <f>SUM('- 30 -'!$B18,'- 30 -'!$D18,'- 31 -'!$D18)</f>
        <v>7948242</v>
      </c>
      <c r="C18" s="27">
        <v>1810000</v>
      </c>
      <c r="D18" s="419">
        <f t="shared" ca="1" si="0"/>
        <v>4.3912939226519336</v>
      </c>
      <c r="E18" s="184"/>
    </row>
    <row r="19" spans="1:5" ht="14.1" customHeight="1">
      <c r="A19" s="328" t="s">
        <v>242</v>
      </c>
      <c r="B19" s="329">
        <f>SUM('- 30 -'!$B19,'- 30 -'!$D19,'- 31 -'!$D19)</f>
        <v>2493582</v>
      </c>
      <c r="C19" s="329">
        <v>942344</v>
      </c>
      <c r="D19" s="418">
        <f t="shared" ca="1" si="0"/>
        <v>2.6461483279991169</v>
      </c>
      <c r="E19" s="184"/>
    </row>
    <row r="20" spans="1:5" ht="14.1" customHeight="1">
      <c r="A20" s="26" t="s">
        <v>243</v>
      </c>
      <c r="B20" s="27">
        <f>SUM('- 30 -'!$B20,'- 30 -'!$D20,'- 31 -'!$D20)</f>
        <v>3506697</v>
      </c>
      <c r="C20" s="27">
        <v>1543260</v>
      </c>
      <c r="D20" s="419">
        <f t="shared" ca="1" si="0"/>
        <v>2.2722658528051007</v>
      </c>
      <c r="E20" s="184"/>
    </row>
    <row r="21" spans="1:5" ht="14.1" customHeight="1">
      <c r="A21" s="328" t="s">
        <v>244</v>
      </c>
      <c r="B21" s="329">
        <f>SUM('- 30 -'!$B21,'- 30 -'!$D21,'- 31 -'!$D21)</f>
        <v>2206203</v>
      </c>
      <c r="C21" s="329">
        <v>926364</v>
      </c>
      <c r="D21" s="418">
        <f t="shared" ca="1" si="0"/>
        <v>2.381572470432789</v>
      </c>
      <c r="E21" s="184"/>
    </row>
    <row r="22" spans="1:5" ht="14.1" customHeight="1">
      <c r="A22" s="26" t="s">
        <v>245</v>
      </c>
      <c r="B22" s="27">
        <f>SUM('- 30 -'!$B22,'- 30 -'!$D22,'- 31 -'!$D22)</f>
        <v>578158</v>
      </c>
      <c r="C22" s="27">
        <v>182656</v>
      </c>
      <c r="D22" s="419">
        <f t="shared" ca="1" si="0"/>
        <v>3.1652833742116329</v>
      </c>
      <c r="E22" s="184"/>
    </row>
    <row r="23" spans="1:5" ht="14.1" customHeight="1">
      <c r="A23" s="328" t="s">
        <v>246</v>
      </c>
      <c r="B23" s="329">
        <f>SUM('- 30 -'!$B23,'- 30 -'!$D23,'- 31 -'!$D23)</f>
        <v>1593577</v>
      </c>
      <c r="C23" s="329">
        <v>908253</v>
      </c>
      <c r="D23" s="418">
        <f t="shared" ca="1" si="0"/>
        <v>1.754551870459002</v>
      </c>
      <c r="E23" s="184"/>
    </row>
    <row r="24" spans="1:5" ht="14.1" customHeight="1">
      <c r="A24" s="26" t="s">
        <v>247</v>
      </c>
      <c r="B24" s="27">
        <f>SUM('- 30 -'!$B24,'- 30 -'!$D24,'- 31 -'!$D24)</f>
        <v>2388296</v>
      </c>
      <c r="C24" s="27">
        <v>1161981</v>
      </c>
      <c r="D24" s="419">
        <f t="shared" ca="1" si="0"/>
        <v>2.0553657934165876</v>
      </c>
      <c r="E24" s="184"/>
    </row>
    <row r="25" spans="1:5" ht="14.1" customHeight="1">
      <c r="A25" s="328" t="s">
        <v>248</v>
      </c>
      <c r="B25" s="329">
        <f>SUM('- 30 -'!$B25,'- 30 -'!$D25,'- 31 -'!$D25)</f>
        <v>3329885</v>
      </c>
      <c r="C25" s="329">
        <v>853636</v>
      </c>
      <c r="D25" s="418">
        <f t="shared" ca="1" si="0"/>
        <v>3.9008254103622622</v>
      </c>
      <c r="E25" s="184"/>
    </row>
    <row r="26" spans="1:5" ht="14.1" customHeight="1">
      <c r="A26" s="26" t="s">
        <v>249</v>
      </c>
      <c r="B26" s="27">
        <f>SUM('- 30 -'!$B26,'- 30 -'!$D26,'- 31 -'!$D26)</f>
        <v>3085511</v>
      </c>
      <c r="C26" s="27">
        <v>1366730</v>
      </c>
      <c r="D26" s="419">
        <f t="shared" ca="1" si="0"/>
        <v>2.2575863557542455</v>
      </c>
      <c r="E26" s="184"/>
    </row>
    <row r="27" spans="1:5" ht="14.1" customHeight="1">
      <c r="A27" s="328" t="s">
        <v>250</v>
      </c>
      <c r="B27" s="329">
        <f>SUM('- 30 -'!$B27,'- 30 -'!$D27,'- 31 -'!$D27)</f>
        <v>91848</v>
      </c>
      <c r="C27" s="423" t="s">
        <v>195</v>
      </c>
      <c r="D27" s="420" t="str">
        <f t="shared" ca="1" si="0"/>
        <v/>
      </c>
      <c r="E27" s="184"/>
    </row>
    <row r="28" spans="1:5" ht="14.1" customHeight="1">
      <c r="A28" s="26" t="s">
        <v>251</v>
      </c>
      <c r="B28" s="27">
        <f>SUM('- 30 -'!$B28,'- 30 -'!$D28,'- 31 -'!$D28)</f>
        <v>2064113</v>
      </c>
      <c r="C28" s="27">
        <v>1187000</v>
      </c>
      <c r="D28" s="419">
        <f t="shared" ca="1" si="0"/>
        <v>1.7389326032013479</v>
      </c>
      <c r="E28" s="184"/>
    </row>
    <row r="29" spans="1:5" ht="14.1" customHeight="1">
      <c r="A29" s="328" t="s">
        <v>252</v>
      </c>
      <c r="B29" s="329">
        <f>SUM('- 30 -'!$B29,'- 30 -'!$D29,'- 31 -'!$D29)</f>
        <v>2464247</v>
      </c>
      <c r="C29" s="329">
        <v>601398</v>
      </c>
      <c r="D29" s="418">
        <f t="shared" ca="1" si="0"/>
        <v>4.0975310859031788</v>
      </c>
      <c r="E29" s="184"/>
    </row>
    <row r="30" spans="1:5" ht="14.1" customHeight="1">
      <c r="A30" s="26" t="s">
        <v>253</v>
      </c>
      <c r="B30" s="27">
        <f>SUM('- 30 -'!$B30,'- 30 -'!$D30,'- 31 -'!$D30)</f>
        <v>1188734</v>
      </c>
      <c r="C30" s="27">
        <v>702334</v>
      </c>
      <c r="D30" s="419">
        <f t="shared" ca="1" si="0"/>
        <v>1.6925479899876696</v>
      </c>
      <c r="E30" s="184"/>
    </row>
    <row r="31" spans="1:5" ht="14.1" customHeight="1">
      <c r="A31" s="328" t="s">
        <v>254</v>
      </c>
      <c r="B31" s="329">
        <f>SUM('- 30 -'!$B31,'- 30 -'!$D31,'- 31 -'!$D31)</f>
        <v>1120769</v>
      </c>
      <c r="C31" s="329">
        <v>588513</v>
      </c>
      <c r="D31" s="418">
        <f t="shared" ca="1" si="0"/>
        <v>1.904408228875148</v>
      </c>
      <c r="E31" s="184"/>
    </row>
    <row r="32" spans="1:5" ht="14.1" customHeight="1">
      <c r="A32" s="26" t="s">
        <v>255</v>
      </c>
      <c r="B32" s="27">
        <f>SUM('- 30 -'!$B32,'- 30 -'!$D32,'- 31 -'!$D32)</f>
        <v>2066033</v>
      </c>
      <c r="C32" s="27">
        <v>1169008</v>
      </c>
      <c r="D32" s="419">
        <f t="shared" ca="1" si="0"/>
        <v>1.7673386324131228</v>
      </c>
      <c r="E32" s="184"/>
    </row>
    <row r="33" spans="1:5" ht="14.1" customHeight="1">
      <c r="A33" s="328" t="s">
        <v>256</v>
      </c>
      <c r="B33" s="329">
        <f>SUM('- 30 -'!$B33,'- 30 -'!$D33,'- 31 -'!$D33)</f>
        <v>2543941</v>
      </c>
      <c r="C33" s="329">
        <v>1545930</v>
      </c>
      <c r="D33" s="418">
        <f t="shared" ca="1" si="0"/>
        <v>1.6455732148286144</v>
      </c>
      <c r="E33" s="184"/>
    </row>
    <row r="34" spans="1:5" ht="14.1" customHeight="1">
      <c r="A34" s="26" t="s">
        <v>257</v>
      </c>
      <c r="B34" s="27">
        <f>SUM('- 30 -'!$B34,'- 30 -'!$D34,'- 31 -'!$D34)</f>
        <v>2455112</v>
      </c>
      <c r="C34" s="27">
        <v>1267147</v>
      </c>
      <c r="D34" s="419">
        <f t="shared" ca="1" si="0"/>
        <v>1.9375115909993079</v>
      </c>
      <c r="E34" s="184"/>
    </row>
    <row r="35" spans="1:5" ht="14.1" customHeight="1">
      <c r="A35" s="328" t="s">
        <v>258</v>
      </c>
      <c r="B35" s="329">
        <f>SUM('- 30 -'!$B35,'- 30 -'!$D35,'- 31 -'!$D35)</f>
        <v>3758084</v>
      </c>
      <c r="C35" s="329">
        <v>1120419</v>
      </c>
      <c r="D35" s="418">
        <f t="shared" ca="1" si="0"/>
        <v>3.3541773211628865</v>
      </c>
      <c r="E35" s="184"/>
    </row>
    <row r="36" spans="1:5" ht="14.1" customHeight="1">
      <c r="A36" s="26" t="s">
        <v>259</v>
      </c>
      <c r="B36" s="27">
        <f>SUM('- 30 -'!$B36,'- 30 -'!$D36,'- 31 -'!$D36)</f>
        <v>1525790</v>
      </c>
      <c r="C36" s="27">
        <v>828761</v>
      </c>
      <c r="D36" s="419">
        <f t="shared" ca="1" si="0"/>
        <v>1.841049470233276</v>
      </c>
      <c r="E36" s="184"/>
    </row>
    <row r="37" spans="1:5" ht="14.1" customHeight="1">
      <c r="A37" s="328" t="s">
        <v>260</v>
      </c>
      <c r="B37" s="329">
        <f>SUM('- 30 -'!$B37,'- 30 -'!$D37,'- 31 -'!$D37)</f>
        <v>2967139</v>
      </c>
      <c r="C37" s="329">
        <v>1311832</v>
      </c>
      <c r="D37" s="418">
        <f t="shared" ca="1" si="0"/>
        <v>2.2618284963318476</v>
      </c>
      <c r="E37" s="184"/>
    </row>
    <row r="38" spans="1:5" ht="14.1" customHeight="1">
      <c r="A38" s="26" t="s">
        <v>261</v>
      </c>
      <c r="B38" s="27">
        <f>SUM('- 30 -'!$B38,'- 30 -'!$D38,'- 31 -'!$D38)</f>
        <v>3382439</v>
      </c>
      <c r="C38" s="27">
        <v>837081</v>
      </c>
      <c r="D38" s="419">
        <f t="shared" ca="1" si="0"/>
        <v>4.0407547178827379</v>
      </c>
      <c r="E38" s="184"/>
    </row>
    <row r="39" spans="1:5" ht="14.1" customHeight="1">
      <c r="A39" s="328" t="s">
        <v>262</v>
      </c>
      <c r="B39" s="329">
        <f>SUM('- 30 -'!$B39,'- 30 -'!$D39,'- 31 -'!$D39)</f>
        <v>1997375</v>
      </c>
      <c r="C39" s="329">
        <v>1053570</v>
      </c>
      <c r="D39" s="418">
        <f t="shared" ca="1" si="0"/>
        <v>1.8958161299201761</v>
      </c>
      <c r="E39" s="184"/>
    </row>
    <row r="40" spans="1:5" ht="14.1" customHeight="1">
      <c r="A40" s="26" t="s">
        <v>263</v>
      </c>
      <c r="B40" s="27">
        <f>SUM('- 30 -'!$B40,'- 30 -'!$D40,'- 31 -'!$D40)</f>
        <v>1855776</v>
      </c>
      <c r="C40" s="27">
        <v>473290</v>
      </c>
      <c r="D40" s="419">
        <f t="shared" ca="1" si="0"/>
        <v>3.9210124870586744</v>
      </c>
      <c r="E40" s="184"/>
    </row>
    <row r="41" spans="1:5" ht="14.1" customHeight="1">
      <c r="A41" s="328" t="s">
        <v>264</v>
      </c>
      <c r="B41" s="329">
        <f>SUM('- 30 -'!$B41,'- 30 -'!$D41,'- 31 -'!$D41)</f>
        <v>4760319</v>
      </c>
      <c r="C41" s="329">
        <v>2377317</v>
      </c>
      <c r="D41" s="418">
        <f t="shared" ca="1" si="0"/>
        <v>2.0023913512585825</v>
      </c>
      <c r="E41" s="184"/>
    </row>
    <row r="42" spans="1:5" ht="14.1" customHeight="1">
      <c r="A42" s="26" t="s">
        <v>265</v>
      </c>
      <c r="B42" s="27">
        <f>SUM('- 30 -'!$B42,'- 30 -'!$D42,'- 31 -'!$D42)</f>
        <v>1597820</v>
      </c>
      <c r="C42" s="27">
        <v>732842</v>
      </c>
      <c r="D42" s="419">
        <f t="shared" ca="1" si="0"/>
        <v>2.18030625973948</v>
      </c>
      <c r="E42" s="184"/>
    </row>
    <row r="43" spans="1:5" ht="14.1" customHeight="1">
      <c r="A43" s="328" t="s">
        <v>266</v>
      </c>
      <c r="B43" s="329">
        <f>SUM('- 30 -'!$B43,'- 30 -'!$D43,'- 31 -'!$D43)</f>
        <v>1110660</v>
      </c>
      <c r="C43" s="329">
        <v>612915</v>
      </c>
      <c r="D43" s="418">
        <f t="shared" ca="1" si="0"/>
        <v>1.812094662392012</v>
      </c>
      <c r="E43" s="184"/>
    </row>
    <row r="44" spans="1:5" ht="14.1" customHeight="1">
      <c r="A44" s="26" t="s">
        <v>267</v>
      </c>
      <c r="B44" s="27">
        <f>SUM('- 30 -'!$B44,'- 30 -'!$D44,'- 31 -'!$D44)</f>
        <v>1088743</v>
      </c>
      <c r="C44" s="27">
        <v>755584</v>
      </c>
      <c r="D44" s="419">
        <f t="shared" ca="1" si="0"/>
        <v>1.4409291356090124</v>
      </c>
      <c r="E44" s="184"/>
    </row>
    <row r="45" spans="1:5" ht="14.1" customHeight="1">
      <c r="A45" s="328" t="s">
        <v>268</v>
      </c>
      <c r="B45" s="329">
        <f>SUM('- 30 -'!$B45,'- 30 -'!$D45,'- 31 -'!$D45)</f>
        <v>697803</v>
      </c>
      <c r="C45" s="329">
        <v>292856</v>
      </c>
      <c r="D45" s="418">
        <f t="shared" ca="1" si="0"/>
        <v>2.3827512497609749</v>
      </c>
      <c r="E45" s="184"/>
    </row>
    <row r="46" spans="1:5" ht="14.1" customHeight="1">
      <c r="A46" s="26" t="s">
        <v>269</v>
      </c>
      <c r="B46" s="27">
        <f>SUM('- 30 -'!$B46,'- 30 -'!$D46,'- 31 -'!$D46)</f>
        <v>4896320</v>
      </c>
      <c r="C46" s="27">
        <v>1126211</v>
      </c>
      <c r="D46" s="419">
        <f t="shared" ca="1" si="0"/>
        <v>4.3476044897448167</v>
      </c>
      <c r="E46" s="184"/>
    </row>
    <row r="47" spans="1:5" ht="5.0999999999999996" customHeight="1">
      <c r="A47"/>
      <c r="B47" s="29"/>
      <c r="C47" s="424"/>
      <c r="D47" s="421"/>
      <c r="E47" s="184"/>
    </row>
    <row r="48" spans="1:5" ht="14.1" customHeight="1">
      <c r="A48" s="330" t="s">
        <v>270</v>
      </c>
      <c r="B48" s="331">
        <f>SUM(B11:B46)</f>
        <v>86945187</v>
      </c>
      <c r="C48" s="331">
        <f>SUM(C11:C46)</f>
        <v>32636538.307500001</v>
      </c>
      <c r="D48" s="422">
        <f>B48/C48</f>
        <v>2.6640443965228893</v>
      </c>
      <c r="E48" s="184"/>
    </row>
    <row r="49" spans="1:5" ht="5.0999999999999996" customHeight="1">
      <c r="A49" s="28" t="s">
        <v>16</v>
      </c>
      <c r="B49" s="29"/>
      <c r="C49" s="424"/>
      <c r="D49" s="421"/>
    </row>
    <row r="50" spans="1:5" ht="14.1" customHeight="1">
      <c r="A50" s="26" t="s">
        <v>271</v>
      </c>
      <c r="B50" s="27">
        <f>SUM('- 30 -'!$B50,'- 30 -'!$D50,'- 31 -'!$D50)</f>
        <v>31663</v>
      </c>
      <c r="C50" s="44" t="s">
        <v>195</v>
      </c>
      <c r="D50" s="419" t="str">
        <f ca="1">IF(AND(CELL("type",C50)="v",C50&gt;0),B50/C50,"")</f>
        <v/>
      </c>
      <c r="E50" s="184"/>
    </row>
    <row r="51" spans="1:5" ht="14.1" customHeight="1">
      <c r="A51" s="328" t="s">
        <v>272</v>
      </c>
      <c r="B51" s="329">
        <f>SUM('- 30 -'!$B51,'- 30 -'!$D51,'- 31 -'!$D51)</f>
        <v>0</v>
      </c>
      <c r="C51" s="329">
        <v>0</v>
      </c>
      <c r="D51" s="418" t="str">
        <f ca="1">IF(AND(CELL("type",C51)="v",C51&gt;0),B51/C51,"")</f>
        <v/>
      </c>
      <c r="E51" s="184"/>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sheetPr codeName="Sheet34">
    <pageSetUpPr fitToPage="1"/>
  </sheetPr>
  <dimension ref="A1:I54"/>
  <sheetViews>
    <sheetView showGridLines="0" showZeros="0" workbookViewId="0"/>
  </sheetViews>
  <sheetFormatPr defaultColWidth="15.83203125" defaultRowHeight="12"/>
  <cols>
    <col min="1" max="1" width="32.83203125" style="1" customWidth="1"/>
    <col min="2" max="2" width="18.83203125" style="1" customWidth="1"/>
    <col min="3" max="3" width="15.83203125" style="1"/>
    <col min="4" max="4" width="15.83203125" style="1" customWidth="1"/>
    <col min="5" max="5" width="15.83203125" style="1"/>
    <col min="6" max="6" width="17.83203125" style="1" customWidth="1"/>
    <col min="7" max="8" width="15.83203125" style="1"/>
    <col min="9" max="9" width="0" style="1" hidden="1" customWidth="1"/>
    <col min="10" max="16384" width="15.83203125" style="1"/>
  </cols>
  <sheetData>
    <row r="1" spans="1:9" ht="6.95" customHeight="1">
      <c r="A1" s="6"/>
      <c r="B1" s="7"/>
      <c r="C1" s="7"/>
      <c r="D1" s="7"/>
      <c r="E1" s="7"/>
      <c r="F1" s="7"/>
    </row>
    <row r="2" spans="1:9" ht="15.95" customHeight="1">
      <c r="A2" s="8" t="s">
        <v>477</v>
      </c>
      <c r="B2" s="161"/>
      <c r="C2" s="178"/>
      <c r="D2" s="9"/>
      <c r="E2" s="9"/>
      <c r="F2" s="9"/>
      <c r="G2" s="9"/>
    </row>
    <row r="3" spans="1:9" ht="15.95" customHeight="1">
      <c r="A3" s="10" t="str">
        <f>OPYEAR</f>
        <v>OPERATING FUND 2013/2014 ACTUAL</v>
      </c>
      <c r="B3" s="10"/>
      <c r="C3" s="179"/>
      <c r="D3" s="11"/>
      <c r="E3" s="11"/>
      <c r="F3" s="11"/>
      <c r="G3" s="11"/>
    </row>
    <row r="4" spans="1:9" ht="15.95" customHeight="1">
      <c r="B4" s="7"/>
      <c r="C4" s="7"/>
      <c r="D4" s="78"/>
      <c r="E4" s="7"/>
      <c r="F4" s="7"/>
    </row>
    <row r="5" spans="1:9" ht="15.95" customHeight="1">
      <c r="B5" s="7"/>
      <c r="C5" s="7"/>
      <c r="D5" s="7"/>
      <c r="E5" s="7"/>
      <c r="F5" s="7"/>
    </row>
    <row r="6" spans="1:9" ht="15.95" customHeight="1">
      <c r="B6" s="425"/>
      <c r="C6" s="426"/>
      <c r="D6" s="427"/>
      <c r="E6" s="428"/>
      <c r="F6" s="429" t="s">
        <v>40</v>
      </c>
      <c r="G6" s="430"/>
    </row>
    <row r="7" spans="1:9" ht="15.95" customHeight="1">
      <c r="B7" s="431" t="s">
        <v>65</v>
      </c>
      <c r="C7" s="432"/>
      <c r="D7" s="432"/>
      <c r="E7" s="416"/>
      <c r="F7" s="432" t="s">
        <v>70</v>
      </c>
      <c r="G7" s="416"/>
      <c r="I7" s="3" t="s">
        <v>67</v>
      </c>
    </row>
    <row r="8" spans="1:9" ht="15.95" customHeight="1">
      <c r="A8" s="75"/>
      <c r="B8" s="86" t="s">
        <v>16</v>
      </c>
      <c r="C8" s="19" t="s">
        <v>88</v>
      </c>
      <c r="D8" s="85" t="s">
        <v>88</v>
      </c>
      <c r="E8" s="85" t="s">
        <v>223</v>
      </c>
      <c r="F8" s="86" t="s">
        <v>16</v>
      </c>
      <c r="G8" s="86" t="s">
        <v>88</v>
      </c>
      <c r="I8" s="3" t="s">
        <v>92</v>
      </c>
    </row>
    <row r="9" spans="1:9" ht="15.95" customHeight="1">
      <c r="A9" s="42" t="s">
        <v>93</v>
      </c>
      <c r="B9" s="87" t="s">
        <v>94</v>
      </c>
      <c r="C9" s="87" t="s">
        <v>96</v>
      </c>
      <c r="D9" s="87" t="s">
        <v>406</v>
      </c>
      <c r="E9" s="87" t="s">
        <v>407</v>
      </c>
      <c r="F9" s="87" t="s">
        <v>94</v>
      </c>
      <c r="G9" s="87" t="s">
        <v>406</v>
      </c>
      <c r="I9" s="516" t="str">
        <f>+Data!T9</f>
        <v>Sept. 30 / 13</v>
      </c>
    </row>
    <row r="10" spans="1:9" ht="5.0999999999999996" customHeight="1">
      <c r="A10" s="5"/>
    </row>
    <row r="11" spans="1:9" ht="14.1" customHeight="1">
      <c r="A11" s="328" t="s">
        <v>235</v>
      </c>
      <c r="B11" s="329">
        <f>'- 32 -'!D11</f>
        <v>1373488</v>
      </c>
      <c r="C11" s="329">
        <f>B11/'- 7 -'!E11</f>
        <v>926.15509103169256</v>
      </c>
      <c r="D11" s="418">
        <f>B11/I11</f>
        <v>5.2926411030060612</v>
      </c>
      <c r="E11" s="329">
        <f>I11/'- 7 -'!E11</f>
        <v>174.98921105866486</v>
      </c>
      <c r="F11" s="329">
        <f>'- 32 -'!F11</f>
        <v>232358</v>
      </c>
      <c r="G11" s="418">
        <f>F11/I11</f>
        <v>0.89537549757426527</v>
      </c>
      <c r="I11" s="1">
        <f>+Data!T11</f>
        <v>259509</v>
      </c>
    </row>
    <row r="12" spans="1:9" ht="14.1" customHeight="1">
      <c r="A12" s="26" t="s">
        <v>236</v>
      </c>
      <c r="B12" s="27">
        <f>'- 32 -'!D12</f>
        <v>2296819</v>
      </c>
      <c r="C12" s="27">
        <f>B12/'- 7 -'!E12</f>
        <v>1049.6385156749839</v>
      </c>
      <c r="D12" s="419">
        <f t="shared" ref="D12:D46" si="0">B12/I12</f>
        <v>5.9129464343178721</v>
      </c>
      <c r="E12" s="27">
        <f>I12/'- 7 -'!E12</f>
        <v>177.51530938671053</v>
      </c>
      <c r="F12" s="27">
        <f>'- 32 -'!F12</f>
        <v>527791</v>
      </c>
      <c r="G12" s="419">
        <f t="shared" ref="G12:G48" si="1">F12/I12</f>
        <v>1.3587487353226633</v>
      </c>
      <c r="I12" s="1">
        <f>+Data!T12</f>
        <v>388439</v>
      </c>
    </row>
    <row r="13" spans="1:9" ht="14.1" customHeight="1">
      <c r="A13" s="328" t="s">
        <v>237</v>
      </c>
      <c r="B13" s="329">
        <f>'- 32 -'!D13</f>
        <v>5945296</v>
      </c>
      <c r="C13" s="329">
        <f>B13/'- 7 -'!E13</f>
        <v>743.11555527779512</v>
      </c>
      <c r="D13" s="418">
        <f t="shared" si="0"/>
        <v>5.6801630302375994</v>
      </c>
      <c r="E13" s="329">
        <f>I13/'- 7 -'!E13</f>
        <v>130.82644834697831</v>
      </c>
      <c r="F13" s="329">
        <f>'- 32 -'!F13</f>
        <v>457619</v>
      </c>
      <c r="G13" s="418">
        <f t="shared" si="1"/>
        <v>0.43721128867836018</v>
      </c>
      <c r="I13" s="1">
        <f>+Data!T13</f>
        <v>1046677</v>
      </c>
    </row>
    <row r="14" spans="1:9" ht="14.1" customHeight="1">
      <c r="A14" s="26" t="s">
        <v>636</v>
      </c>
      <c r="B14" s="27">
        <f>'- 32 -'!D14</f>
        <v>6150490</v>
      </c>
      <c r="C14" s="44">
        <f>B14/'- 7 -'!E14</f>
        <v>1182.5591232455297</v>
      </c>
      <c r="D14" s="419">
        <f t="shared" si="0"/>
        <v>6.8216140316630769</v>
      </c>
      <c r="E14" s="44">
        <f>I14/'- 7 -'!E14</f>
        <v>173.35473947317823</v>
      </c>
      <c r="F14" s="44">
        <f>'- 32 -'!F14</f>
        <v>642006</v>
      </c>
      <c r="G14" s="419">
        <f t="shared" si="1"/>
        <v>0.71205987458103104</v>
      </c>
      <c r="I14" s="1">
        <f>+Data!T14</f>
        <v>901618</v>
      </c>
    </row>
    <row r="15" spans="1:9" ht="14.1" customHeight="1">
      <c r="A15" s="328" t="s">
        <v>238</v>
      </c>
      <c r="B15" s="329">
        <f>'- 32 -'!D15</f>
        <v>1913330</v>
      </c>
      <c r="C15" s="329">
        <f>B15/'- 7 -'!E15</f>
        <v>1282.8226617499163</v>
      </c>
      <c r="D15" s="418">
        <f t="shared" si="0"/>
        <v>6.6204273989287348</v>
      </c>
      <c r="E15" s="329">
        <f>I15/'- 7 -'!E15</f>
        <v>193.76734830707341</v>
      </c>
      <c r="F15" s="329">
        <f>'- 32 -'!F15</f>
        <v>192175</v>
      </c>
      <c r="G15" s="418">
        <f t="shared" si="1"/>
        <v>0.66495619437793252</v>
      </c>
      <c r="I15" s="1">
        <f>+Data!T15</f>
        <v>289004</v>
      </c>
    </row>
    <row r="16" spans="1:9" ht="14.1" customHeight="1">
      <c r="A16" s="26" t="s">
        <v>239</v>
      </c>
      <c r="B16" s="27">
        <f>'- 32 -'!D16</f>
        <v>1787489</v>
      </c>
      <c r="C16" s="27">
        <f>B16/'- 7 -'!E16</f>
        <v>1858.0966735966736</v>
      </c>
      <c r="D16" s="419">
        <f t="shared" si="0"/>
        <v>9.0836462869890902</v>
      </c>
      <c r="E16" s="27">
        <f>I16/'- 7 -'!E16</f>
        <v>204.55405405405406</v>
      </c>
      <c r="F16" s="27">
        <f>'- 32 -'!F16</f>
        <v>93166</v>
      </c>
      <c r="G16" s="419">
        <f t="shared" si="1"/>
        <v>0.47345018065768546</v>
      </c>
      <c r="I16" s="1">
        <f>+Data!T16</f>
        <v>196781</v>
      </c>
    </row>
    <row r="17" spans="1:9" ht="14.1" customHeight="1">
      <c r="A17" s="328" t="s">
        <v>240</v>
      </c>
      <c r="B17" s="329">
        <f>'- 32 -'!D17</f>
        <v>1558589</v>
      </c>
      <c r="C17" s="329">
        <f>B17/'- 7 -'!E17</f>
        <v>1211.065192536104</v>
      </c>
      <c r="D17" s="418">
        <f t="shared" si="0"/>
        <v>5.9945961330620499</v>
      </c>
      <c r="E17" s="329">
        <f>I17/'- 7 -'!E17</f>
        <v>202.02615249703067</v>
      </c>
      <c r="F17" s="329">
        <f>'- 32 -'!F17</f>
        <v>108700</v>
      </c>
      <c r="G17" s="418">
        <f t="shared" si="1"/>
        <v>0.41807853107127335</v>
      </c>
      <c r="I17" s="1">
        <f>+Data!T17</f>
        <v>259999</v>
      </c>
    </row>
    <row r="18" spans="1:9" ht="14.1" customHeight="1">
      <c r="A18" s="26" t="s">
        <v>241</v>
      </c>
      <c r="B18" s="27">
        <f>'- 32 -'!D18</f>
        <v>14884565</v>
      </c>
      <c r="C18" s="27">
        <f>B18/'- 7 -'!E18</f>
        <v>2453.8502753140556</v>
      </c>
      <c r="D18" s="419">
        <f>B18/I18</f>
        <v>10.888471869321059</v>
      </c>
      <c r="E18" s="27">
        <f>I18/'- 7 -'!E18</f>
        <v>225.36222757097167</v>
      </c>
      <c r="F18" s="27">
        <f>'- 32 -'!F18</f>
        <v>1463154</v>
      </c>
      <c r="G18" s="419">
        <f>F18/I18</f>
        <v>1.0703377068449489</v>
      </c>
      <c r="I18" s="1">
        <f>+Data!T18</f>
        <v>1367002.2</v>
      </c>
    </row>
    <row r="19" spans="1:9" ht="14.1" customHeight="1">
      <c r="A19" s="328" t="s">
        <v>242</v>
      </c>
      <c r="B19" s="329">
        <f>'- 32 -'!D19</f>
        <v>3476737</v>
      </c>
      <c r="C19" s="329">
        <f>B19/'- 7 -'!E19</f>
        <v>829.13693599160547</v>
      </c>
      <c r="D19" s="418">
        <f t="shared" si="0"/>
        <v>5.5112118925636606</v>
      </c>
      <c r="E19" s="329">
        <f>I19/'- 7 -'!E19</f>
        <v>150.44548316321664</v>
      </c>
      <c r="F19" s="329">
        <f>'- 32 -'!F19</f>
        <v>90347</v>
      </c>
      <c r="G19" s="418">
        <f t="shared" si="1"/>
        <v>0.14321516435020798</v>
      </c>
      <c r="I19" s="1">
        <f>+Data!T19</f>
        <v>630848</v>
      </c>
    </row>
    <row r="20" spans="1:9" ht="14.1" customHeight="1">
      <c r="A20" s="26" t="s">
        <v>243</v>
      </c>
      <c r="B20" s="27">
        <f>'- 32 -'!D20</f>
        <v>6148628</v>
      </c>
      <c r="C20" s="27">
        <f>B20/'- 7 -'!E20</f>
        <v>833.26033337850652</v>
      </c>
      <c r="D20" s="419">
        <f t="shared" si="0"/>
        <v>6.4459338048825998</v>
      </c>
      <c r="E20" s="27">
        <f>I20/'- 7 -'!E20</f>
        <v>129.26914216018432</v>
      </c>
      <c r="F20" s="27">
        <f>'- 32 -'!F20</f>
        <v>578339</v>
      </c>
      <c r="G20" s="419">
        <f t="shared" si="1"/>
        <v>0.60630353808719573</v>
      </c>
      <c r="I20" s="1">
        <f>+Data!T20</f>
        <v>953877</v>
      </c>
    </row>
    <row r="21" spans="1:9" ht="14.1" customHeight="1">
      <c r="A21" s="328" t="s">
        <v>244</v>
      </c>
      <c r="B21" s="329">
        <f>'- 32 -'!D21</f>
        <v>2832949</v>
      </c>
      <c r="C21" s="329">
        <f>B21/'- 7 -'!E21</f>
        <v>1048.0758416574176</v>
      </c>
      <c r="D21" s="418">
        <f t="shared" si="0"/>
        <v>6.2544961209504004</v>
      </c>
      <c r="E21" s="329">
        <f>I21/'- 7 -'!E21</f>
        <v>167.57158712541622</v>
      </c>
      <c r="F21" s="329">
        <f>'- 32 -'!F21</f>
        <v>677131</v>
      </c>
      <c r="G21" s="418">
        <f t="shared" si="1"/>
        <v>1.4949486252224327</v>
      </c>
      <c r="I21" s="1">
        <f>+Data!T21</f>
        <v>452946</v>
      </c>
    </row>
    <row r="22" spans="1:9" ht="14.1" customHeight="1">
      <c r="A22" s="26" t="s">
        <v>245</v>
      </c>
      <c r="B22" s="27">
        <f>'- 32 -'!D22</f>
        <v>2200184</v>
      </c>
      <c r="C22" s="27">
        <f>B22/'- 7 -'!E22</f>
        <v>1402.9996173957402</v>
      </c>
      <c r="D22" s="419">
        <f t="shared" si="0"/>
        <v>6.5018602630669076</v>
      </c>
      <c r="E22" s="27">
        <f>I22/'- 7 -'!E22</f>
        <v>215.78433873230455</v>
      </c>
      <c r="F22" s="27">
        <f>'- 32 -'!F22</f>
        <v>65166</v>
      </c>
      <c r="G22" s="419">
        <f t="shared" si="1"/>
        <v>0.19257490550927472</v>
      </c>
      <c r="I22" s="1">
        <f>+Data!T22</f>
        <v>338393</v>
      </c>
    </row>
    <row r="23" spans="1:9" ht="14.1" customHeight="1">
      <c r="A23" s="328" t="s">
        <v>246</v>
      </c>
      <c r="B23" s="329">
        <f>'- 32 -'!D23</f>
        <v>1150746</v>
      </c>
      <c r="C23" s="329">
        <f>B23/'- 7 -'!E23</f>
        <v>995.1106883431338</v>
      </c>
      <c r="D23" s="418">
        <f t="shared" si="0"/>
        <v>4.9334036423500356</v>
      </c>
      <c r="E23" s="329">
        <f>I23/'- 7 -'!E23</f>
        <v>201.708751297129</v>
      </c>
      <c r="F23" s="329">
        <f>'- 32 -'!F23</f>
        <v>164441</v>
      </c>
      <c r="G23" s="418">
        <f t="shared" si="1"/>
        <v>0.70498079363446176</v>
      </c>
      <c r="I23" s="1">
        <f>+Data!T23</f>
        <v>233256</v>
      </c>
    </row>
    <row r="24" spans="1:9" ht="14.1" customHeight="1">
      <c r="A24" s="26" t="s">
        <v>247</v>
      </c>
      <c r="B24" s="27">
        <f>'- 32 -'!D24</f>
        <v>4963406</v>
      </c>
      <c r="C24" s="27">
        <f>B24/'- 7 -'!E24</f>
        <v>1203.570891631708</v>
      </c>
      <c r="D24" s="419">
        <f t="shared" si="0"/>
        <v>7.0372676707741215</v>
      </c>
      <c r="E24" s="27">
        <f>I24/'- 7 -'!E24</f>
        <v>171.028152962002</v>
      </c>
      <c r="F24" s="27">
        <f>'- 32 -'!F24</f>
        <v>201176</v>
      </c>
      <c r="G24" s="419">
        <f t="shared" si="1"/>
        <v>0.28523343867812839</v>
      </c>
      <c r="I24" s="1">
        <f>+Data!T24</f>
        <v>705303</v>
      </c>
    </row>
    <row r="25" spans="1:9" ht="14.1" customHeight="1">
      <c r="A25" s="328" t="s">
        <v>248</v>
      </c>
      <c r="B25" s="329">
        <f>'- 32 -'!D25</f>
        <v>15058452</v>
      </c>
      <c r="C25" s="329">
        <f>B25/'- 7 -'!E25</f>
        <v>1089.2189511754068</v>
      </c>
      <c r="D25" s="418">
        <f t="shared" si="0"/>
        <v>6.7374659512704964</v>
      </c>
      <c r="E25" s="329">
        <f>I25/'- 7 -'!E25</f>
        <v>161.66596745027124</v>
      </c>
      <c r="F25" s="329">
        <f>'- 32 -'!F25</f>
        <v>682280</v>
      </c>
      <c r="G25" s="418">
        <f t="shared" si="1"/>
        <v>0.30526632280880095</v>
      </c>
      <c r="I25" s="1">
        <f>+Data!T25</f>
        <v>2235032</v>
      </c>
    </row>
    <row r="26" spans="1:9" ht="14.1" customHeight="1">
      <c r="A26" s="26" t="s">
        <v>249</v>
      </c>
      <c r="B26" s="27">
        <f>'- 32 -'!D26</f>
        <v>3998371</v>
      </c>
      <c r="C26" s="27">
        <f>B26/'- 7 -'!E26</f>
        <v>1283.1742618741978</v>
      </c>
      <c r="D26" s="419">
        <f t="shared" si="0"/>
        <v>5.1940184696604197</v>
      </c>
      <c r="E26" s="27">
        <f>I26/'- 7 -'!E26</f>
        <v>247.04845956354299</v>
      </c>
      <c r="F26" s="27">
        <f>'- 32 -'!F26</f>
        <v>284052</v>
      </c>
      <c r="G26" s="419">
        <f t="shared" si="1"/>
        <v>0.36899310602842544</v>
      </c>
      <c r="I26" s="1">
        <f>+Data!T26</f>
        <v>769803</v>
      </c>
    </row>
    <row r="27" spans="1:9" ht="14.1" customHeight="1">
      <c r="A27" s="328" t="s">
        <v>250</v>
      </c>
      <c r="B27" s="329">
        <f>'- 32 -'!D27</f>
        <v>3236269</v>
      </c>
      <c r="C27" s="423">
        <f>B27/'- 7 -'!E27</f>
        <v>1165.9289548582337</v>
      </c>
      <c r="D27" s="420">
        <f t="shared" si="0"/>
        <v>7.0003655634869135</v>
      </c>
      <c r="E27" s="423">
        <f>I27/'- 7 -'!E27</f>
        <v>166.55258133083544</v>
      </c>
      <c r="F27" s="423">
        <f>'- 32 -'!F27</f>
        <v>317222</v>
      </c>
      <c r="G27" s="420">
        <f t="shared" si="1"/>
        <v>0.68618213281418994</v>
      </c>
      <c r="I27" s="1">
        <f>+Data!T27</f>
        <v>462300</v>
      </c>
    </row>
    <row r="28" spans="1:9" ht="14.1" customHeight="1">
      <c r="A28" s="26" t="s">
        <v>251</v>
      </c>
      <c r="B28" s="27">
        <f>'- 32 -'!D28</f>
        <v>3065088</v>
      </c>
      <c r="C28" s="27">
        <f>B28/'- 7 -'!E28</f>
        <v>1526.0582524271845</v>
      </c>
      <c r="D28" s="419">
        <f t="shared" si="0"/>
        <v>6.9570806975493165</v>
      </c>
      <c r="E28" s="27">
        <f>I28/'- 7 -'!E28</f>
        <v>219.35324869305452</v>
      </c>
      <c r="F28" s="27">
        <f>'- 32 -'!F28</f>
        <v>150302</v>
      </c>
      <c r="G28" s="419">
        <f t="shared" si="1"/>
        <v>0.34115273134182683</v>
      </c>
      <c r="I28" s="1">
        <f>+Data!T28+Data!U28</f>
        <v>440571</v>
      </c>
    </row>
    <row r="29" spans="1:9" ht="14.1" customHeight="1">
      <c r="A29" s="328" t="s">
        <v>252</v>
      </c>
      <c r="B29" s="329">
        <f>'- 32 -'!D29</f>
        <v>13120006</v>
      </c>
      <c r="C29" s="329">
        <f>B29/'- 7 -'!E29</f>
        <v>1075.1723798831406</v>
      </c>
      <c r="D29" s="418">
        <f t="shared" si="0"/>
        <v>7.6948466837689251</v>
      </c>
      <c r="E29" s="329">
        <f>I29/'- 7 -'!E29</f>
        <v>139.72629008334221</v>
      </c>
      <c r="F29" s="329">
        <f>'- 32 -'!F29</f>
        <v>1982517</v>
      </c>
      <c r="G29" s="418">
        <f t="shared" si="1"/>
        <v>1.162740654460487</v>
      </c>
      <c r="I29" s="1">
        <f>+Data!T29</f>
        <v>1705038</v>
      </c>
    </row>
    <row r="30" spans="1:9" ht="14.1" customHeight="1">
      <c r="A30" s="26" t="s">
        <v>253</v>
      </c>
      <c r="B30" s="27">
        <f>'- 32 -'!D30</f>
        <v>1109085</v>
      </c>
      <c r="C30" s="27">
        <f>B30/'- 7 -'!E30</f>
        <v>1046.7608584857578</v>
      </c>
      <c r="D30" s="419">
        <f t="shared" si="0"/>
        <v>5.2882822744069617</v>
      </c>
      <c r="E30" s="27">
        <f>I30/'- 7 -'!E30</f>
        <v>197.939671933103</v>
      </c>
      <c r="F30" s="27">
        <f>'- 32 -'!F30</f>
        <v>280547</v>
      </c>
      <c r="G30" s="419">
        <f t="shared" si="1"/>
        <v>1.3376898319227559</v>
      </c>
      <c r="I30" s="1">
        <f>+Data!T30</f>
        <v>209725</v>
      </c>
    </row>
    <row r="31" spans="1:9" ht="14.1" customHeight="1">
      <c r="A31" s="328" t="s">
        <v>254</v>
      </c>
      <c r="B31" s="329">
        <f>'- 32 -'!D31</f>
        <v>3314655</v>
      </c>
      <c r="C31" s="329">
        <f>B31/'- 7 -'!E31</f>
        <v>1041.8528995756719</v>
      </c>
      <c r="D31" s="418">
        <f t="shared" si="0"/>
        <v>5.5754965483831898</v>
      </c>
      <c r="E31" s="329">
        <f>I31/'- 7 -'!E31</f>
        <v>186.86280056577087</v>
      </c>
      <c r="F31" s="329">
        <f>'- 32 -'!F31</f>
        <v>130007</v>
      </c>
      <c r="G31" s="418">
        <f t="shared" si="1"/>
        <v>0.21868145546539636</v>
      </c>
      <c r="I31" s="1">
        <f>+Data!T31</f>
        <v>594504</v>
      </c>
    </row>
    <row r="32" spans="1:9" ht="14.1" customHeight="1">
      <c r="A32" s="26" t="s">
        <v>255</v>
      </c>
      <c r="B32" s="27">
        <f>'- 32 -'!D32</f>
        <v>2283788</v>
      </c>
      <c r="C32" s="27">
        <f>B32/'- 7 -'!E32</f>
        <v>1129.4698318496537</v>
      </c>
      <c r="D32" s="419">
        <f t="shared" si="0"/>
        <v>5.9595630639799175</v>
      </c>
      <c r="E32" s="27">
        <f>I32/'- 7 -'!E32</f>
        <v>189.52225519287833</v>
      </c>
      <c r="F32" s="27">
        <f>'- 32 -'!F32</f>
        <v>389662</v>
      </c>
      <c r="G32" s="419">
        <f t="shared" si="1"/>
        <v>1.0168261076056719</v>
      </c>
      <c r="I32" s="1">
        <f>+Data!T32</f>
        <v>383214</v>
      </c>
    </row>
    <row r="33" spans="1:9" ht="14.1" customHeight="1">
      <c r="A33" s="328" t="s">
        <v>256</v>
      </c>
      <c r="B33" s="329">
        <f>'- 32 -'!D33</f>
        <v>2640744</v>
      </c>
      <c r="C33" s="329">
        <f>B33/'- 7 -'!E33</f>
        <v>1320.5040504050403</v>
      </c>
      <c r="D33" s="418">
        <f t="shared" si="0"/>
        <v>5.3419049449271254</v>
      </c>
      <c r="E33" s="329">
        <f>I33/'- 7 -'!E33</f>
        <v>247.19721972197217</v>
      </c>
      <c r="F33" s="329">
        <f>'- 32 -'!F33</f>
        <v>486072</v>
      </c>
      <c r="G33" s="418">
        <f t="shared" si="1"/>
        <v>0.9832647240287653</v>
      </c>
      <c r="I33" s="1">
        <f>+Data!T33</f>
        <v>494345</v>
      </c>
    </row>
    <row r="34" spans="1:9" ht="14.1" customHeight="1">
      <c r="A34" s="26" t="s">
        <v>257</v>
      </c>
      <c r="B34" s="27">
        <f>'- 32 -'!D34</f>
        <v>2017878</v>
      </c>
      <c r="C34" s="27">
        <f>B34/'- 7 -'!E34</f>
        <v>1024.3035532994925</v>
      </c>
      <c r="D34" s="419">
        <f t="shared" si="0"/>
        <v>5.2856547876311346</v>
      </c>
      <c r="E34" s="27">
        <f>I34/'- 7 -'!E34</f>
        <v>193.78934010152284</v>
      </c>
      <c r="F34" s="27">
        <f>'- 32 -'!F34</f>
        <v>451823</v>
      </c>
      <c r="G34" s="419">
        <f t="shared" si="1"/>
        <v>1.1835107985278901</v>
      </c>
      <c r="I34" s="1">
        <f>+Data!T34</f>
        <v>381765</v>
      </c>
    </row>
    <row r="35" spans="1:9" ht="14.1" customHeight="1">
      <c r="A35" s="328" t="s">
        <v>258</v>
      </c>
      <c r="B35" s="329">
        <f>'- 32 -'!D35</f>
        <v>18817558</v>
      </c>
      <c r="C35" s="329">
        <f>B35/'- 7 -'!E35</f>
        <v>1209.0826613550937</v>
      </c>
      <c r="D35" s="418">
        <f t="shared" si="0"/>
        <v>7.6986476114730467</v>
      </c>
      <c r="E35" s="329">
        <f>I35/'- 7 -'!E35</f>
        <v>157.05130594018055</v>
      </c>
      <c r="F35" s="329">
        <f>'- 32 -'!F35</f>
        <v>947582</v>
      </c>
      <c r="G35" s="418">
        <f t="shared" si="1"/>
        <v>0.38767516491644943</v>
      </c>
      <c r="I35" s="1">
        <f>+Data!T35</f>
        <v>2444268</v>
      </c>
    </row>
    <row r="36" spans="1:9" ht="14.1" customHeight="1">
      <c r="A36" s="26" t="s">
        <v>259</v>
      </c>
      <c r="B36" s="27">
        <f>'- 32 -'!D36</f>
        <v>2023410</v>
      </c>
      <c r="C36" s="27">
        <f>B36/'- 7 -'!E36</f>
        <v>1243.2626728110599</v>
      </c>
      <c r="D36" s="419">
        <f t="shared" si="0"/>
        <v>6.2906219396558427</v>
      </c>
      <c r="E36" s="27">
        <f>I36/'- 7 -'!E36</f>
        <v>197.63748079877112</v>
      </c>
      <c r="F36" s="27">
        <f>'- 32 -'!F36</f>
        <v>175247</v>
      </c>
      <c r="G36" s="419">
        <f t="shared" si="1"/>
        <v>0.54482908706533395</v>
      </c>
      <c r="I36" s="1">
        <f>+Data!T36</f>
        <v>321655</v>
      </c>
    </row>
    <row r="37" spans="1:9" ht="14.1" customHeight="1">
      <c r="A37" s="328" t="s">
        <v>260</v>
      </c>
      <c r="B37" s="329">
        <f>'- 32 -'!D37</f>
        <v>3617379</v>
      </c>
      <c r="C37" s="329">
        <f>B37/'- 7 -'!E37</f>
        <v>924.3334610962055</v>
      </c>
      <c r="D37" s="418">
        <f t="shared" si="0"/>
        <v>6.2591450595655225</v>
      </c>
      <c r="E37" s="329">
        <f>I37/'- 7 -'!E37</f>
        <v>147.67727098505173</v>
      </c>
      <c r="F37" s="329">
        <f>'- 32 -'!F37</f>
        <v>384728</v>
      </c>
      <c r="G37" s="418">
        <f t="shared" si="1"/>
        <v>0.66569423897151059</v>
      </c>
      <c r="I37" s="1">
        <f>+Data!T37</f>
        <v>577935</v>
      </c>
    </row>
    <row r="38" spans="1:9" ht="14.1" customHeight="1">
      <c r="A38" s="26" t="s">
        <v>261</v>
      </c>
      <c r="B38" s="27">
        <f>'- 32 -'!D38</f>
        <v>8954005</v>
      </c>
      <c r="C38" s="27">
        <f>B38/'- 7 -'!E38</f>
        <v>856.69501903978255</v>
      </c>
      <c r="D38" s="419">
        <f t="shared" si="0"/>
        <v>7.4034856060411878</v>
      </c>
      <c r="E38" s="27">
        <f>I38/'- 7 -'!E38</f>
        <v>115.71509213723951</v>
      </c>
      <c r="F38" s="27">
        <f>'- 32 -'!F38</f>
        <v>504071</v>
      </c>
      <c r="G38" s="419">
        <f t="shared" si="1"/>
        <v>0.41678359493017791</v>
      </c>
      <c r="I38" s="1">
        <f>+Data!T38</f>
        <v>1209431</v>
      </c>
    </row>
    <row r="39" spans="1:9" ht="14.1" customHeight="1">
      <c r="A39" s="328" t="s">
        <v>262</v>
      </c>
      <c r="B39" s="329">
        <f>'- 32 -'!D39</f>
        <v>1994623</v>
      </c>
      <c r="C39" s="329">
        <f>B39/'- 7 -'!E39</f>
        <v>1282.3034394085503</v>
      </c>
      <c r="D39" s="418">
        <f t="shared" si="0"/>
        <v>6.3792620405343605</v>
      </c>
      <c r="E39" s="329">
        <f>I39/'- 7 -'!E39</f>
        <v>201.01125040180005</v>
      </c>
      <c r="F39" s="329">
        <f>'- 32 -'!F39</f>
        <v>142884</v>
      </c>
      <c r="G39" s="418">
        <f t="shared" si="1"/>
        <v>0.45697581818705163</v>
      </c>
      <c r="I39" s="1">
        <f>+Data!T39</f>
        <v>312673</v>
      </c>
    </row>
    <row r="40" spans="1:9" ht="14.1" customHeight="1">
      <c r="A40" s="26" t="s">
        <v>263</v>
      </c>
      <c r="B40" s="27">
        <f>'- 32 -'!D40</f>
        <v>7610645</v>
      </c>
      <c r="C40" s="27">
        <f>B40/'- 7 -'!E40</f>
        <v>958.07909462274904</v>
      </c>
      <c r="D40" s="419">
        <f t="shared" si="0"/>
        <v>5.3592128751043058</v>
      </c>
      <c r="E40" s="27">
        <f>I40/'- 7 -'!E40</f>
        <v>178.7723527597515</v>
      </c>
      <c r="F40" s="27">
        <f>'- 32 -'!F40</f>
        <v>1104374</v>
      </c>
      <c r="G40" s="419">
        <f t="shared" si="1"/>
        <v>0.77767066519729178</v>
      </c>
      <c r="I40" s="1">
        <f>+Data!T40</f>
        <v>1420105</v>
      </c>
    </row>
    <row r="41" spans="1:9" ht="14.1" customHeight="1">
      <c r="A41" s="328" t="s">
        <v>264</v>
      </c>
      <c r="B41" s="329">
        <f>'- 32 -'!D41</f>
        <v>4700985</v>
      </c>
      <c r="C41" s="329">
        <f>B41/'- 7 -'!E41</f>
        <v>1066.7086453369639</v>
      </c>
      <c r="D41" s="418">
        <f t="shared" si="0"/>
        <v>6.4450027419797093</v>
      </c>
      <c r="E41" s="329">
        <f>I41/'- 7 -'!E41</f>
        <v>165.50941683685048</v>
      </c>
      <c r="F41" s="329">
        <f>'- 32 -'!F41</f>
        <v>429800</v>
      </c>
      <c r="G41" s="418">
        <f t="shared" si="1"/>
        <v>0.58925143953934744</v>
      </c>
      <c r="I41" s="1">
        <f>+Data!T41</f>
        <v>729400</v>
      </c>
    </row>
    <row r="42" spans="1:9" ht="14.1" customHeight="1">
      <c r="A42" s="26" t="s">
        <v>265</v>
      </c>
      <c r="B42" s="27">
        <f>'- 32 -'!D42</f>
        <v>1718678</v>
      </c>
      <c r="C42" s="27">
        <f>B42/'- 7 -'!E42</f>
        <v>1184.2334458761111</v>
      </c>
      <c r="D42" s="419">
        <f t="shared" si="0"/>
        <v>5.3272353628561069</v>
      </c>
      <c r="E42" s="27">
        <f>I42/'- 7 -'!E42</f>
        <v>222.29793977812997</v>
      </c>
      <c r="F42" s="27">
        <f>'- 32 -'!F42</f>
        <v>241590</v>
      </c>
      <c r="G42" s="419">
        <f t="shared" si="1"/>
        <v>0.74883532070138026</v>
      </c>
      <c r="I42" s="1">
        <f>+Data!T42</f>
        <v>322621</v>
      </c>
    </row>
    <row r="43" spans="1:9" ht="14.1" customHeight="1">
      <c r="A43" s="328" t="s">
        <v>266</v>
      </c>
      <c r="B43" s="329">
        <f>'- 32 -'!D43</f>
        <v>793230</v>
      </c>
      <c r="C43" s="329">
        <f>B43/'- 7 -'!E43</f>
        <v>810.41070698814883</v>
      </c>
      <c r="D43" s="418">
        <f t="shared" si="0"/>
        <v>4.3441330135050764</v>
      </c>
      <c r="E43" s="329">
        <f>I43/'- 7 -'!E43</f>
        <v>186.55292194523906</v>
      </c>
      <c r="F43" s="329">
        <f>'- 32 -'!F43</f>
        <v>141078</v>
      </c>
      <c r="G43" s="418">
        <f t="shared" si="1"/>
        <v>0.77261525317911472</v>
      </c>
      <c r="I43" s="1">
        <f>+Data!T43</f>
        <v>182598</v>
      </c>
    </row>
    <row r="44" spans="1:9" ht="14.1" customHeight="1">
      <c r="A44" s="26" t="s">
        <v>267</v>
      </c>
      <c r="B44" s="27">
        <f>'- 32 -'!D44</f>
        <v>867892</v>
      </c>
      <c r="C44" s="27">
        <f>B44/'- 7 -'!E44</f>
        <v>1237.1945830363507</v>
      </c>
      <c r="D44" s="419">
        <f t="shared" si="0"/>
        <v>4.8456620902588954</v>
      </c>
      <c r="E44" s="27">
        <f>I44/'- 7 -'!E44</f>
        <v>255.32002851033499</v>
      </c>
      <c r="F44" s="27">
        <f>'- 32 -'!F44</f>
        <v>68313</v>
      </c>
      <c r="G44" s="419">
        <f t="shared" si="1"/>
        <v>0.38140887849162791</v>
      </c>
      <c r="I44" s="1">
        <f>+Data!T44</f>
        <v>179107</v>
      </c>
    </row>
    <row r="45" spans="1:9" ht="14.1" customHeight="1">
      <c r="A45" s="328" t="s">
        <v>268</v>
      </c>
      <c r="B45" s="329">
        <f>'- 32 -'!D45</f>
        <v>1423296</v>
      </c>
      <c r="C45" s="329">
        <f>B45/'- 7 -'!E45</f>
        <v>879.93570324574966</v>
      </c>
      <c r="D45" s="418">
        <f t="shared" si="0"/>
        <v>6.8750289821469979</v>
      </c>
      <c r="E45" s="329">
        <f>I45/'- 7 -'!E45</f>
        <v>127.99010819165379</v>
      </c>
      <c r="F45" s="329">
        <f>'- 32 -'!F45</f>
        <v>139928</v>
      </c>
      <c r="G45" s="418">
        <f t="shared" si="1"/>
        <v>0.6759023108431873</v>
      </c>
      <c r="I45" s="1">
        <f>+Data!T45</f>
        <v>207024</v>
      </c>
    </row>
    <row r="46" spans="1:9" ht="14.1" customHeight="1">
      <c r="A46" s="26" t="s">
        <v>269</v>
      </c>
      <c r="B46" s="27">
        <f>'- 32 -'!D46</f>
        <v>34973034</v>
      </c>
      <c r="C46" s="27">
        <f>B46/'- 7 -'!E46</f>
        <v>1171.6887337344717</v>
      </c>
      <c r="D46" s="419">
        <f t="shared" si="0"/>
        <v>7.0211185436207115</v>
      </c>
      <c r="E46" s="27">
        <f>I46/'- 7 -'!E46</f>
        <v>166.88063681805392</v>
      </c>
      <c r="F46" s="27">
        <f>'- 32 -'!F46</f>
        <v>5249078</v>
      </c>
      <c r="G46" s="419">
        <f t="shared" si="1"/>
        <v>1.0537947288963125</v>
      </c>
      <c r="I46" s="1">
        <f>+Data!T46</f>
        <v>4981120</v>
      </c>
    </row>
    <row r="47" spans="1:9" ht="5.0999999999999996" customHeight="1">
      <c r="A47"/>
      <c r="B47" s="29"/>
      <c r="C47" s="424"/>
      <c r="D47" s="421"/>
      <c r="E47" s="424"/>
      <c r="F47" s="424"/>
      <c r="G47" s="421"/>
      <c r="I47"/>
    </row>
    <row r="48" spans="1:9" ht="14.1" customHeight="1">
      <c r="A48" s="330" t="s">
        <v>270</v>
      </c>
      <c r="B48" s="331">
        <f>SUM(B11:B46)</f>
        <v>194021787</v>
      </c>
      <c r="C48" s="331">
        <f>B48/'- 7 -'!E48</f>
        <v>1127.8805477425935</v>
      </c>
      <c r="D48" s="422">
        <f>B48/I48</f>
        <v>6.7987441550593894</v>
      </c>
      <c r="E48" s="331">
        <f>I48/'- 7 -'!E48</f>
        <v>165.89542451060819</v>
      </c>
      <c r="F48" s="331">
        <f>SUM(F11:F46)</f>
        <v>20176726</v>
      </c>
      <c r="G48" s="422">
        <f t="shared" si="1"/>
        <v>0.70701543410037149</v>
      </c>
      <c r="I48" s="1">
        <f>+Data!T48</f>
        <v>28537886.199999999</v>
      </c>
    </row>
    <row r="49" spans="1:9" ht="5.0999999999999996" customHeight="1">
      <c r="A49" s="28" t="s">
        <v>16</v>
      </c>
      <c r="B49" s="29"/>
      <c r="C49" s="424"/>
      <c r="D49" s="421"/>
      <c r="E49" s="424"/>
      <c r="F49" s="424"/>
      <c r="G49" s="421"/>
    </row>
    <row r="50" spans="1:9" ht="14.1" customHeight="1">
      <c r="A50" s="26" t="s">
        <v>271</v>
      </c>
      <c r="B50" s="27">
        <f>'- 32 -'!D50</f>
        <v>414193</v>
      </c>
      <c r="C50" s="27">
        <f>B50/'- 7 -'!E50</f>
        <v>2346.7025495750709</v>
      </c>
      <c r="D50" s="419">
        <f>B50/I50</f>
        <v>5.7105651376652737</v>
      </c>
      <c r="E50" s="27">
        <f>I50/'- 7 -'!E50</f>
        <v>410.94050991501416</v>
      </c>
      <c r="F50" s="27">
        <f>'- 32 -'!F50</f>
        <v>0</v>
      </c>
      <c r="G50" s="419">
        <f>F50/I50</f>
        <v>0</v>
      </c>
      <c r="I50" s="1">
        <f>+Data!T50</f>
        <v>72531</v>
      </c>
    </row>
    <row r="51" spans="1:9" ht="14.1" customHeight="1">
      <c r="A51" s="328" t="s">
        <v>272</v>
      </c>
      <c r="B51" s="329">
        <f>'- 32 -'!D51</f>
        <v>1703611</v>
      </c>
      <c r="C51" s="329">
        <f>B51/'- 7 -'!E51</f>
        <v>2356.6343892654586</v>
      </c>
      <c r="D51" s="420" t="s">
        <v>195</v>
      </c>
      <c r="E51" s="329">
        <f>I51/'- 7 -'!E51</f>
        <v>0</v>
      </c>
      <c r="F51" s="329">
        <f>'- 32 -'!F51</f>
        <v>52341</v>
      </c>
      <c r="G51" s="420" t="s">
        <v>195</v>
      </c>
    </row>
    <row r="52" spans="1:9" ht="50.1" customHeight="1">
      <c r="A52" s="30"/>
      <c r="B52" s="30"/>
      <c r="C52" s="30"/>
      <c r="D52" s="30"/>
      <c r="E52" s="30"/>
      <c r="F52" s="30"/>
      <c r="G52" s="30"/>
      <c r="I52" s="253"/>
    </row>
    <row r="53" spans="1:9" ht="15" customHeight="1">
      <c r="A53" s="151" t="s">
        <v>742</v>
      </c>
    </row>
    <row r="54" spans="1:9" ht="12" customHeight="1">
      <c r="A54" s="32" t="s">
        <v>614</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sheetPr codeName="Sheet52">
    <pageSetUpPr fitToPage="1"/>
  </sheetPr>
  <dimension ref="A1:J56"/>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9.83203125" style="1" customWidth="1"/>
    <col min="5" max="5" width="14.83203125" style="1" customWidth="1"/>
    <col min="6" max="6" width="8.83203125" style="1" customWidth="1"/>
    <col min="7" max="7" width="9.83203125" style="1" customWidth="1"/>
    <col min="8" max="8" width="14.83203125" style="1" customWidth="1"/>
    <col min="9" max="9" width="8.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528</v>
      </c>
      <c r="C2" s="9"/>
      <c r="D2" s="9"/>
      <c r="E2" s="9"/>
      <c r="F2" s="9"/>
      <c r="G2" s="9"/>
      <c r="H2" s="82"/>
      <c r="I2" s="173"/>
      <c r="J2" s="92"/>
    </row>
    <row r="3" spans="1:10" ht="15.95" customHeight="1">
      <c r="A3" s="697"/>
      <c r="B3" s="10" t="str">
        <f>OPYEAR</f>
        <v>OPERATING FUND 2013/2014 ACTUAL</v>
      </c>
      <c r="C3" s="11"/>
      <c r="D3" s="11"/>
      <c r="E3" s="11"/>
      <c r="F3" s="11"/>
      <c r="G3" s="11"/>
      <c r="H3" s="84"/>
      <c r="I3" s="84"/>
      <c r="J3" s="74"/>
    </row>
    <row r="4" spans="1:10" ht="15.95" customHeight="1">
      <c r="B4" s="7"/>
      <c r="C4" s="7"/>
      <c r="D4" s="7"/>
      <c r="E4" s="7"/>
      <c r="F4" s="7"/>
      <c r="G4" s="7"/>
      <c r="H4" s="7"/>
      <c r="I4" s="7"/>
      <c r="J4" s="7"/>
    </row>
    <row r="5" spans="1:10" ht="14.1" customHeight="1"/>
    <row r="6" spans="1:10" ht="18" customHeight="1">
      <c r="B6" s="477" t="s">
        <v>480</v>
      </c>
      <c r="C6" s="175"/>
      <c r="D6" s="176"/>
      <c r="E6" s="176"/>
      <c r="F6" s="176"/>
      <c r="G6" s="176"/>
      <c r="H6" s="176"/>
      <c r="I6" s="176"/>
      <c r="J6" s="177"/>
    </row>
    <row r="7" spans="1:10" ht="15.95" customHeight="1">
      <c r="B7" s="342" t="s">
        <v>165</v>
      </c>
      <c r="C7" s="343"/>
      <c r="D7" s="344"/>
      <c r="E7" s="342" t="s">
        <v>152</v>
      </c>
      <c r="F7" s="343"/>
      <c r="G7" s="344"/>
      <c r="H7" s="342" t="s">
        <v>505</v>
      </c>
      <c r="I7" s="343"/>
      <c r="J7" s="344"/>
    </row>
    <row r="8" spans="1:10" ht="15.95" customHeight="1">
      <c r="A8" s="75"/>
      <c r="B8" s="157"/>
      <c r="C8" s="77"/>
      <c r="D8" s="19" t="s">
        <v>73</v>
      </c>
      <c r="E8" s="157"/>
      <c r="F8" s="155"/>
      <c r="G8" s="19" t="s">
        <v>73</v>
      </c>
      <c r="H8" s="157"/>
      <c r="I8" s="155"/>
      <c r="J8" s="19" t="s">
        <v>73</v>
      </c>
    </row>
    <row r="9" spans="1:10" ht="15.95" customHeight="1">
      <c r="A9" s="42" t="s">
        <v>93</v>
      </c>
      <c r="B9" s="87" t="s">
        <v>94</v>
      </c>
      <c r="C9" s="87" t="s">
        <v>95</v>
      </c>
      <c r="D9" s="87" t="s">
        <v>96</v>
      </c>
      <c r="E9" s="87" t="s">
        <v>94</v>
      </c>
      <c r="F9" s="87" t="s">
        <v>95</v>
      </c>
      <c r="G9" s="87" t="s">
        <v>96</v>
      </c>
      <c r="H9" s="87" t="s">
        <v>94</v>
      </c>
      <c r="I9" s="87" t="s">
        <v>95</v>
      </c>
      <c r="J9" s="87" t="s">
        <v>96</v>
      </c>
    </row>
    <row r="10" spans="1:10" ht="5.0999999999999996" customHeight="1">
      <c r="A10" s="5"/>
    </row>
    <row r="11" spans="1:10" ht="14.1" customHeight="1">
      <c r="A11" s="328" t="s">
        <v>235</v>
      </c>
      <c r="B11" s="329">
        <v>126872</v>
      </c>
      <c r="C11" s="335">
        <f>B11/'- 3 -'!$D11*100</f>
        <v>0.76148738764006674</v>
      </c>
      <c r="D11" s="329">
        <f>B11/'- 7 -'!$E11</f>
        <v>85.550910316925155</v>
      </c>
      <c r="E11" s="329">
        <v>146129</v>
      </c>
      <c r="F11" s="335">
        <f>E11/'- 3 -'!$D11*100</f>
        <v>0.87706815111652148</v>
      </c>
      <c r="G11" s="329">
        <f>E11/'- 7 -'!$E11</f>
        <v>98.536075522589343</v>
      </c>
      <c r="H11" s="329">
        <v>228805</v>
      </c>
      <c r="I11" s="335">
        <f>H11/'- 3 -'!$D11*100</f>
        <v>1.3732905741927728</v>
      </c>
      <c r="J11" s="329">
        <f>H11/'- 7 -'!$E11</f>
        <v>154.28523263654753</v>
      </c>
    </row>
    <row r="12" spans="1:10" ht="14.1" customHeight="1">
      <c r="A12" s="26" t="s">
        <v>236</v>
      </c>
      <c r="B12" s="27">
        <v>278866</v>
      </c>
      <c r="C12" s="79">
        <f>B12/'- 3 -'!$D12*100</f>
        <v>0.93658181792779061</v>
      </c>
      <c r="D12" s="27">
        <f>B12/'- 7 -'!$E12</f>
        <v>127.44081893793984</v>
      </c>
      <c r="E12" s="27">
        <v>176007</v>
      </c>
      <c r="F12" s="79">
        <f>E12/'- 3 -'!$D12*100</f>
        <v>0.59112604630186771</v>
      </c>
      <c r="G12" s="27">
        <f>E12/'- 7 -'!$E12</f>
        <v>80.434603783931991</v>
      </c>
      <c r="H12" s="27">
        <v>238359</v>
      </c>
      <c r="I12" s="79">
        <f>H12/'- 3 -'!$D12*100</f>
        <v>0.80053755402039062</v>
      </c>
      <c r="J12" s="27">
        <f>H12/'- 7 -'!$E12</f>
        <v>108.92925692349876</v>
      </c>
    </row>
    <row r="13" spans="1:10" ht="14.1" customHeight="1">
      <c r="A13" s="328" t="s">
        <v>237</v>
      </c>
      <c r="B13" s="329">
        <v>360115</v>
      </c>
      <c r="C13" s="335">
        <f>B13/'- 3 -'!$D13*100</f>
        <v>0.42938001658260705</v>
      </c>
      <c r="D13" s="329">
        <f>B13/'- 7 -'!$E13</f>
        <v>45.011561777388913</v>
      </c>
      <c r="E13" s="329">
        <v>226732</v>
      </c>
      <c r="F13" s="335">
        <f>E13/'- 3 -'!$D13*100</f>
        <v>0.27034194610001705</v>
      </c>
      <c r="G13" s="329">
        <f>E13/'- 7 -'!$E13</f>
        <v>28.339728766952067</v>
      </c>
      <c r="H13" s="329">
        <v>916410</v>
      </c>
      <c r="I13" s="335">
        <f>H13/'- 3 -'!$D13*100</f>
        <v>1.0926735653790229</v>
      </c>
      <c r="J13" s="329">
        <f>H13/'- 7 -'!$E13</f>
        <v>114.54409099431285</v>
      </c>
    </row>
    <row r="14" spans="1:10" ht="14.1" customHeight="1">
      <c r="A14" s="26" t="s">
        <v>636</v>
      </c>
      <c r="B14" s="27">
        <v>323473</v>
      </c>
      <c r="C14" s="79">
        <f>B14/'- 3 -'!$D14*100</f>
        <v>0.44306184825521033</v>
      </c>
      <c r="D14" s="27">
        <f>B14/'- 7 -'!$E14</f>
        <v>62.194385695058642</v>
      </c>
      <c r="E14" s="27">
        <v>909777</v>
      </c>
      <c r="F14" s="79">
        <f>E14/'- 3 -'!$D14*100</f>
        <v>1.2461240323615279</v>
      </c>
      <c r="G14" s="27">
        <f>E14/'- 7 -'!$E14</f>
        <v>174.92347625456642</v>
      </c>
      <c r="H14" s="27">
        <v>650137</v>
      </c>
      <c r="I14" s="79">
        <f>H14/'- 3 -'!$D14*100</f>
        <v>0.89049441789298545</v>
      </c>
      <c r="J14" s="27">
        <f>H14/'- 7 -'!$E14</f>
        <v>125.00230724860604</v>
      </c>
    </row>
    <row r="15" spans="1:10" ht="14.1" customHeight="1">
      <c r="A15" s="328" t="s">
        <v>238</v>
      </c>
      <c r="B15" s="329">
        <v>112469</v>
      </c>
      <c r="C15" s="335">
        <f>B15/'- 3 -'!$D15*100</f>
        <v>0.59272343954035411</v>
      </c>
      <c r="D15" s="329">
        <f>B15/'- 7 -'!$E15</f>
        <v>75.406637613141129</v>
      </c>
      <c r="E15" s="329">
        <v>142268</v>
      </c>
      <c r="F15" s="335">
        <f>E15/'- 3 -'!$D15*100</f>
        <v>0.74976729851360902</v>
      </c>
      <c r="G15" s="329">
        <f>E15/'- 7 -'!$E15</f>
        <v>95.385853167951723</v>
      </c>
      <c r="H15" s="329">
        <v>183797</v>
      </c>
      <c r="I15" s="335">
        <f>H15/'- 3 -'!$D15*100</f>
        <v>0.968629489167668</v>
      </c>
      <c r="J15" s="329">
        <f>H15/'- 7 -'!$E15</f>
        <v>123.22963459604425</v>
      </c>
    </row>
    <row r="16" spans="1:10" ht="14.1" customHeight="1">
      <c r="A16" s="26" t="s">
        <v>239</v>
      </c>
      <c r="B16" s="27">
        <v>106023</v>
      </c>
      <c r="C16" s="79">
        <f>B16/'- 3 -'!$D16*100</f>
        <v>0.8133886644968733</v>
      </c>
      <c r="D16" s="27">
        <f>B16/'- 7 -'!$E16</f>
        <v>110.21101871101871</v>
      </c>
      <c r="E16" s="27">
        <v>58792</v>
      </c>
      <c r="F16" s="79">
        <f>E16/'- 3 -'!$D16*100</f>
        <v>0.4510412491921581</v>
      </c>
      <c r="G16" s="27">
        <f>E16/'- 7 -'!$E16</f>
        <v>61.114345114345113</v>
      </c>
      <c r="H16" s="27">
        <v>113568</v>
      </c>
      <c r="I16" s="79">
        <f>H16/'- 3 -'!$D16*100</f>
        <v>0.87127249605822232</v>
      </c>
      <c r="J16" s="27">
        <f>H16/'- 7 -'!$E16</f>
        <v>118.05405405405405</v>
      </c>
    </row>
    <row r="17" spans="1:10" ht="14.1" customHeight="1">
      <c r="A17" s="328" t="s">
        <v>240</v>
      </c>
      <c r="B17" s="329">
        <v>134124</v>
      </c>
      <c r="C17" s="335">
        <f>B17/'- 3 -'!$D17*100</f>
        <v>0.81759670191375433</v>
      </c>
      <c r="D17" s="329">
        <f>B17/'- 7 -'!$E17</f>
        <v>104.21792267474775</v>
      </c>
      <c r="E17" s="329">
        <v>102603</v>
      </c>
      <c r="F17" s="335">
        <f>E17/'- 3 -'!$D17*100</f>
        <v>0.62545013872578314</v>
      </c>
      <c r="G17" s="329">
        <f>E17/'- 7 -'!$E17</f>
        <v>79.725265576609274</v>
      </c>
      <c r="H17" s="329">
        <v>247644</v>
      </c>
      <c r="I17" s="335">
        <f>H17/'- 3 -'!$D17*100</f>
        <v>1.5095949841097029</v>
      </c>
      <c r="J17" s="329">
        <f>H17/'- 7 -'!$E17</f>
        <v>192.42598821139566</v>
      </c>
    </row>
    <row r="18" spans="1:10" ht="14.1" customHeight="1">
      <c r="A18" s="26" t="s">
        <v>241</v>
      </c>
      <c r="B18" s="27">
        <v>327031</v>
      </c>
      <c r="C18" s="79">
        <f>B18/'- 3 -'!$D18*100</f>
        <v>0.27524713292477737</v>
      </c>
      <c r="D18" s="27">
        <f>B18/'- 7 -'!$E18</f>
        <v>53.913910778462856</v>
      </c>
      <c r="E18" s="27">
        <v>0</v>
      </c>
      <c r="F18" s="79">
        <f>E18/'- 3 -'!$D18*100</f>
        <v>0</v>
      </c>
      <c r="G18" s="27">
        <f>E18/'- 7 -'!$E18</f>
        <v>0</v>
      </c>
      <c r="H18" s="27">
        <v>1648759</v>
      </c>
      <c r="I18" s="79">
        <f>H18/'- 3 -'!$D18*100</f>
        <v>1.3876855332794842</v>
      </c>
      <c r="J18" s="27">
        <f>H18/'- 7 -'!$E18</f>
        <v>271.81229186587092</v>
      </c>
    </row>
    <row r="19" spans="1:10" ht="14.1" customHeight="1">
      <c r="A19" s="328" t="s">
        <v>242</v>
      </c>
      <c r="B19" s="329">
        <v>369001</v>
      </c>
      <c r="C19" s="335">
        <f>B19/'- 3 -'!$D19*100</f>
        <v>0.85218071761828285</v>
      </c>
      <c r="D19" s="329">
        <f>B19/'- 7 -'!$E19</f>
        <v>87.999856911189553</v>
      </c>
      <c r="E19" s="329">
        <v>275632</v>
      </c>
      <c r="F19" s="335">
        <f>E19/'- 3 -'!$D19*100</f>
        <v>0.63655186722681656</v>
      </c>
      <c r="G19" s="329">
        <f>E19/'- 7 -'!$E19</f>
        <v>65.733091672231239</v>
      </c>
      <c r="H19" s="329">
        <v>640035</v>
      </c>
      <c r="I19" s="335">
        <f>H19/'- 3 -'!$D19*100</f>
        <v>1.4781138414281199</v>
      </c>
      <c r="J19" s="329">
        <f>H19/'- 7 -'!$E19</f>
        <v>152.6364113326338</v>
      </c>
    </row>
    <row r="20" spans="1:10" ht="14.1" customHeight="1">
      <c r="A20" s="26" t="s">
        <v>243</v>
      </c>
      <c r="B20" s="27">
        <v>569030</v>
      </c>
      <c r="C20" s="79">
        <f>B20/'- 3 -'!$D20*100</f>
        <v>0.80539929336944194</v>
      </c>
      <c r="D20" s="27">
        <f>B20/'- 7 -'!$E20</f>
        <v>77.114785201246775</v>
      </c>
      <c r="E20" s="27">
        <v>351844</v>
      </c>
      <c r="F20" s="79">
        <f>E20/'- 3 -'!$D20*100</f>
        <v>0.49799643072646077</v>
      </c>
      <c r="G20" s="27">
        <f>E20/'- 7 -'!$E20</f>
        <v>47.681799701856619</v>
      </c>
      <c r="H20" s="27">
        <v>871380</v>
      </c>
      <c r="I20" s="79">
        <f>H20/'- 3 -'!$D20*100</f>
        <v>1.2333424182490631</v>
      </c>
      <c r="J20" s="27">
        <f>H20/'- 7 -'!$E20</f>
        <v>118.08917197452229</v>
      </c>
    </row>
    <row r="21" spans="1:10" ht="14.1" customHeight="1">
      <c r="A21" s="328" t="s">
        <v>244</v>
      </c>
      <c r="B21" s="329">
        <v>429160</v>
      </c>
      <c r="C21" s="335">
        <f>B21/'- 3 -'!$D21*100</f>
        <v>1.2388033291468348</v>
      </c>
      <c r="D21" s="329">
        <f>B21/'- 7 -'!$E21</f>
        <v>158.77173510913801</v>
      </c>
      <c r="E21" s="329">
        <v>169589</v>
      </c>
      <c r="F21" s="335">
        <f>E21/'- 3 -'!$D21*100</f>
        <v>0.48953168465533259</v>
      </c>
      <c r="G21" s="329">
        <f>E21/'- 7 -'!$E21</f>
        <v>62.741028486866448</v>
      </c>
      <c r="H21" s="329">
        <v>674467</v>
      </c>
      <c r="I21" s="335">
        <f>H21/'- 3 -'!$D21*100</f>
        <v>1.9469008411773654</v>
      </c>
      <c r="J21" s="329">
        <f>H21/'- 7 -'!$E21</f>
        <v>249.52534221235663</v>
      </c>
    </row>
    <row r="22" spans="1:10" ht="14.1" customHeight="1">
      <c r="A22" s="26" t="s">
        <v>245</v>
      </c>
      <c r="B22" s="27">
        <v>119465</v>
      </c>
      <c r="C22" s="79">
        <f>B22/'- 3 -'!$D22*100</f>
        <v>0.61996095229406567</v>
      </c>
      <c r="D22" s="27">
        <f>B22/'- 7 -'!$E22</f>
        <v>76.179696467287329</v>
      </c>
      <c r="E22" s="27">
        <v>5984</v>
      </c>
      <c r="F22" s="79">
        <f>E22/'- 3 -'!$D22*100</f>
        <v>3.1053834499876025E-2</v>
      </c>
      <c r="G22" s="27">
        <f>E22/'- 7 -'!$E22</f>
        <v>3.8158398163499552</v>
      </c>
      <c r="H22" s="27">
        <v>129125</v>
      </c>
      <c r="I22" s="79">
        <f>H22/'- 3 -'!$D22*100</f>
        <v>0.67009130678417306</v>
      </c>
      <c r="J22" s="27">
        <f>H22/'- 7 -'!$E22</f>
        <v>82.339625047825535</v>
      </c>
    </row>
    <row r="23" spans="1:10" ht="14.1" customHeight="1">
      <c r="A23" s="328" t="s">
        <v>246</v>
      </c>
      <c r="B23" s="329">
        <v>99151</v>
      </c>
      <c r="C23" s="335">
        <f>B23/'- 3 -'!$D23*100</f>
        <v>0.61084922588040103</v>
      </c>
      <c r="D23" s="329">
        <f>B23/'- 7 -'!$E23</f>
        <v>85.741093047388446</v>
      </c>
      <c r="E23" s="329">
        <v>74387</v>
      </c>
      <c r="F23" s="335">
        <f>E23/'- 3 -'!$D23*100</f>
        <v>0.45828323834923901</v>
      </c>
      <c r="G23" s="329">
        <f>E23/'- 7 -'!$E23</f>
        <v>64.326357661708741</v>
      </c>
      <c r="H23" s="329">
        <v>276261</v>
      </c>
      <c r="I23" s="335">
        <f>H23/'- 3 -'!$D23*100</f>
        <v>1.7019880585263432</v>
      </c>
      <c r="J23" s="329">
        <f>H23/'- 7 -'!$E23</f>
        <v>238.897440332065</v>
      </c>
    </row>
    <row r="24" spans="1:10" ht="14.1" customHeight="1">
      <c r="A24" s="26" t="s">
        <v>247</v>
      </c>
      <c r="B24" s="27">
        <v>419815</v>
      </c>
      <c r="C24" s="79">
        <f>B24/'- 3 -'!$D24*100</f>
        <v>0.80376325434449347</v>
      </c>
      <c r="D24" s="27">
        <f>B24/'- 7 -'!$E24</f>
        <v>101.80048012803415</v>
      </c>
      <c r="E24" s="27">
        <v>368514</v>
      </c>
      <c r="F24" s="79">
        <f>E24/'- 3 -'!$D24*100</f>
        <v>0.70554413708778063</v>
      </c>
      <c r="G24" s="27">
        <f>E24/'- 7 -'!$E24</f>
        <v>89.360556754528488</v>
      </c>
      <c r="H24" s="27">
        <v>901819</v>
      </c>
      <c r="I24" s="79">
        <f>H24/'- 3 -'!$D24*100</f>
        <v>1.7265914135266645</v>
      </c>
      <c r="J24" s="27">
        <f>H24/'- 7 -'!$E24</f>
        <v>218.6811028395451</v>
      </c>
    </row>
    <row r="25" spans="1:10" ht="14.1" customHeight="1">
      <c r="A25" s="328" t="s">
        <v>248</v>
      </c>
      <c r="B25" s="329">
        <v>970067</v>
      </c>
      <c r="C25" s="335">
        <f>B25/'- 3 -'!$D25*100</f>
        <v>0.62947994511910987</v>
      </c>
      <c r="D25" s="329">
        <f>B25/'- 7 -'!$E25</f>
        <v>70.167594936708866</v>
      </c>
      <c r="E25" s="329">
        <v>1176150</v>
      </c>
      <c r="F25" s="335">
        <f>E25/'- 3 -'!$D25*100</f>
        <v>0.76320794074207354</v>
      </c>
      <c r="G25" s="329">
        <f>E25/'- 7 -'!$E25</f>
        <v>85.074141048824586</v>
      </c>
      <c r="H25" s="329">
        <v>1267357</v>
      </c>
      <c r="I25" s="335">
        <f>H25/'- 3 -'!$D25*100</f>
        <v>0.82239248918509722</v>
      </c>
      <c r="J25" s="329">
        <f>H25/'- 7 -'!$E25</f>
        <v>91.671392405063287</v>
      </c>
    </row>
    <row r="26" spans="1:10" ht="14.1" customHeight="1">
      <c r="A26" s="26" t="s">
        <v>249</v>
      </c>
      <c r="B26" s="27">
        <v>263546</v>
      </c>
      <c r="C26" s="79">
        <f>B26/'- 3 -'!$D26*100</f>
        <v>0.70092254296058165</v>
      </c>
      <c r="D26" s="27">
        <f>B26/'- 7 -'!$E26</f>
        <v>84.578305519897299</v>
      </c>
      <c r="E26" s="27">
        <v>381633</v>
      </c>
      <c r="F26" s="79">
        <f>E26/'- 3 -'!$D26*100</f>
        <v>1.0149847572631558</v>
      </c>
      <c r="G26" s="27">
        <f>E26/'- 7 -'!$E26</f>
        <v>122.47528883183568</v>
      </c>
      <c r="H26" s="27">
        <v>542288</v>
      </c>
      <c r="I26" s="79">
        <f>H26/'- 3 -'!$D26*100</f>
        <v>1.4422601138966551</v>
      </c>
      <c r="J26" s="27">
        <f>H26/'- 7 -'!$E26</f>
        <v>174.03337612323492</v>
      </c>
    </row>
    <row r="27" spans="1:10" ht="14.1" customHeight="1">
      <c r="A27" s="328" t="s">
        <v>250</v>
      </c>
      <c r="B27" s="329">
        <v>242699</v>
      </c>
      <c r="C27" s="335">
        <f>B27/'- 3 -'!$D27*100</f>
        <v>0.65960700360393687</v>
      </c>
      <c r="D27" s="329">
        <f>B27/'- 7 -'!$E27</f>
        <v>87.43704290809525</v>
      </c>
      <c r="E27" s="329">
        <v>137342</v>
      </c>
      <c r="F27" s="335">
        <f>E27/'- 3 -'!$D27*100</f>
        <v>0.37326789599039095</v>
      </c>
      <c r="G27" s="329">
        <f>E27/'- 7 -'!$E27</f>
        <v>49.480131138091288</v>
      </c>
      <c r="H27" s="329">
        <v>246354</v>
      </c>
      <c r="I27" s="335">
        <f>H27/'- 3 -'!$D27*100</f>
        <v>0.66954055750474561</v>
      </c>
      <c r="J27" s="329">
        <f>H27/'- 7 -'!$E27</f>
        <v>88.753827863241696</v>
      </c>
    </row>
    <row r="28" spans="1:10" ht="14.1" customHeight="1">
      <c r="A28" s="26" t="s">
        <v>251</v>
      </c>
      <c r="B28" s="27">
        <v>151857</v>
      </c>
      <c r="C28" s="79">
        <f>B28/'- 3 -'!$D28*100</f>
        <v>0.56258220925500479</v>
      </c>
      <c r="D28" s="27">
        <f>B28/'- 7 -'!$E28</f>
        <v>75.607169529499629</v>
      </c>
      <c r="E28" s="27">
        <v>198237</v>
      </c>
      <c r="F28" s="79">
        <f>E28/'- 3 -'!$D28*100</f>
        <v>0.73440545655507727</v>
      </c>
      <c r="G28" s="27">
        <f>E28/'- 7 -'!$E28</f>
        <v>98.699029126213588</v>
      </c>
      <c r="H28" s="27">
        <v>378567</v>
      </c>
      <c r="I28" s="79">
        <f>H28/'- 3 -'!$D28*100</f>
        <v>1.4024711354171315</v>
      </c>
      <c r="J28" s="27">
        <f>H28/'- 7 -'!$E28</f>
        <v>188.4824495892457</v>
      </c>
    </row>
    <row r="29" spans="1:10" ht="14.1" customHeight="1">
      <c r="A29" s="328" t="s">
        <v>252</v>
      </c>
      <c r="B29" s="329">
        <v>1110162</v>
      </c>
      <c r="C29" s="335">
        <f>B29/'- 3 -'!$D29*100</f>
        <v>0.78859456322935284</v>
      </c>
      <c r="D29" s="329">
        <f>B29/'- 7 -'!$E29</f>
        <v>90.976751046899452</v>
      </c>
      <c r="E29" s="329">
        <v>555330</v>
      </c>
      <c r="F29" s="335">
        <f>E29/'- 3 -'!$D29*100</f>
        <v>0.39447415674303077</v>
      </c>
      <c r="G29" s="329">
        <f>E29/'- 7 -'!$E29</f>
        <v>45.508780843583793</v>
      </c>
      <c r="H29" s="329">
        <v>731983</v>
      </c>
      <c r="I29" s="335">
        <f>H29/'- 3 -'!$D29*100</f>
        <v>0.51995818103692193</v>
      </c>
      <c r="J29" s="329">
        <f>H29/'- 7 -'!$E29</f>
        <v>59.985331115244982</v>
      </c>
    </row>
    <row r="30" spans="1:10" ht="14.1" customHeight="1">
      <c r="A30" s="26" t="s">
        <v>253</v>
      </c>
      <c r="B30" s="27">
        <v>157588</v>
      </c>
      <c r="C30" s="79">
        <f>B30/'- 3 -'!$D30*100</f>
        <v>1.1714124749615675</v>
      </c>
      <c r="D30" s="27">
        <f>B30/'- 7 -'!$E30</f>
        <v>148.7324688072182</v>
      </c>
      <c r="E30" s="27">
        <v>107774</v>
      </c>
      <c r="F30" s="79">
        <f>E30/'- 3 -'!$D30*100</f>
        <v>0.80112577148328534</v>
      </c>
      <c r="G30" s="27">
        <f>E30/'- 7 -'!$E30</f>
        <v>101.71772656058288</v>
      </c>
      <c r="H30" s="27">
        <v>144037</v>
      </c>
      <c r="I30" s="79">
        <f>H30/'- 3 -'!$D30*100</f>
        <v>1.0706826576645385</v>
      </c>
      <c r="J30" s="27">
        <f>H30/'- 7 -'!$E30</f>
        <v>135.94295637729579</v>
      </c>
    </row>
    <row r="31" spans="1:10" ht="14.1" customHeight="1">
      <c r="A31" s="328" t="s">
        <v>254</v>
      </c>
      <c r="B31" s="329">
        <v>221329</v>
      </c>
      <c r="C31" s="335">
        <f>B31/'- 3 -'!$D31*100</f>
        <v>0.65656513518663939</v>
      </c>
      <c r="D31" s="329">
        <f>B31/'- 7 -'!$E31</f>
        <v>69.567499607103571</v>
      </c>
      <c r="E31" s="329">
        <v>151203</v>
      </c>
      <c r="F31" s="335">
        <f>E31/'- 3 -'!$D31*100</f>
        <v>0.448538682846014</v>
      </c>
      <c r="G31" s="329">
        <f>E31/'- 7 -'!$E31</f>
        <v>47.525695426685523</v>
      </c>
      <c r="H31" s="329">
        <v>202882</v>
      </c>
      <c r="I31" s="335">
        <f>H31/'- 3 -'!$D31*100</f>
        <v>0.60184272172618936</v>
      </c>
      <c r="J31" s="329">
        <f>H31/'- 7 -'!$E31</f>
        <v>63.769291214835768</v>
      </c>
    </row>
    <row r="32" spans="1:10" ht="14.1" customHeight="1">
      <c r="A32" s="26" t="s">
        <v>255</v>
      </c>
      <c r="B32" s="27">
        <v>258697</v>
      </c>
      <c r="C32" s="79">
        <f>B32/'- 3 -'!$D32*100</f>
        <v>0.99394199353342372</v>
      </c>
      <c r="D32" s="27">
        <f>B32/'- 7 -'!$E32</f>
        <v>127.94114737883284</v>
      </c>
      <c r="E32" s="27">
        <v>131547</v>
      </c>
      <c r="F32" s="79">
        <f>E32/'- 3 -'!$D32*100</f>
        <v>0.50541787273660421</v>
      </c>
      <c r="G32" s="27">
        <f>E32/'- 7 -'!$E32</f>
        <v>65.057863501483681</v>
      </c>
      <c r="H32" s="27">
        <v>232254</v>
      </c>
      <c r="I32" s="79">
        <f>H32/'- 3 -'!$D32*100</f>
        <v>0.89234511326421162</v>
      </c>
      <c r="J32" s="27">
        <f>H32/'- 7 -'!$E32</f>
        <v>114.86350148367953</v>
      </c>
    </row>
    <row r="33" spans="1:10" ht="14.1" customHeight="1">
      <c r="A33" s="328" t="s">
        <v>256</v>
      </c>
      <c r="B33" s="329">
        <v>266135</v>
      </c>
      <c r="C33" s="335">
        <f>B33/'- 3 -'!$D33*100</f>
        <v>1.0165344066158253</v>
      </c>
      <c r="D33" s="329">
        <f>B33/'- 7 -'!$E33</f>
        <v>133.08080808080805</v>
      </c>
      <c r="E33" s="329">
        <v>220690</v>
      </c>
      <c r="F33" s="335">
        <f>E33/'- 3 -'!$D33*100</f>
        <v>0.84295180339318942</v>
      </c>
      <c r="G33" s="329">
        <f>E33/'- 7 -'!$E33</f>
        <v>110.35603560356034</v>
      </c>
      <c r="H33" s="329">
        <v>450095</v>
      </c>
      <c r="I33" s="335">
        <f>H33/'- 3 -'!$D33*100</f>
        <v>1.7191915897786834</v>
      </c>
      <c r="J33" s="329">
        <f>H33/'- 7 -'!$E33</f>
        <v>225.07000700070006</v>
      </c>
    </row>
    <row r="34" spans="1:10" ht="14.1" customHeight="1">
      <c r="A34" s="26" t="s">
        <v>257</v>
      </c>
      <c r="B34" s="27">
        <v>121932</v>
      </c>
      <c r="C34" s="79">
        <f>B34/'- 3 -'!$D34*100</f>
        <v>0.4833797286481617</v>
      </c>
      <c r="D34" s="27">
        <f>B34/'- 7 -'!$E34</f>
        <v>61.894416243654824</v>
      </c>
      <c r="E34" s="27">
        <v>139067</v>
      </c>
      <c r="F34" s="79">
        <f>E34/'- 3 -'!$D34*100</f>
        <v>0.55130866978245174</v>
      </c>
      <c r="G34" s="27">
        <f>E34/'- 7 -'!$E34</f>
        <v>70.592385786802026</v>
      </c>
      <c r="H34" s="27">
        <v>407833</v>
      </c>
      <c r="I34" s="79">
        <f>H34/'- 3 -'!$D34*100</f>
        <v>1.6167880857671961</v>
      </c>
      <c r="J34" s="27">
        <f>H34/'- 7 -'!$E34</f>
        <v>207.02182741116752</v>
      </c>
    </row>
    <row r="35" spans="1:10" ht="14.1" customHeight="1">
      <c r="A35" s="328" t="s">
        <v>258</v>
      </c>
      <c r="B35" s="329">
        <v>591767</v>
      </c>
      <c r="C35" s="335">
        <f>B35/'- 3 -'!$D35*100</f>
        <v>0.34542738869281897</v>
      </c>
      <c r="D35" s="329">
        <f>B35/'- 7 -'!$E35</f>
        <v>38.02274552639188</v>
      </c>
      <c r="E35" s="329">
        <v>589811</v>
      </c>
      <c r="F35" s="335">
        <f>E35/'- 3 -'!$D35*100</f>
        <v>0.3442856285536372</v>
      </c>
      <c r="G35" s="329">
        <f>E35/'- 7 -'!$E35</f>
        <v>37.897066855141837</v>
      </c>
      <c r="H35" s="329">
        <v>1029312</v>
      </c>
      <c r="I35" s="335">
        <f>H35/'- 3 -'!$D35*100</f>
        <v>0.60083201041995049</v>
      </c>
      <c r="J35" s="329">
        <f>H35/'- 7 -'!$E35</f>
        <v>66.136280399653032</v>
      </c>
    </row>
    <row r="36" spans="1:10" ht="14.1" customHeight="1">
      <c r="A36" s="26" t="s">
        <v>259</v>
      </c>
      <c r="B36" s="27">
        <v>153151</v>
      </c>
      <c r="C36" s="79">
        <f>B36/'- 3 -'!$D36*100</f>
        <v>0.71589298220044106</v>
      </c>
      <c r="D36" s="27">
        <f>B36/'- 7 -'!$E36</f>
        <v>94.101996927803384</v>
      </c>
      <c r="E36" s="27">
        <v>261238</v>
      </c>
      <c r="F36" s="79">
        <f>E36/'- 3 -'!$D36*100</f>
        <v>1.221137641178176</v>
      </c>
      <c r="G36" s="27">
        <f>E36/'- 7 -'!$E36</f>
        <v>160.51490015360983</v>
      </c>
      <c r="H36" s="27">
        <v>411828</v>
      </c>
      <c r="I36" s="79">
        <f>H36/'- 3 -'!$D36*100</f>
        <v>1.9250594189632666</v>
      </c>
      <c r="J36" s="27">
        <f>H36/'- 7 -'!$E36</f>
        <v>253.04331797235022</v>
      </c>
    </row>
    <row r="37" spans="1:10" ht="14.1" customHeight="1">
      <c r="A37" s="328" t="s">
        <v>260</v>
      </c>
      <c r="B37" s="329">
        <v>210855</v>
      </c>
      <c r="C37" s="335">
        <f>B37/'- 3 -'!$D37*100</f>
        <v>0.49768677321545168</v>
      </c>
      <c r="D37" s="329">
        <f>B37/'- 7 -'!$E37</f>
        <v>53.878880797240321</v>
      </c>
      <c r="E37" s="329">
        <v>315199</v>
      </c>
      <c r="F37" s="335">
        <f>E37/'- 3 -'!$D37*100</f>
        <v>0.74397274539725</v>
      </c>
      <c r="G37" s="329">
        <f>E37/'- 7 -'!$E37</f>
        <v>80.541459051999496</v>
      </c>
      <c r="H37" s="329">
        <v>456507</v>
      </c>
      <c r="I37" s="335">
        <f>H37/'- 3 -'!$D37*100</f>
        <v>1.0775058489495919</v>
      </c>
      <c r="J37" s="329">
        <f>H37/'- 7 -'!$E37</f>
        <v>116.6492909160598</v>
      </c>
    </row>
    <row r="38" spans="1:10" ht="14.1" customHeight="1">
      <c r="A38" s="26" t="s">
        <v>261</v>
      </c>
      <c r="B38" s="27">
        <v>240562</v>
      </c>
      <c r="C38" s="79">
        <f>B38/'- 3 -'!$D38*100</f>
        <v>0.20912765786429338</v>
      </c>
      <c r="D38" s="27">
        <f>B38/'- 7 -'!$E38</f>
        <v>23.016322547312424</v>
      </c>
      <c r="E38" s="27">
        <v>575901</v>
      </c>
      <c r="F38" s="79">
        <f>E38/'- 3 -'!$D38*100</f>
        <v>0.50064776353582208</v>
      </c>
      <c r="G38" s="27">
        <f>E38/'- 7 -'!$E38</f>
        <v>55.100652519183292</v>
      </c>
      <c r="H38" s="27">
        <v>778235</v>
      </c>
      <c r="I38" s="79">
        <f>H38/'- 3 -'!$D38*100</f>
        <v>0.6765426909404576</v>
      </c>
      <c r="J38" s="27">
        <f>H38/'- 7 -'!$E38</f>
        <v>74.459423257237987</v>
      </c>
    </row>
    <row r="39" spans="1:10" ht="14.1" customHeight="1">
      <c r="A39" s="328" t="s">
        <v>262</v>
      </c>
      <c r="B39" s="329">
        <v>200416</v>
      </c>
      <c r="C39" s="335">
        <f>B39/'- 3 -'!$D39*100</f>
        <v>0.98992926176584439</v>
      </c>
      <c r="D39" s="329">
        <f>B39/'- 7 -'!$E39</f>
        <v>128.8434586949534</v>
      </c>
      <c r="E39" s="329">
        <v>211607</v>
      </c>
      <c r="F39" s="335">
        <f>E39/'- 3 -'!$D39*100</f>
        <v>1.0452057784532425</v>
      </c>
      <c r="G39" s="329">
        <f>E39/'- 7 -'!$E39</f>
        <v>136.03792992606878</v>
      </c>
      <c r="H39" s="329">
        <v>90852</v>
      </c>
      <c r="I39" s="335">
        <f>H39/'- 3 -'!$D39*100</f>
        <v>0.44875186257559524</v>
      </c>
      <c r="J39" s="329">
        <f>H39/'- 7 -'!$E39</f>
        <v>58.406943105110898</v>
      </c>
    </row>
    <row r="40" spans="1:10" ht="14.1" customHeight="1">
      <c r="A40" s="26" t="s">
        <v>263</v>
      </c>
      <c r="B40" s="27">
        <v>806774</v>
      </c>
      <c r="C40" s="79">
        <f>B40/'- 3 -'!$D40*100</f>
        <v>0.84787312348953292</v>
      </c>
      <c r="D40" s="27">
        <f>B40/'- 7 -'!$E40</f>
        <v>101.56212824079611</v>
      </c>
      <c r="E40" s="27">
        <v>285751</v>
      </c>
      <c r="F40" s="79">
        <f>E40/'- 3 -'!$D40*100</f>
        <v>0.30030788412895987</v>
      </c>
      <c r="G40" s="27">
        <f>E40/'- 7 -'!$E40</f>
        <v>35.972254568114153</v>
      </c>
      <c r="H40" s="27">
        <v>584432</v>
      </c>
      <c r="I40" s="79">
        <f>H40/'- 3 -'!$D40*100</f>
        <v>0.61420445540787705</v>
      </c>
      <c r="J40" s="27">
        <f>H40/'- 7 -'!$E40</f>
        <v>73.572224355302666</v>
      </c>
    </row>
    <row r="41" spans="1:10" ht="14.1" customHeight="1">
      <c r="A41" s="328" t="s">
        <v>264</v>
      </c>
      <c r="B41" s="329">
        <v>458058</v>
      </c>
      <c r="C41" s="335">
        <f>B41/'- 3 -'!$D41*100</f>
        <v>0.78157952714761092</v>
      </c>
      <c r="D41" s="329">
        <f>B41/'- 7 -'!$E41</f>
        <v>103.93873383253914</v>
      </c>
      <c r="E41" s="329">
        <v>347682</v>
      </c>
      <c r="F41" s="335">
        <f>E41/'- 3 -'!$D41*100</f>
        <v>0.59324612419766865</v>
      </c>
      <c r="G41" s="329">
        <f>E41/'- 7 -'!$E41</f>
        <v>78.893124574540508</v>
      </c>
      <c r="H41" s="329">
        <v>896287</v>
      </c>
      <c r="I41" s="335">
        <f>H41/'- 3 -'!$D41*100</f>
        <v>1.5293250410396735</v>
      </c>
      <c r="J41" s="329">
        <f>H41/'- 7 -'!$E41</f>
        <v>203.37803494440664</v>
      </c>
    </row>
    <row r="42" spans="1:10" ht="14.1" customHeight="1">
      <c r="A42" s="26" t="s">
        <v>265</v>
      </c>
      <c r="B42" s="27">
        <v>145434</v>
      </c>
      <c r="C42" s="79">
        <f>B42/'- 3 -'!$D42*100</f>
        <v>0.72186347332804457</v>
      </c>
      <c r="D42" s="27">
        <f>B42/'- 7 -'!$E42</f>
        <v>100.20946737407841</v>
      </c>
      <c r="E42" s="27">
        <v>112216</v>
      </c>
      <c r="F42" s="79">
        <f>E42/'- 3 -'!$D42*100</f>
        <v>0.55698551592461076</v>
      </c>
      <c r="G42" s="27">
        <f>E42/'- 7 -'!$E42</f>
        <v>77.321022531523468</v>
      </c>
      <c r="H42" s="27">
        <v>299523</v>
      </c>
      <c r="I42" s="79">
        <f>H42/'- 3 -'!$D42*100</f>
        <v>1.4866861471295287</v>
      </c>
      <c r="J42" s="27">
        <f>H42/'- 7 -'!$E42</f>
        <v>206.38255357265899</v>
      </c>
    </row>
    <row r="43" spans="1:10" ht="14.1" customHeight="1">
      <c r="A43" s="328" t="s">
        <v>266</v>
      </c>
      <c r="B43" s="329">
        <v>45195</v>
      </c>
      <c r="C43" s="335">
        <f>B43/'- 3 -'!$D43*100</f>
        <v>0.36630579932715474</v>
      </c>
      <c r="D43" s="329">
        <f>B43/'- 7 -'!$E43</f>
        <v>46.173886391499799</v>
      </c>
      <c r="E43" s="329">
        <v>149432</v>
      </c>
      <c r="F43" s="335">
        <f>E43/'- 3 -'!$D43*100</f>
        <v>1.2111474323499367</v>
      </c>
      <c r="G43" s="329">
        <f>E43/'- 7 -'!$E43</f>
        <v>152.66857376379241</v>
      </c>
      <c r="H43" s="329">
        <v>123449</v>
      </c>
      <c r="I43" s="335">
        <f>H43/'- 3 -'!$D43*100</f>
        <v>1.0005550308914244</v>
      </c>
      <c r="J43" s="329">
        <f>H43/'- 7 -'!$E43</f>
        <v>126.12280343277483</v>
      </c>
    </row>
    <row r="44" spans="1:10" ht="14.1" customHeight="1">
      <c r="A44" s="26" t="s">
        <v>267</v>
      </c>
      <c r="B44" s="27">
        <v>110989</v>
      </c>
      <c r="C44" s="79">
        <f>B44/'- 3 -'!$D44*100</f>
        <v>1.0791594245623914</v>
      </c>
      <c r="D44" s="27">
        <f>B44/'- 7 -'!$E44</f>
        <v>158.21667854597291</v>
      </c>
      <c r="E44" s="27">
        <v>60687</v>
      </c>
      <c r="F44" s="79">
        <f>E44/'- 3 -'!$D44*100</f>
        <v>0.59006701563594455</v>
      </c>
      <c r="G44" s="27">
        <f>E44/'- 7 -'!$E44</f>
        <v>86.510334996436214</v>
      </c>
      <c r="H44" s="27">
        <v>152051</v>
      </c>
      <c r="I44" s="79">
        <f>H44/'- 3 -'!$D44*100</f>
        <v>1.4784101997867913</v>
      </c>
      <c r="J44" s="27">
        <f>H44/'- 7 -'!$E44</f>
        <v>216.75124732715611</v>
      </c>
    </row>
    <row r="45" spans="1:10" ht="14.1" customHeight="1">
      <c r="A45" s="328" t="s">
        <v>268</v>
      </c>
      <c r="B45" s="329">
        <v>148957</v>
      </c>
      <c r="C45" s="335">
        <f>B45/'- 3 -'!$D45*100</f>
        <v>0.88234794103906267</v>
      </c>
      <c r="D45" s="329">
        <f>B45/'- 7 -'!$E45</f>
        <v>92.090880989180832</v>
      </c>
      <c r="E45" s="329">
        <v>44876</v>
      </c>
      <c r="F45" s="335">
        <f>E45/'- 3 -'!$D45*100</f>
        <v>0.26582333292204446</v>
      </c>
      <c r="G45" s="329">
        <f>E45/'- 7 -'!$E45</f>
        <v>27.744049459041729</v>
      </c>
      <c r="H45" s="329">
        <v>124774</v>
      </c>
      <c r="I45" s="335">
        <f>H45/'- 3 -'!$D45*100</f>
        <v>0.73909975358800195</v>
      </c>
      <c r="J45" s="329">
        <f>H45/'- 7 -'!$E45</f>
        <v>77.140030911901079</v>
      </c>
    </row>
    <row r="46" spans="1:10" ht="14.1" customHeight="1">
      <c r="A46" s="26" t="s">
        <v>269</v>
      </c>
      <c r="B46" s="27">
        <v>1988040</v>
      </c>
      <c r="C46" s="79">
        <f>B46/'- 3 -'!$D46*100</f>
        <v>0.55835996284161127</v>
      </c>
      <c r="D46" s="27">
        <f>B46/'- 7 -'!$E46</f>
        <v>66.604575119604405</v>
      </c>
      <c r="E46" s="27">
        <v>1058561</v>
      </c>
      <c r="F46" s="79">
        <f>E46/'- 3 -'!$D46*100</f>
        <v>0.29730693578880646</v>
      </c>
      <c r="G46" s="27">
        <f>E46/'- 7 -'!$E46</f>
        <v>35.464581016067868</v>
      </c>
      <c r="H46" s="27">
        <v>3180479</v>
      </c>
      <c r="I46" s="79">
        <f>H46/'- 3 -'!$D46*100</f>
        <v>0.89326780963085495</v>
      </c>
      <c r="J46" s="27">
        <f>H46/'- 7 -'!$E46</f>
        <v>106.55442167754386</v>
      </c>
    </row>
    <row r="47" spans="1:10" ht="5.0999999999999996" customHeight="1">
      <c r="A47" s="28"/>
      <c r="B47" s="29"/>
      <c r="C47"/>
      <c r="D47"/>
      <c r="E47"/>
      <c r="F47"/>
      <c r="G47"/>
      <c r="H47"/>
      <c r="I47"/>
      <c r="J47"/>
    </row>
    <row r="48" spans="1:10" ht="14.1" customHeight="1">
      <c r="A48" s="330" t="s">
        <v>270</v>
      </c>
      <c r="B48" s="331">
        <f>SUM(B11:B46)</f>
        <v>12638805</v>
      </c>
      <c r="C48" s="338">
        <f>B48/'- 3 -'!$D48*100</f>
        <v>0.61129439760016013</v>
      </c>
      <c r="D48" s="331">
        <f>B48/'- 7 -'!$E48</f>
        <v>73.471451462365053</v>
      </c>
      <c r="E48" s="331">
        <v>10220192</v>
      </c>
      <c r="F48" s="338">
        <f>E48/'- 3 -'!$D48*100</f>
        <v>0.49431462167491125</v>
      </c>
      <c r="G48" s="331">
        <f>E48/'- 7 -'!$E48</f>
        <v>59.411656439358907</v>
      </c>
      <c r="H48" s="331">
        <v>20451945</v>
      </c>
      <c r="I48" s="338">
        <f>H48/'- 3 -'!$D48*100</f>
        <v>0.98918840812296793</v>
      </c>
      <c r="J48" s="331">
        <f>H48/'- 7 -'!$E48</f>
        <v>118.89051887250888</v>
      </c>
    </row>
    <row r="49" spans="1:10" ht="5.0999999999999996" customHeight="1">
      <c r="A49" s="28" t="s">
        <v>16</v>
      </c>
      <c r="B49" s="29"/>
      <c r="C49"/>
      <c r="D49"/>
      <c r="E49"/>
      <c r="F49"/>
      <c r="G49"/>
      <c r="H49"/>
      <c r="I49"/>
      <c r="J49"/>
    </row>
    <row r="50" spans="1:10" ht="14.1" customHeight="1">
      <c r="A50" s="26" t="s">
        <v>271</v>
      </c>
      <c r="B50" s="27">
        <v>0</v>
      </c>
      <c r="C50" s="79">
        <f>B50/'- 3 -'!$D50*100</f>
        <v>0</v>
      </c>
      <c r="D50" s="27">
        <f>B50/'- 7 -'!$E50</f>
        <v>0</v>
      </c>
      <c r="E50" s="27">
        <v>30353</v>
      </c>
      <c r="F50" s="79">
        <f>E50/'- 3 -'!$D50*100</f>
        <v>0.95334504664490261</v>
      </c>
      <c r="G50" s="27">
        <f>E50/'- 7 -'!$E50</f>
        <v>171.97167138810198</v>
      </c>
      <c r="H50" s="27">
        <v>42669</v>
      </c>
      <c r="I50" s="79">
        <f>H50/'- 3 -'!$D50*100</f>
        <v>1.3401732874935377</v>
      </c>
      <c r="J50" s="27">
        <f>H50/'- 7 -'!$E50</f>
        <v>241.75070821529744</v>
      </c>
    </row>
    <row r="51" spans="1:10" ht="14.1" customHeight="1">
      <c r="A51" s="328" t="s">
        <v>272</v>
      </c>
      <c r="B51" s="329">
        <v>52132</v>
      </c>
      <c r="C51" s="335">
        <f>B51/'- 3 -'!$D51*100</f>
        <v>0.26477535031487404</v>
      </c>
      <c r="D51" s="329">
        <f>B51/'- 7 -'!$E51</f>
        <v>72.115091990593442</v>
      </c>
      <c r="E51" s="329">
        <v>17952</v>
      </c>
      <c r="F51" s="335">
        <f>E51/'- 3 -'!$D51*100</f>
        <v>9.1177148178712086E-2</v>
      </c>
      <c r="G51" s="329">
        <f>E51/'- 7 -'!$E51</f>
        <v>24.833310278046756</v>
      </c>
      <c r="H51" s="329">
        <v>132077</v>
      </c>
      <c r="I51" s="335">
        <f>H51/'- 3 -'!$D51*100</f>
        <v>0.67081128565061032</v>
      </c>
      <c r="J51" s="329">
        <f>H51/'- 7 -'!$E51</f>
        <v>182.70438511550699</v>
      </c>
    </row>
    <row r="52" spans="1:10" ht="50.1" customHeight="1">
      <c r="A52" s="30"/>
      <c r="B52" s="30"/>
      <c r="C52" s="30"/>
      <c r="D52" s="30"/>
      <c r="E52" s="30"/>
      <c r="F52" s="30"/>
      <c r="G52" s="30"/>
      <c r="H52" s="30"/>
      <c r="I52" s="30"/>
      <c r="J52" s="30"/>
    </row>
    <row r="53" spans="1:10" ht="15" customHeight="1">
      <c r="A53" s="151" t="s">
        <v>615</v>
      </c>
    </row>
    <row r="54" spans="1:10" ht="12" customHeight="1">
      <c r="A54" s="515" t="s">
        <v>732</v>
      </c>
    </row>
    <row r="55" spans="1:10" ht="12" customHeight="1">
      <c r="A55" s="515" t="s">
        <v>643</v>
      </c>
    </row>
    <row r="56" spans="1:10">
      <c r="A56" s="151" t="s">
        <v>616</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sheetPr codeName="Sheet53">
    <pageSetUpPr autoPageBreaks="0" fitToPage="1"/>
  </sheetPr>
  <dimension ref="A1:H54"/>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0.83203125" style="1" customWidth="1"/>
    <col min="5" max="5" width="18.83203125" style="1" customWidth="1"/>
    <col min="6" max="6" width="9.83203125" style="1" customWidth="1"/>
    <col min="7" max="7" width="10.83203125" style="1" customWidth="1"/>
    <col min="8" max="8" width="22.1640625" style="1" customWidth="1"/>
    <col min="9" max="16384" width="15.83203125" style="1"/>
  </cols>
  <sheetData>
    <row r="1" spans="1:8" ht="6.95" customHeight="1">
      <c r="A1" s="6"/>
      <c r="B1" s="6"/>
      <c r="C1" s="6"/>
      <c r="D1" s="6"/>
      <c r="E1" s="7"/>
      <c r="F1" s="7"/>
      <c r="G1" s="7"/>
    </row>
    <row r="2" spans="1:8" ht="15.95" customHeight="1">
      <c r="A2" s="152"/>
      <c r="B2" s="8" t="s">
        <v>528</v>
      </c>
      <c r="C2" s="159"/>
      <c r="D2" s="159"/>
      <c r="E2" s="8"/>
      <c r="F2" s="160"/>
      <c r="G2" s="161"/>
      <c r="H2" s="162"/>
    </row>
    <row r="3" spans="1:8" ht="15.95" customHeight="1">
      <c r="A3" s="697"/>
      <c r="B3" s="10" t="str">
        <f>OPYEAR</f>
        <v>OPERATING FUND 2013/2014 ACTUAL</v>
      </c>
      <c r="C3" s="163"/>
      <c r="D3" s="163"/>
      <c r="E3" s="10"/>
      <c r="F3" s="164"/>
      <c r="G3" s="164"/>
      <c r="H3" s="165"/>
    </row>
    <row r="4" spans="1:8" ht="15.95" customHeight="1">
      <c r="E4" s="7"/>
      <c r="F4" s="7"/>
      <c r="G4" s="7"/>
    </row>
    <row r="5" spans="1:8" ht="18" customHeight="1">
      <c r="B5" s="477" t="s">
        <v>480</v>
      </c>
      <c r="C5" s="166"/>
      <c r="D5" s="167"/>
      <c r="E5" s="168"/>
      <c r="F5" s="169"/>
      <c r="G5" s="170"/>
    </row>
    <row r="6" spans="1:8" ht="15.95" customHeight="1">
      <c r="B6" s="368" t="s">
        <v>28</v>
      </c>
      <c r="C6" s="369"/>
      <c r="D6" s="370"/>
      <c r="E6" s="371"/>
      <c r="F6" s="372"/>
      <c r="G6" s="373"/>
    </row>
    <row r="7" spans="1:8" ht="15.95" customHeight="1">
      <c r="B7" s="374" t="s">
        <v>4</v>
      </c>
      <c r="C7" s="375"/>
      <c r="D7" s="376"/>
      <c r="E7" s="374" t="s">
        <v>67</v>
      </c>
      <c r="F7" s="375"/>
      <c r="G7" s="376"/>
    </row>
    <row r="8" spans="1:8" ht="15.95" customHeight="1">
      <c r="A8" s="75"/>
      <c r="B8" s="157"/>
      <c r="C8" s="77"/>
      <c r="D8" s="19" t="s">
        <v>73</v>
      </c>
      <c r="E8" s="157"/>
      <c r="F8" s="155"/>
      <c r="G8" s="19" t="s">
        <v>73</v>
      </c>
    </row>
    <row r="9" spans="1:8" ht="15.95" customHeight="1">
      <c r="A9" s="42" t="s">
        <v>93</v>
      </c>
      <c r="B9" s="87" t="s">
        <v>94</v>
      </c>
      <c r="C9" s="87" t="s">
        <v>95</v>
      </c>
      <c r="D9" s="87" t="s">
        <v>96</v>
      </c>
      <c r="E9" s="87" t="s">
        <v>94</v>
      </c>
      <c r="F9" s="87" t="s">
        <v>95</v>
      </c>
      <c r="G9" s="87" t="s">
        <v>96</v>
      </c>
    </row>
    <row r="10" spans="1:8" ht="5.0999999999999996" customHeight="1">
      <c r="A10" s="5"/>
      <c r="B10" s="5"/>
      <c r="C10" s="5"/>
      <c r="D10" s="5"/>
    </row>
    <row r="11" spans="1:8" ht="14.1" customHeight="1">
      <c r="A11" s="328" t="s">
        <v>235</v>
      </c>
      <c r="B11" s="329">
        <f>'- 27 -'!B11</f>
        <v>4536</v>
      </c>
      <c r="C11" s="335">
        <f>'- 27 -'!C11</f>
        <v>2.7225130764355749E-2</v>
      </c>
      <c r="D11" s="329">
        <f>'- 27 -'!D11</f>
        <v>3.0586648685097773</v>
      </c>
      <c r="E11" s="329">
        <f>SUM('- 38 -'!B11,'- 38 -'!E11,'- 38 -'!H11,B11)</f>
        <v>506342</v>
      </c>
      <c r="F11" s="335">
        <f>E11/'- 3 -'!D11*100</f>
        <v>3.0390712437137166</v>
      </c>
      <c r="G11" s="329">
        <f>E11/'- 7 -'!E11</f>
        <v>341.43088334457184</v>
      </c>
    </row>
    <row r="12" spans="1:8" ht="14.1" customHeight="1">
      <c r="A12" s="26" t="s">
        <v>236</v>
      </c>
      <c r="B12" s="27">
        <f>'- 27 -'!B12</f>
        <v>52319</v>
      </c>
      <c r="C12" s="79">
        <f>'- 27 -'!C12</f>
        <v>0.1757153045984956</v>
      </c>
      <c r="D12" s="27">
        <f>'- 27 -'!D12</f>
        <v>23.909606068915085</v>
      </c>
      <c r="E12" s="27">
        <f>SUM('- 38 -'!B12,'- 38 -'!E12,'- 38 -'!H12,B12)</f>
        <v>745551</v>
      </c>
      <c r="F12" s="79">
        <f>E12/'- 3 -'!D12*100</f>
        <v>2.5039607228485448</v>
      </c>
      <c r="G12" s="27">
        <f>E12/'- 7 -'!E12</f>
        <v>340.71428571428567</v>
      </c>
    </row>
    <row r="13" spans="1:8" ht="14.1" customHeight="1">
      <c r="A13" s="328" t="s">
        <v>237</v>
      </c>
      <c r="B13" s="329">
        <f>'- 27 -'!B13</f>
        <v>249273</v>
      </c>
      <c r="C13" s="335">
        <f>'- 27 -'!C13</f>
        <v>0.29721851317939041</v>
      </c>
      <c r="D13" s="329">
        <f>'- 27 -'!D13</f>
        <v>31.157177676395225</v>
      </c>
      <c r="E13" s="329">
        <f>SUM('- 38 -'!B13,'- 38 -'!E13,'- 38 -'!H13,B13)</f>
        <v>1752530</v>
      </c>
      <c r="F13" s="335">
        <f>E13/'- 3 -'!D13*100</f>
        <v>2.0896140412410378</v>
      </c>
      <c r="G13" s="329">
        <f>E13/'- 7 -'!E13</f>
        <v>219.05255921504906</v>
      </c>
    </row>
    <row r="14" spans="1:8" ht="14.1" customHeight="1">
      <c r="A14" s="26" t="s">
        <v>636</v>
      </c>
      <c r="B14" s="27">
        <f>'- 27 -'!B14</f>
        <v>110675</v>
      </c>
      <c r="C14" s="79">
        <f>'- 27 -'!C14</f>
        <v>0.15159184864160349</v>
      </c>
      <c r="D14" s="27">
        <f>'- 27 -'!D14</f>
        <v>21.279561622764852</v>
      </c>
      <c r="E14" s="27">
        <f>SUM('- 38 -'!B14,'- 38 -'!E14,'- 38 -'!H14,B14)</f>
        <v>1994062</v>
      </c>
      <c r="F14" s="79">
        <f>E14/'- 3 -'!D14*100</f>
        <v>2.7312721471513273</v>
      </c>
      <c r="G14" s="27">
        <f>E14/'- 7 -'!E14</f>
        <v>383.39973082099596</v>
      </c>
    </row>
    <row r="15" spans="1:8" ht="14.1" customHeight="1">
      <c r="A15" s="328" t="s">
        <v>238</v>
      </c>
      <c r="B15" s="329">
        <f>'- 27 -'!B15</f>
        <v>37893</v>
      </c>
      <c r="C15" s="335">
        <f>'- 27 -'!C15</f>
        <v>0.19970008886451054</v>
      </c>
      <c r="D15" s="329">
        <f>'- 27 -'!D15</f>
        <v>25.405967147167281</v>
      </c>
      <c r="E15" s="329">
        <f>SUM('- 38 -'!B15,'- 38 -'!E15,'- 38 -'!H15,B15)</f>
        <v>476427</v>
      </c>
      <c r="F15" s="335">
        <f>E15/'- 3 -'!D15*100</f>
        <v>2.5108203160861415</v>
      </c>
      <c r="G15" s="329">
        <f>E15/'- 7 -'!E15</f>
        <v>319.42809252430442</v>
      </c>
    </row>
    <row r="16" spans="1:8" ht="14.1" customHeight="1">
      <c r="A16" s="26" t="s">
        <v>239</v>
      </c>
      <c r="B16" s="27">
        <f>'- 27 -'!B16</f>
        <v>23895</v>
      </c>
      <c r="C16" s="79">
        <f>'- 27 -'!C16</f>
        <v>0.18331797947759246</v>
      </c>
      <c r="D16" s="27">
        <f>'- 27 -'!D16</f>
        <v>24.838877338877339</v>
      </c>
      <c r="E16" s="27">
        <f>SUM('- 38 -'!B16,'- 38 -'!E16,'- 38 -'!H16,B16)</f>
        <v>302278</v>
      </c>
      <c r="F16" s="79">
        <f>E16/'- 3 -'!D16*100</f>
        <v>2.3190203892248462</v>
      </c>
      <c r="G16" s="27">
        <f>E16/'- 7 -'!E16</f>
        <v>314.21829521829522</v>
      </c>
    </row>
    <row r="17" spans="1:7" ht="14.1" customHeight="1">
      <c r="A17" s="328" t="s">
        <v>240</v>
      </c>
      <c r="B17" s="329">
        <f>'- 27 -'!B17</f>
        <v>68464</v>
      </c>
      <c r="C17" s="335">
        <f>'- 27 -'!C17</f>
        <v>0.41734470042515343</v>
      </c>
      <c r="D17" s="329">
        <f>'- 27 -'!D17</f>
        <v>53.198352703497733</v>
      </c>
      <c r="E17" s="329">
        <f>SUM('- 38 -'!B17,'- 38 -'!E17,'- 38 -'!H17,B17)</f>
        <v>552835</v>
      </c>
      <c r="F17" s="335">
        <f>E17/'- 3 -'!D17*100</f>
        <v>3.3699865251743941</v>
      </c>
      <c r="G17" s="329">
        <f>E17/'- 7 -'!E17</f>
        <v>429.56752916625044</v>
      </c>
    </row>
    <row r="18" spans="1:7" ht="14.1" customHeight="1">
      <c r="A18" s="26" t="s">
        <v>241</v>
      </c>
      <c r="B18" s="27">
        <f>'- 27 -'!B18</f>
        <v>513495</v>
      </c>
      <c r="C18" s="79">
        <f>'- 27 -'!C18</f>
        <v>0.43218540909335368</v>
      </c>
      <c r="D18" s="27">
        <f>'- 27 -'!D18</f>
        <v>84.654126413663491</v>
      </c>
      <c r="E18" s="27">
        <f>SUM('- 38 -'!B18,'- 38 -'!E18,'- 38 -'!H18,B18)</f>
        <v>2489285</v>
      </c>
      <c r="F18" s="79">
        <f>E18/'- 3 -'!D18*100</f>
        <v>2.0951180752976155</v>
      </c>
      <c r="G18" s="27">
        <f>E18/'- 7 -'!E18</f>
        <v>410.3803290579973</v>
      </c>
    </row>
    <row r="19" spans="1:7" ht="14.1" customHeight="1">
      <c r="A19" s="328" t="s">
        <v>242</v>
      </c>
      <c r="B19" s="329">
        <f>'- 27 -'!B19</f>
        <v>39157</v>
      </c>
      <c r="C19" s="335">
        <f>'- 27 -'!C19</f>
        <v>9.0430216611280451E-2</v>
      </c>
      <c r="D19" s="329">
        <f>'- 27 -'!D19</f>
        <v>9.3382142516455211</v>
      </c>
      <c r="E19" s="329">
        <f>SUM('- 38 -'!B19,'- 38 -'!E19,'- 38 -'!H19,B19)</f>
        <v>1323825</v>
      </c>
      <c r="F19" s="335">
        <f>E19/'- 3 -'!D19*100</f>
        <v>3.0572766428844997</v>
      </c>
      <c r="G19" s="329">
        <f>E19/'- 7 -'!E19</f>
        <v>315.7075741677001</v>
      </c>
    </row>
    <row r="20" spans="1:7" ht="14.1" customHeight="1">
      <c r="A20" s="26" t="s">
        <v>243</v>
      </c>
      <c r="B20" s="27">
        <f>'- 27 -'!B20</f>
        <v>54712</v>
      </c>
      <c r="C20" s="79">
        <f>'- 27 -'!C20</f>
        <v>7.7438810148549128E-2</v>
      </c>
      <c r="D20" s="27">
        <f>'- 27 -'!D20</f>
        <v>7.4145548177259792</v>
      </c>
      <c r="E20" s="27">
        <f>SUM('- 38 -'!B20,'- 38 -'!E20,'- 38 -'!H20,B20)</f>
        <v>1846966</v>
      </c>
      <c r="F20" s="79">
        <f>E20/'- 3 -'!D20*100</f>
        <v>2.6141769524935148</v>
      </c>
      <c r="G20" s="27">
        <f>E20/'- 7 -'!E20</f>
        <v>250.30031169535167</v>
      </c>
    </row>
    <row r="21" spans="1:7" ht="14.1" customHeight="1">
      <c r="A21" s="328" t="s">
        <v>244</v>
      </c>
      <c r="B21" s="329">
        <f>'- 27 -'!B21</f>
        <v>46476</v>
      </c>
      <c r="C21" s="335">
        <f>'- 27 -'!C21</f>
        <v>0.13415654656871162</v>
      </c>
      <c r="D21" s="329">
        <f>'- 27 -'!D21</f>
        <v>17.194228634850166</v>
      </c>
      <c r="E21" s="329">
        <f>SUM('- 38 -'!B21,'- 38 -'!E21,'- 38 -'!H21,B21)</f>
        <v>1319692</v>
      </c>
      <c r="F21" s="335">
        <f>E21/'- 3 -'!D21*100</f>
        <v>3.8093924015482443</v>
      </c>
      <c r="G21" s="329">
        <f>E21/'- 7 -'!E21</f>
        <v>488.23233444321124</v>
      </c>
    </row>
    <row r="22" spans="1:7" ht="14.1" customHeight="1">
      <c r="A22" s="26" t="s">
        <v>245</v>
      </c>
      <c r="B22" s="27">
        <f>'- 27 -'!B22</f>
        <v>53093</v>
      </c>
      <c r="C22" s="79">
        <f>'- 27 -'!C22</f>
        <v>0.27552493902104236</v>
      </c>
      <c r="D22" s="27">
        <f>'- 27 -'!D22</f>
        <v>33.856013263614336</v>
      </c>
      <c r="E22" s="27">
        <f>SUM('- 38 -'!B22,'- 38 -'!E22,'- 38 -'!H22,B22)</f>
        <v>307667</v>
      </c>
      <c r="F22" s="79">
        <f>E22/'- 3 -'!D22*100</f>
        <v>1.5966310325991571</v>
      </c>
      <c r="G22" s="27">
        <f>E22/'- 7 -'!E22</f>
        <v>196.19117459507714</v>
      </c>
    </row>
    <row r="23" spans="1:7" ht="14.1" customHeight="1">
      <c r="A23" s="328" t="s">
        <v>246</v>
      </c>
      <c r="B23" s="329">
        <f>'- 27 -'!B23</f>
        <v>45703</v>
      </c>
      <c r="C23" s="335">
        <f>'- 27 -'!C23</f>
        <v>0.28156692489649088</v>
      </c>
      <c r="D23" s="329">
        <f>'- 27 -'!D23</f>
        <v>39.521791767554475</v>
      </c>
      <c r="E23" s="329">
        <f>SUM('- 38 -'!B23,'- 38 -'!E23,'- 38 -'!H23,B23)</f>
        <v>495502</v>
      </c>
      <c r="F23" s="335">
        <f>E23/'- 3 -'!D23*100</f>
        <v>3.0526874476524744</v>
      </c>
      <c r="G23" s="329">
        <f>E23/'- 7 -'!E23</f>
        <v>428.48668280871669</v>
      </c>
    </row>
    <row r="24" spans="1:7" ht="14.1" customHeight="1">
      <c r="A24" s="26" t="s">
        <v>247</v>
      </c>
      <c r="B24" s="27">
        <f>'- 27 -'!B24</f>
        <v>160077</v>
      </c>
      <c r="C24" s="79">
        <f>'- 27 -'!C24</f>
        <v>0.30647787826948408</v>
      </c>
      <c r="D24" s="27">
        <f>'- 27 -'!D24</f>
        <v>38.816896626979322</v>
      </c>
      <c r="E24" s="27">
        <f>SUM('- 38 -'!B24,'- 38 -'!E24,'- 38 -'!H24,B24)</f>
        <v>1850225</v>
      </c>
      <c r="F24" s="79">
        <f>E24/'- 3 -'!D24*100</f>
        <v>3.5423766832284231</v>
      </c>
      <c r="G24" s="27">
        <f>E24/'- 7 -'!E24</f>
        <v>448.65903634908705</v>
      </c>
    </row>
    <row r="25" spans="1:7" ht="14.1" customHeight="1">
      <c r="A25" s="328" t="s">
        <v>248</v>
      </c>
      <c r="B25" s="329">
        <f>'- 27 -'!B25</f>
        <v>385091</v>
      </c>
      <c r="C25" s="335">
        <f>'- 27 -'!C25</f>
        <v>0.24988692692964831</v>
      </c>
      <c r="D25" s="329">
        <f>'- 27 -'!D25</f>
        <v>27.854683544303796</v>
      </c>
      <c r="E25" s="329">
        <f>SUM('- 38 -'!B25,'- 38 -'!E25,'- 38 -'!H25,B25)</f>
        <v>3798665</v>
      </c>
      <c r="F25" s="335">
        <f>E25/'- 3 -'!D25*100</f>
        <v>2.4649673019759288</v>
      </c>
      <c r="G25" s="329">
        <f>E25/'- 7 -'!E25</f>
        <v>274.76781193490052</v>
      </c>
    </row>
    <row r="26" spans="1:7" ht="14.1" customHeight="1">
      <c r="A26" s="26" t="s">
        <v>249</v>
      </c>
      <c r="B26" s="27">
        <f>'- 27 -'!B26</f>
        <v>19143</v>
      </c>
      <c r="C26" s="79">
        <f>'- 27 -'!C26</f>
        <v>5.0912403299213094E-2</v>
      </c>
      <c r="D26" s="27">
        <f>'- 27 -'!D26</f>
        <v>6.1434531450577667</v>
      </c>
      <c r="E26" s="27">
        <f>SUM('- 38 -'!B26,'- 38 -'!E26,'- 38 -'!H26,B26)</f>
        <v>1206610</v>
      </c>
      <c r="F26" s="79">
        <f>E26/'- 3 -'!D26*100</f>
        <v>3.2090798174196058</v>
      </c>
      <c r="G26" s="27">
        <f>E26/'- 7 -'!E26</f>
        <v>387.23042362002565</v>
      </c>
    </row>
    <row r="27" spans="1:7" ht="14.1" customHeight="1">
      <c r="A27" s="328" t="s">
        <v>250</v>
      </c>
      <c r="B27" s="329">
        <f>'- 27 -'!B27</f>
        <v>122073</v>
      </c>
      <c r="C27" s="335">
        <f>'- 27 -'!C27</f>
        <v>0.33176982909259362</v>
      </c>
      <c r="D27" s="329">
        <f>'- 27 -'!D27</f>
        <v>43.979176423965122</v>
      </c>
      <c r="E27" s="329">
        <f>SUM('- 38 -'!B27,'- 38 -'!E27,'- 38 -'!H27,B27)</f>
        <v>748468</v>
      </c>
      <c r="F27" s="335">
        <f>E27/'- 3 -'!D27*100</f>
        <v>2.0341852861916672</v>
      </c>
      <c r="G27" s="329">
        <f>E27/'- 7 -'!E27</f>
        <v>269.65017833339334</v>
      </c>
    </row>
    <row r="28" spans="1:7" ht="14.1" customHeight="1">
      <c r="A28" s="26" t="s">
        <v>251</v>
      </c>
      <c r="B28" s="27">
        <f>'- 27 -'!B28</f>
        <v>65831</v>
      </c>
      <c r="C28" s="79">
        <f>'- 27 -'!C28</f>
        <v>0.24388305720161874</v>
      </c>
      <c r="D28" s="27">
        <f>'- 27 -'!D28</f>
        <v>32.776201145133186</v>
      </c>
      <c r="E28" s="27">
        <f>SUM('- 38 -'!B28,'- 38 -'!E28,'- 38 -'!H28,B28)</f>
        <v>794492</v>
      </c>
      <c r="F28" s="79">
        <f>E28/'- 3 -'!D28*100</f>
        <v>2.9433418584288322</v>
      </c>
      <c r="G28" s="27">
        <f>E28/'- 7 -'!E28</f>
        <v>395.56484939009209</v>
      </c>
    </row>
    <row r="29" spans="1:7" ht="14.1" customHeight="1">
      <c r="A29" s="328" t="s">
        <v>252</v>
      </c>
      <c r="B29" s="329">
        <f>'- 27 -'!B29</f>
        <v>661971</v>
      </c>
      <c r="C29" s="335">
        <f>'- 27 -'!C29</f>
        <v>0.47022572526847245</v>
      </c>
      <c r="D29" s="329">
        <f>'- 27 -'!D29</f>
        <v>54.247912347267402</v>
      </c>
      <c r="E29" s="329">
        <f>SUM('- 38 -'!B29,'- 38 -'!E29,'- 38 -'!H29,B29)</f>
        <v>3059446</v>
      </c>
      <c r="F29" s="335">
        <f>E29/'- 3 -'!D29*100</f>
        <v>2.1732526262777783</v>
      </c>
      <c r="G29" s="329">
        <f>E29/'- 7 -'!E29</f>
        <v>250.71877535299564</v>
      </c>
    </row>
    <row r="30" spans="1:7" ht="14.1" customHeight="1">
      <c r="A30" s="26" t="s">
        <v>253</v>
      </c>
      <c r="B30" s="27">
        <f>'- 27 -'!B30</f>
        <v>45152</v>
      </c>
      <c r="C30" s="79">
        <f>'- 27 -'!C30</f>
        <v>0.33563225670396668</v>
      </c>
      <c r="D30" s="27">
        <f>'- 27 -'!D30</f>
        <v>42.614719595296066</v>
      </c>
      <c r="E30" s="27">
        <f>SUM('- 38 -'!B30,'- 38 -'!E30,'- 38 -'!H30,B30)</f>
        <v>454551</v>
      </c>
      <c r="F30" s="79">
        <f>E30/'- 3 -'!D30*100</f>
        <v>3.3788531608133581</v>
      </c>
      <c r="G30" s="27">
        <f>E30/'- 7 -'!E30</f>
        <v>429.00787134039291</v>
      </c>
    </row>
    <row r="31" spans="1:7" ht="14.1" customHeight="1">
      <c r="A31" s="328" t="s">
        <v>254</v>
      </c>
      <c r="B31" s="329">
        <f>'- 27 -'!B31</f>
        <v>130968</v>
      </c>
      <c r="C31" s="335">
        <f>'- 27 -'!C31</f>
        <v>0.38851222670831115</v>
      </c>
      <c r="D31" s="329">
        <f>'- 27 -'!D31</f>
        <v>41.165487977369168</v>
      </c>
      <c r="E31" s="329">
        <f>SUM('- 38 -'!B31,'- 38 -'!E31,'- 38 -'!H31,B31)</f>
        <v>706382</v>
      </c>
      <c r="F31" s="335">
        <f>E31/'- 3 -'!D31*100</f>
        <v>2.095458766467154</v>
      </c>
      <c r="G31" s="329">
        <f>E31/'- 7 -'!E31</f>
        <v>222.02797422599403</v>
      </c>
    </row>
    <row r="32" spans="1:7" ht="14.1" customHeight="1">
      <c r="A32" s="26" t="s">
        <v>255</v>
      </c>
      <c r="B32" s="27">
        <f>'- 27 -'!B32</f>
        <v>49663</v>
      </c>
      <c r="C32" s="79">
        <f>'- 27 -'!C32</f>
        <v>0.19081064420867047</v>
      </c>
      <c r="D32" s="27">
        <f>'- 27 -'!D32</f>
        <v>24.561325420375866</v>
      </c>
      <c r="E32" s="27">
        <f>SUM('- 38 -'!B32,'- 38 -'!E32,'- 38 -'!H32,B32)</f>
        <v>672161</v>
      </c>
      <c r="F32" s="79">
        <f>E32/'- 3 -'!D32*100</f>
        <v>2.5825156237429101</v>
      </c>
      <c r="G32" s="27">
        <f>E32/'- 7 -'!E32</f>
        <v>332.42383778437193</v>
      </c>
    </row>
    <row r="33" spans="1:7" ht="14.1" customHeight="1">
      <c r="A33" s="328" t="s">
        <v>256</v>
      </c>
      <c r="B33" s="329">
        <f>'- 27 -'!B33</f>
        <v>49699</v>
      </c>
      <c r="C33" s="335">
        <f>'- 27 -'!C33</f>
        <v>0.18983126411182258</v>
      </c>
      <c r="D33" s="329">
        <f>'- 27 -'!D33</f>
        <v>24.851985198519849</v>
      </c>
      <c r="E33" s="329">
        <f>SUM('- 38 -'!B33,'- 38 -'!E33,'- 38 -'!H33,B33)</f>
        <v>986619</v>
      </c>
      <c r="F33" s="335">
        <f>E33/'- 3 -'!D33*100</f>
        <v>3.7685090638995202</v>
      </c>
      <c r="G33" s="329">
        <f>E33/'- 7 -'!E33</f>
        <v>493.35883588358831</v>
      </c>
    </row>
    <row r="34" spans="1:7" ht="14.1" customHeight="1">
      <c r="A34" s="26" t="s">
        <v>257</v>
      </c>
      <c r="B34" s="27">
        <f>'- 27 -'!B34</f>
        <v>36710</v>
      </c>
      <c r="C34" s="79">
        <f>'- 27 -'!C34</f>
        <v>0.14553086834197765</v>
      </c>
      <c r="D34" s="27">
        <f>'- 27 -'!D34</f>
        <v>18.634517766497463</v>
      </c>
      <c r="E34" s="27">
        <f>SUM('- 38 -'!B34,'- 38 -'!E34,'- 38 -'!H34,B34)</f>
        <v>705542</v>
      </c>
      <c r="F34" s="79">
        <f>E34/'- 3 -'!D34*100</f>
        <v>2.7970073525397874</v>
      </c>
      <c r="G34" s="27">
        <f>E34/'- 7 -'!E34</f>
        <v>358.14314720812183</v>
      </c>
    </row>
    <row r="35" spans="1:7" ht="14.1" customHeight="1">
      <c r="A35" s="328" t="s">
        <v>258</v>
      </c>
      <c r="B35" s="329">
        <f>'- 27 -'!B35</f>
        <v>901907</v>
      </c>
      <c r="C35" s="335">
        <f>'- 27 -'!C35</f>
        <v>0.5264629150557133</v>
      </c>
      <c r="D35" s="329">
        <f>'- 27 -'!D35</f>
        <v>57.950139750056223</v>
      </c>
      <c r="E35" s="329">
        <f>SUM('- 38 -'!B35,'- 38 -'!E35,'- 38 -'!H35,B35)</f>
        <v>3112797</v>
      </c>
      <c r="F35" s="335">
        <f>E35/'- 3 -'!D35*100</f>
        <v>1.8170079427221197</v>
      </c>
      <c r="G35" s="329">
        <f>E35/'- 7 -'!E35</f>
        <v>200.00623253124297</v>
      </c>
    </row>
    <row r="36" spans="1:7" ht="14.1" customHeight="1">
      <c r="A36" s="26" t="s">
        <v>259</v>
      </c>
      <c r="B36" s="27">
        <f>'- 27 -'!B36</f>
        <v>74899</v>
      </c>
      <c r="C36" s="79">
        <f>'- 27 -'!C36</f>
        <v>0.35010981628478322</v>
      </c>
      <c r="D36" s="27">
        <f>'- 27 -'!D36</f>
        <v>46.020890937019971</v>
      </c>
      <c r="E36" s="27">
        <f>SUM('- 38 -'!B36,'- 38 -'!E36,'- 38 -'!H36,B36)</f>
        <v>901116</v>
      </c>
      <c r="F36" s="79">
        <f>E36/'- 3 -'!D36*100</f>
        <v>4.2121998586266667</v>
      </c>
      <c r="G36" s="27">
        <f>E36/'- 7 -'!E36</f>
        <v>553.68110599078341</v>
      </c>
    </row>
    <row r="37" spans="1:7" ht="14.1" customHeight="1">
      <c r="A37" s="328" t="s">
        <v>260</v>
      </c>
      <c r="B37" s="329">
        <f>'- 27 -'!B37</f>
        <v>167862</v>
      </c>
      <c r="C37" s="335">
        <f>'- 27 -'!C37</f>
        <v>0.39620922968624006</v>
      </c>
      <c r="D37" s="329">
        <f>'- 27 -'!D37</f>
        <v>42.893062476044463</v>
      </c>
      <c r="E37" s="329">
        <f>SUM('- 38 -'!B37,'- 38 -'!E37,'- 38 -'!H37,B37)</f>
        <v>1150423</v>
      </c>
      <c r="F37" s="335">
        <f>E37/'- 3 -'!D37*100</f>
        <v>2.7153745972485335</v>
      </c>
      <c r="G37" s="329">
        <f>E37/'- 7 -'!E37</f>
        <v>293.96269324134408</v>
      </c>
    </row>
    <row r="38" spans="1:7" ht="14.1" customHeight="1">
      <c r="A38" s="26" t="s">
        <v>261</v>
      </c>
      <c r="B38" s="27">
        <f>'- 27 -'!B38</f>
        <v>375855</v>
      </c>
      <c r="C38" s="79">
        <f>'- 27 -'!C38</f>
        <v>0.32674186216685924</v>
      </c>
      <c r="D38" s="27">
        <f>'- 27 -'!D38</f>
        <v>35.960791442622323</v>
      </c>
      <c r="E38" s="27">
        <f>SUM('- 38 -'!B38,'- 38 -'!E38,'- 38 -'!H38,B38)</f>
        <v>1970553</v>
      </c>
      <c r="F38" s="79">
        <f>E38/'- 3 -'!D38*100</f>
        <v>1.7130599745074322</v>
      </c>
      <c r="G38" s="27">
        <f>E38/'- 7 -'!E38</f>
        <v>188.53718976635602</v>
      </c>
    </row>
    <row r="39" spans="1:7" ht="14.1" customHeight="1">
      <c r="A39" s="328" t="s">
        <v>262</v>
      </c>
      <c r="B39" s="329">
        <f>'- 27 -'!B39</f>
        <v>47613</v>
      </c>
      <c r="C39" s="335">
        <f>'- 27 -'!C39</f>
        <v>0.23517833875766977</v>
      </c>
      <c r="D39" s="329">
        <f>'- 27 -'!D39</f>
        <v>30.609450337512055</v>
      </c>
      <c r="E39" s="329">
        <f>SUM('- 38 -'!B39,'- 38 -'!E39,'- 38 -'!H39,B39)</f>
        <v>550488</v>
      </c>
      <c r="F39" s="335">
        <f>E39/'- 3 -'!D39*100</f>
        <v>2.719065241552352</v>
      </c>
      <c r="G39" s="329">
        <f>E39/'- 7 -'!E39</f>
        <v>353.89778206364514</v>
      </c>
    </row>
    <row r="40" spans="1:7" ht="14.1" customHeight="1">
      <c r="A40" s="26" t="s">
        <v>263</v>
      </c>
      <c r="B40" s="27">
        <f>'- 27 -'!B40</f>
        <v>245466</v>
      </c>
      <c r="C40" s="79">
        <f>'- 27 -'!C40</f>
        <v>0.2579706635693288</v>
      </c>
      <c r="D40" s="27">
        <f>'- 27 -'!D40</f>
        <v>30.900908272645449</v>
      </c>
      <c r="E40" s="27">
        <f>SUM('- 38 -'!B40,'- 38 -'!E40,'- 38 -'!H40,B40)</f>
        <v>1922423</v>
      </c>
      <c r="F40" s="79">
        <f>E40/'- 3 -'!D40*100</f>
        <v>2.0203561265956989</v>
      </c>
      <c r="G40" s="27">
        <f>E40/'- 7 -'!E40</f>
        <v>242.00751543685837</v>
      </c>
    </row>
    <row r="41" spans="1:7" ht="14.1" customHeight="1">
      <c r="A41" s="328" t="s">
        <v>264</v>
      </c>
      <c r="B41" s="329">
        <f>'- 27 -'!B41</f>
        <v>153238</v>
      </c>
      <c r="C41" s="335">
        <f>'- 27 -'!C41</f>
        <v>0.26146838081868584</v>
      </c>
      <c r="D41" s="329">
        <f>'- 27 -'!D41</f>
        <v>34.771499886544134</v>
      </c>
      <c r="E41" s="329">
        <f>SUM('- 38 -'!B41,'- 38 -'!E41,'- 38 -'!H41,B41)</f>
        <v>1855265</v>
      </c>
      <c r="F41" s="335">
        <f>E41/'- 3 -'!D41*100</f>
        <v>3.1656190732036391</v>
      </c>
      <c r="G41" s="329">
        <f>E41/'- 7 -'!E41</f>
        <v>420.98139323803042</v>
      </c>
    </row>
    <row r="42" spans="1:7" ht="14.1" customHeight="1">
      <c r="A42" s="26" t="s">
        <v>265</v>
      </c>
      <c r="B42" s="27">
        <f>'- 27 -'!B42</f>
        <v>30759</v>
      </c>
      <c r="C42" s="79">
        <f>'- 27 -'!C42</f>
        <v>0.15267268022675112</v>
      </c>
      <c r="D42" s="27">
        <f>'- 27 -'!D42</f>
        <v>21.1941018397299</v>
      </c>
      <c r="E42" s="27">
        <f>SUM('- 38 -'!B42,'- 38 -'!E42,'- 38 -'!H42,B42)</f>
        <v>587932</v>
      </c>
      <c r="F42" s="79">
        <f>E42/'- 3 -'!D42*100</f>
        <v>2.9182078166089349</v>
      </c>
      <c r="G42" s="27">
        <f>E42/'- 7 -'!E42</f>
        <v>405.10714531799078</v>
      </c>
    </row>
    <row r="43" spans="1:7" ht="14.1" customHeight="1">
      <c r="A43" s="328" t="s">
        <v>266</v>
      </c>
      <c r="B43" s="329">
        <f>'- 27 -'!B43</f>
        <v>20315</v>
      </c>
      <c r="C43" s="335">
        <f>'- 27 -'!C43</f>
        <v>0.16465322078396169</v>
      </c>
      <c r="D43" s="329">
        <f>'- 27 -'!D43</f>
        <v>20.755006129955049</v>
      </c>
      <c r="E43" s="329">
        <f>SUM('- 38 -'!B43,'- 38 -'!E43,'- 38 -'!H43,B43)</f>
        <v>338391</v>
      </c>
      <c r="F43" s="335">
        <f>E43/'- 3 -'!D43*100</f>
        <v>2.7426614833524772</v>
      </c>
      <c r="G43" s="329">
        <f>E43/'- 7 -'!E43</f>
        <v>345.72026971802211</v>
      </c>
    </row>
    <row r="44" spans="1:7" ht="14.1" customHeight="1">
      <c r="A44" s="26" t="s">
        <v>267</v>
      </c>
      <c r="B44" s="27">
        <f>'- 27 -'!B44</f>
        <v>5774</v>
      </c>
      <c r="C44" s="79">
        <f>'- 27 -'!C44</f>
        <v>5.6141297943248861E-2</v>
      </c>
      <c r="D44" s="27">
        <f>'- 27 -'!D44</f>
        <v>8.2309337134711331</v>
      </c>
      <c r="E44" s="27">
        <f>SUM('- 38 -'!B44,'- 38 -'!E44,'- 38 -'!H44,B44)</f>
        <v>329501</v>
      </c>
      <c r="F44" s="79">
        <f>E44/'- 3 -'!D44*100</f>
        <v>3.2037779379283768</v>
      </c>
      <c r="G44" s="27">
        <f>E44/'- 7 -'!E44</f>
        <v>469.70919458303638</v>
      </c>
    </row>
    <row r="45" spans="1:7" ht="14.1" customHeight="1">
      <c r="A45" s="328" t="s">
        <v>268</v>
      </c>
      <c r="B45" s="329">
        <f>'- 27 -'!B45</f>
        <v>49441</v>
      </c>
      <c r="C45" s="335">
        <f>'- 27 -'!C45</f>
        <v>0.29286414571260361</v>
      </c>
      <c r="D45" s="329">
        <f>'- 27 -'!D45</f>
        <v>30.566306027820712</v>
      </c>
      <c r="E45" s="329">
        <f>SUM('- 38 -'!B45,'- 38 -'!E45,'- 38 -'!H45,B45)</f>
        <v>368048</v>
      </c>
      <c r="F45" s="335">
        <f>E45/'- 3 -'!D45*100</f>
        <v>2.1801351732617125</v>
      </c>
      <c r="G45" s="329">
        <f>E45/'- 7 -'!E45</f>
        <v>227.54126738794434</v>
      </c>
    </row>
    <row r="46" spans="1:7" ht="14.1" customHeight="1">
      <c r="A46" s="26" t="s">
        <v>269</v>
      </c>
      <c r="B46" s="27">
        <f>'- 27 -'!B46</f>
        <v>1286390</v>
      </c>
      <c r="C46" s="79">
        <f>'- 27 -'!C46</f>
        <v>0.36129487968039897</v>
      </c>
      <c r="D46" s="27">
        <f>'- 27 -'!D46</f>
        <v>43.097452459763339</v>
      </c>
      <c r="E46" s="27">
        <f>SUM('- 38 -'!B46,'- 38 -'!E46,'- 38 -'!H46,B46)</f>
        <v>7513470</v>
      </c>
      <c r="F46" s="79">
        <f>E46/'- 3 -'!D46*100</f>
        <v>2.1102295879416717</v>
      </c>
      <c r="G46" s="27">
        <f>E46/'- 7 -'!E46</f>
        <v>251.72103027297948</v>
      </c>
    </row>
    <row r="47" spans="1:7" ht="5.0999999999999996" customHeight="1">
      <c r="A47" s="28"/>
      <c r="B47" s="29"/>
      <c r="C47"/>
      <c r="D47"/>
      <c r="E47"/>
      <c r="F47"/>
      <c r="G47"/>
    </row>
    <row r="48" spans="1:7" ht="14.1" customHeight="1">
      <c r="A48" s="330" t="s">
        <v>270</v>
      </c>
      <c r="B48" s="331">
        <f>SUM(B11:B46)</f>
        <v>6385588</v>
      </c>
      <c r="C48" s="338">
        <f>'- 27 -'!C48</f>
        <v>0.30884835787741099</v>
      </c>
      <c r="D48" s="331">
        <f>'- 27 -'!D48</f>
        <v>37.120472924509926</v>
      </c>
      <c r="E48" s="331">
        <f>SUM('- 38 -'!B48,'- 38 -'!E48,'- 38 -'!H48,B48)</f>
        <v>49696530</v>
      </c>
      <c r="F48" s="338">
        <f>E48/'- 3 -'!D48*100</f>
        <v>2.4036457852754505</v>
      </c>
      <c r="G48" s="331">
        <f>E48/'- 7 -'!E48</f>
        <v>288.89409969874276</v>
      </c>
    </row>
    <row r="49" spans="1:8" ht="5.0999999999999996" customHeight="1">
      <c r="A49" s="28" t="s">
        <v>16</v>
      </c>
      <c r="B49" s="29"/>
      <c r="C49"/>
      <c r="D49"/>
      <c r="E49"/>
      <c r="F49"/>
      <c r="G49"/>
    </row>
    <row r="50" spans="1:8" ht="14.1" customHeight="1">
      <c r="A50" s="26" t="s">
        <v>271</v>
      </c>
      <c r="B50" s="27">
        <f>'- 27 -'!B50</f>
        <v>4879</v>
      </c>
      <c r="C50" s="79">
        <f>'- 27 -'!C50</f>
        <v>0.15324252899484334</v>
      </c>
      <c r="D50" s="27">
        <f>'- 27 -'!D50</f>
        <v>27.643059490084987</v>
      </c>
      <c r="E50" s="27">
        <f>SUM('- 38 -'!B50,'- 38 -'!E50,'- 38 -'!H50,B50)</f>
        <v>77901</v>
      </c>
      <c r="F50" s="79">
        <f>E50/'- 3 -'!D50*100</f>
        <v>2.4467608631332833</v>
      </c>
      <c r="G50" s="27">
        <f>E50/'- 7 -'!E50</f>
        <v>441.36543909348444</v>
      </c>
    </row>
    <row r="51" spans="1:8" ht="14.1" customHeight="1">
      <c r="A51" s="328" t="s">
        <v>272</v>
      </c>
      <c r="B51" s="329">
        <f>'- 27 -'!B51</f>
        <v>626368</v>
      </c>
      <c r="C51" s="335">
        <f>'- 27 -'!C51</f>
        <v>3.1812860934939575</v>
      </c>
      <c r="D51" s="329">
        <f>'- 27 -'!D51</f>
        <v>866.46562456771335</v>
      </c>
      <c r="E51" s="329">
        <f>SUM('- 38 -'!B51,'- 38 -'!E51,'- 38 -'!H51,B51)</f>
        <v>828529</v>
      </c>
      <c r="F51" s="335">
        <f>E51/'- 3 -'!D51*100</f>
        <v>4.2080498776381541</v>
      </c>
      <c r="G51" s="329">
        <f>E51/'- 7 -'!E51</f>
        <v>1146.1184119518607</v>
      </c>
    </row>
    <row r="52" spans="1:8" ht="50.1" customHeight="1">
      <c r="A52" s="30"/>
      <c r="B52" s="30"/>
      <c r="C52" s="30"/>
      <c r="D52" s="30"/>
      <c r="E52" s="30"/>
      <c r="F52" s="30"/>
      <c r="G52" s="30"/>
      <c r="H52" s="30"/>
    </row>
    <row r="53" spans="1:8" ht="15" customHeight="1">
      <c r="A53" s="151" t="s">
        <v>617</v>
      </c>
    </row>
    <row r="54" spans="1:8" ht="12" customHeight="1">
      <c r="A54" s="151" t="s">
        <v>618</v>
      </c>
      <c r="B54" s="148"/>
      <c r="C54" s="148"/>
      <c r="D54" s="148"/>
    </row>
  </sheetData>
  <phoneticPr fontId="6" type="noConversion"/>
  <pageMargins left="0.5" right="0.5" top="0.6" bottom="0.2" header="0.3" footer="0.5"/>
  <pageSetup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sheetPr codeName="Sheet35">
    <pageSetUpPr fitToPage="1"/>
  </sheetPr>
  <dimension ref="A1:L55"/>
  <sheetViews>
    <sheetView showGridLines="0" showZeros="0" workbookViewId="0"/>
  </sheetViews>
  <sheetFormatPr defaultColWidth="14.83203125" defaultRowHeight="12"/>
  <cols>
    <col min="1" max="1" width="31.83203125" style="1" customWidth="1"/>
    <col min="2" max="2" width="15.83203125" style="1" customWidth="1"/>
    <col min="3" max="3" width="13.83203125" style="1" customWidth="1"/>
    <col min="4" max="5" width="14.83203125" style="1" customWidth="1"/>
    <col min="6" max="6" width="12.83203125" style="1" customWidth="1"/>
    <col min="7" max="7" width="16.83203125" style="1" customWidth="1"/>
    <col min="8" max="8" width="11.83203125" style="1" customWidth="1"/>
    <col min="9" max="10" width="14.83203125" style="1"/>
    <col min="11" max="11" width="19.5" style="1" customWidth="1"/>
    <col min="12" max="16384" width="14.83203125" style="1"/>
  </cols>
  <sheetData>
    <row r="1" spans="1:12" ht="6.95" customHeight="1">
      <c r="A1" s="6"/>
      <c r="J1" s="629">
        <v>100.00000000000003</v>
      </c>
    </row>
    <row r="2" spans="1:12" ht="15.95" customHeight="1">
      <c r="A2" s="233" t="str">
        <f>"  SUMMARY"&amp;REPLACE(REVYEAR,1,8,"")</f>
        <v xml:space="preserve">  SUMMARY OF OPERATING FUND REVENUE: 2013/2014 ACTUAL</v>
      </c>
      <c r="B2" s="48"/>
      <c r="C2" s="48"/>
      <c r="D2" s="48"/>
      <c r="E2" s="48"/>
      <c r="F2" s="48"/>
      <c r="G2" s="48"/>
      <c r="H2" s="48"/>
    </row>
    <row r="3" spans="1:12" ht="15.95" customHeight="1">
      <c r="A3" s="693"/>
    </row>
    <row r="4" spans="1:12" ht="15.95" customHeight="1">
      <c r="B4" s="7"/>
      <c r="C4" s="78"/>
      <c r="D4" s="78"/>
      <c r="E4" s="7"/>
      <c r="F4" s="7"/>
      <c r="G4" s="7"/>
      <c r="H4" s="7"/>
    </row>
    <row r="5" spans="1:12" ht="15.95" customHeight="1">
      <c r="B5" s="7"/>
      <c r="C5" s="7"/>
      <c r="D5" s="7"/>
      <c r="E5" s="7"/>
      <c r="F5" s="7"/>
      <c r="G5" s="7"/>
      <c r="H5" s="7"/>
    </row>
    <row r="6" spans="1:12" ht="15.95" customHeight="1">
      <c r="B6" s="235" t="s">
        <v>114</v>
      </c>
      <c r="C6" s="194"/>
      <c r="D6" s="194"/>
      <c r="E6" s="194"/>
      <c r="F6" s="194"/>
      <c r="G6" s="194"/>
      <c r="H6" s="195"/>
    </row>
    <row r="7" spans="1:12" ht="15.95" customHeight="1">
      <c r="B7" s="355" t="s">
        <v>122</v>
      </c>
      <c r="C7" s="358"/>
      <c r="D7" s="358"/>
      <c r="E7" s="349" t="s">
        <v>57</v>
      </c>
      <c r="F7" s="349" t="s">
        <v>16</v>
      </c>
      <c r="G7" s="349" t="s">
        <v>113</v>
      </c>
      <c r="H7" s="349" t="s">
        <v>16</v>
      </c>
    </row>
    <row r="8" spans="1:12" ht="15.95" customHeight="1">
      <c r="A8" s="40"/>
      <c r="B8" s="391"/>
      <c r="C8" s="433"/>
      <c r="D8" s="433"/>
      <c r="E8" s="406" t="s">
        <v>140</v>
      </c>
      <c r="F8" s="406" t="s">
        <v>141</v>
      </c>
      <c r="G8" s="406" t="s">
        <v>142</v>
      </c>
      <c r="H8" s="406" t="s">
        <v>16</v>
      </c>
    </row>
    <row r="9" spans="1:12" ht="15.95" customHeight="1">
      <c r="A9" s="93" t="s">
        <v>93</v>
      </c>
      <c r="B9" s="353" t="s">
        <v>409</v>
      </c>
      <c r="C9" s="353" t="s">
        <v>116</v>
      </c>
      <c r="D9" s="353" t="s">
        <v>117</v>
      </c>
      <c r="E9" s="353" t="s">
        <v>136</v>
      </c>
      <c r="F9" s="353" t="s">
        <v>154</v>
      </c>
      <c r="G9" s="353" t="s">
        <v>155</v>
      </c>
      <c r="H9" s="353" t="s">
        <v>57</v>
      </c>
      <c r="J9" s="630" t="s">
        <v>182</v>
      </c>
    </row>
    <row r="10" spans="1:12" ht="5.0999999999999996" customHeight="1">
      <c r="A10" s="5"/>
      <c r="B10" s="236"/>
      <c r="C10" s="236"/>
      <c r="D10" s="236"/>
      <c r="E10" s="236"/>
      <c r="F10" s="236"/>
      <c r="G10" s="236"/>
      <c r="H10" s="236"/>
    </row>
    <row r="11" spans="1:12" ht="14.1" customHeight="1">
      <c r="A11" s="328" t="s">
        <v>235</v>
      </c>
      <c r="B11" s="335">
        <f>'- 42 -'!I11</f>
        <v>64.579043480608888</v>
      </c>
      <c r="C11" s="335">
        <f>'- 43 -'!C11</f>
        <v>0</v>
      </c>
      <c r="D11" s="335">
        <f>'- 43 -'!E11</f>
        <v>34.123839477292684</v>
      </c>
      <c r="E11" s="335">
        <f>'- 43 -'!G11</f>
        <v>0.35374150622425871</v>
      </c>
      <c r="F11" s="335">
        <f>'- 43 -'!I11</f>
        <v>0.14043537797103067</v>
      </c>
      <c r="G11" s="335">
        <f>'- 44 -'!C11</f>
        <v>0.20024717098178244</v>
      </c>
      <c r="H11" s="335">
        <f>'- 44 -'!E11</f>
        <v>0.60269298692135109</v>
      </c>
      <c r="J11" s="149">
        <f>SUM(B11:H11)</f>
        <v>100</v>
      </c>
      <c r="K11" s="629" t="s">
        <v>133</v>
      </c>
      <c r="L11" s="631">
        <f>B48</f>
        <v>63.783559432226788</v>
      </c>
    </row>
    <row r="12" spans="1:12" ht="14.1" customHeight="1">
      <c r="A12" s="26" t="s">
        <v>236</v>
      </c>
      <c r="B12" s="79">
        <f>'- 42 -'!I12</f>
        <v>65.790834606771071</v>
      </c>
      <c r="C12" s="79">
        <f>'- 43 -'!C12</f>
        <v>2.3723007826871494</v>
      </c>
      <c r="D12" s="79">
        <f>'- 43 -'!E12</f>
        <v>27.251432331223064</v>
      </c>
      <c r="E12" s="79">
        <f>'- 43 -'!G12</f>
        <v>1.5916837009637419</v>
      </c>
      <c r="F12" s="79">
        <f>'- 43 -'!I12</f>
        <v>1.5089481582350077</v>
      </c>
      <c r="G12" s="79">
        <f>'- 44 -'!C12</f>
        <v>0.82025369017068894</v>
      </c>
      <c r="H12" s="79">
        <f>'- 44 -'!E12</f>
        <v>0.66454672994927111</v>
      </c>
      <c r="J12" s="149">
        <f t="shared" ref="J12:J46" si="0">SUM(B12:H12)</f>
        <v>99.999999999999986</v>
      </c>
      <c r="K12" s="629" t="s">
        <v>116</v>
      </c>
      <c r="L12" s="631">
        <f>C48</f>
        <v>1.7351487170351836</v>
      </c>
    </row>
    <row r="13" spans="1:12" ht="14.1" customHeight="1">
      <c r="A13" s="328" t="s">
        <v>237</v>
      </c>
      <c r="B13" s="335">
        <f>'- 42 -'!I13</f>
        <v>61.674894883952568</v>
      </c>
      <c r="C13" s="335">
        <f>'- 43 -'!C13</f>
        <v>2.8557600174137408E-2</v>
      </c>
      <c r="D13" s="335">
        <f>'- 43 -'!E13</f>
        <v>36.797878628044664</v>
      </c>
      <c r="E13" s="335">
        <f>'- 43 -'!G13</f>
        <v>0.3610923911255246</v>
      </c>
      <c r="F13" s="335">
        <f>'- 43 -'!I13</f>
        <v>0.19852104912770216</v>
      </c>
      <c r="G13" s="335">
        <f>'- 44 -'!C13</f>
        <v>0.86106814616077276</v>
      </c>
      <c r="H13" s="335">
        <f>'- 44 -'!E13</f>
        <v>7.7987301414628077E-2</v>
      </c>
      <c r="J13" s="149">
        <f t="shared" si="0"/>
        <v>100</v>
      </c>
      <c r="K13" s="629" t="s">
        <v>117</v>
      </c>
      <c r="L13" s="631">
        <f>D48</f>
        <v>30.05308694012675</v>
      </c>
    </row>
    <row r="14" spans="1:12" ht="14.1" customHeight="1">
      <c r="A14" s="26" t="s">
        <v>636</v>
      </c>
      <c r="B14" s="79">
        <f>'- 42 -'!I14</f>
        <v>74.612019231031695</v>
      </c>
      <c r="C14" s="79">
        <f>'- 43 -'!C14</f>
        <v>8.696843286766813E-2</v>
      </c>
      <c r="D14" s="79">
        <f>'- 43 -'!E14</f>
        <v>23.290655778308885</v>
      </c>
      <c r="E14" s="79">
        <f>'- 43 -'!G14</f>
        <v>1.7018824704979036</v>
      </c>
      <c r="F14" s="79">
        <f>'- 43 -'!I14</f>
        <v>0</v>
      </c>
      <c r="G14" s="79">
        <f>'- 44 -'!C14</f>
        <v>0.22734456211874082</v>
      </c>
      <c r="H14" s="79">
        <f>'- 44 -'!E14</f>
        <v>8.1129525175099651E-2</v>
      </c>
      <c r="J14" s="149">
        <f t="shared" si="0"/>
        <v>100</v>
      </c>
      <c r="K14" s="629" t="s">
        <v>161</v>
      </c>
      <c r="L14" s="631">
        <f>E48</f>
        <v>0.57008149285350762</v>
      </c>
    </row>
    <row r="15" spans="1:12" ht="14.1" customHeight="1">
      <c r="A15" s="328" t="s">
        <v>238</v>
      </c>
      <c r="B15" s="335">
        <f>'- 42 -'!I15</f>
        <v>64.170455671512315</v>
      </c>
      <c r="C15" s="335">
        <f>'- 43 -'!C15</f>
        <v>0</v>
      </c>
      <c r="D15" s="335">
        <f>'- 43 -'!E15</f>
        <v>34.506242515004423</v>
      </c>
      <c r="E15" s="335">
        <f>'- 43 -'!G15</f>
        <v>0.21408297334336171</v>
      </c>
      <c r="F15" s="335">
        <f>'- 43 -'!I15</f>
        <v>0.29827716744665461</v>
      </c>
      <c r="G15" s="335">
        <f>'- 44 -'!C15</f>
        <v>0.34798337591275658</v>
      </c>
      <c r="H15" s="335">
        <f>'- 44 -'!E15</f>
        <v>0.46295829678049266</v>
      </c>
      <c r="J15" s="149">
        <f t="shared" si="0"/>
        <v>100.00000000000003</v>
      </c>
      <c r="K15" s="629" t="s">
        <v>137</v>
      </c>
      <c r="L15" s="631">
        <f>F48</f>
        <v>2.5091165907237154</v>
      </c>
    </row>
    <row r="16" spans="1:12" ht="14.1" customHeight="1">
      <c r="A16" s="26" t="s">
        <v>239</v>
      </c>
      <c r="B16" s="79">
        <f>'- 42 -'!I16</f>
        <v>74.246801744156883</v>
      </c>
      <c r="C16" s="79">
        <f>'- 43 -'!C16</f>
        <v>0.16836597875737308</v>
      </c>
      <c r="D16" s="79">
        <f>'- 43 -'!E16</f>
        <v>22.109938005564679</v>
      </c>
      <c r="E16" s="79">
        <f>'- 43 -'!G16</f>
        <v>1.7473854053399622</v>
      </c>
      <c r="F16" s="79">
        <f>'- 43 -'!I16</f>
        <v>0</v>
      </c>
      <c r="G16" s="79">
        <f>'- 44 -'!C16</f>
        <v>1.3677397357664933</v>
      </c>
      <c r="H16" s="79">
        <f>'- 44 -'!E16</f>
        <v>0.35976913041461256</v>
      </c>
      <c r="J16" s="149">
        <f t="shared" si="0"/>
        <v>100.00000000000001</v>
      </c>
      <c r="K16" s="629" t="s">
        <v>113</v>
      </c>
      <c r="L16" s="631">
        <f>G48</f>
        <v>1.0084992985475574</v>
      </c>
    </row>
    <row r="17" spans="1:12" ht="14.1" customHeight="1">
      <c r="A17" s="328" t="s">
        <v>240</v>
      </c>
      <c r="B17" s="335">
        <f>'- 42 -'!I17</f>
        <v>57.705915519374116</v>
      </c>
      <c r="C17" s="335">
        <f>'- 43 -'!C17</f>
        <v>0</v>
      </c>
      <c r="D17" s="335">
        <f>'- 43 -'!E17</f>
        <v>37.162877512075674</v>
      </c>
      <c r="E17" s="335">
        <f>'- 43 -'!G17</f>
        <v>4.5264193168078018E-2</v>
      </c>
      <c r="F17" s="335">
        <f>'- 43 -'!I17</f>
        <v>4.7839377573240371</v>
      </c>
      <c r="G17" s="335">
        <f>'- 44 -'!C17</f>
        <v>0</v>
      </c>
      <c r="H17" s="335">
        <f>'- 44 -'!E17</f>
        <v>0.30200501805809188</v>
      </c>
      <c r="J17" s="149">
        <f t="shared" si="0"/>
        <v>100.00000000000001</v>
      </c>
      <c r="K17" s="632" t="s">
        <v>57</v>
      </c>
      <c r="L17" s="631">
        <f>H48</f>
        <v>0.34050752848649685</v>
      </c>
    </row>
    <row r="18" spans="1:12" ht="14.1" customHeight="1">
      <c r="A18" s="26" t="s">
        <v>241</v>
      </c>
      <c r="B18" s="79">
        <f>'- 42 -'!I18</f>
        <v>39.496837317021296</v>
      </c>
      <c r="C18" s="79">
        <f>'- 43 -'!C18</f>
        <v>24.765237244916147</v>
      </c>
      <c r="D18" s="79">
        <f>'- 43 -'!E18</f>
        <v>2.3906745389318869</v>
      </c>
      <c r="E18" s="79">
        <f>'- 43 -'!G18</f>
        <v>1.239848630059855E-2</v>
      </c>
      <c r="F18" s="79">
        <f>'- 43 -'!I18</f>
        <v>29.049265552218127</v>
      </c>
      <c r="G18" s="79">
        <f>'- 44 -'!C18</f>
        <v>3.669185782105775</v>
      </c>
      <c r="H18" s="79">
        <f>'- 44 -'!E18</f>
        <v>0.61640107850617409</v>
      </c>
      <c r="J18" s="149">
        <f t="shared" si="0"/>
        <v>100</v>
      </c>
      <c r="K18" s="629"/>
      <c r="L18" s="629"/>
    </row>
    <row r="19" spans="1:12" ht="14.1" customHeight="1">
      <c r="A19" s="328" t="s">
        <v>242</v>
      </c>
      <c r="B19" s="335">
        <f>'- 42 -'!I19</f>
        <v>67.012272107033283</v>
      </c>
      <c r="C19" s="335">
        <f>'- 43 -'!C19</f>
        <v>0</v>
      </c>
      <c r="D19" s="335">
        <f>'- 43 -'!E19</f>
        <v>30.722314893227185</v>
      </c>
      <c r="E19" s="335">
        <f>'- 43 -'!G19</f>
        <v>0.92650177468458395</v>
      </c>
      <c r="F19" s="335">
        <f>'- 43 -'!I19</f>
        <v>0</v>
      </c>
      <c r="G19" s="335">
        <f>'- 44 -'!C19</f>
        <v>2.0903234202926051E-2</v>
      </c>
      <c r="H19" s="335">
        <f>'- 44 -'!E19</f>
        <v>1.3180079908520177</v>
      </c>
      <c r="J19" s="149">
        <f t="shared" si="0"/>
        <v>99.999999999999986</v>
      </c>
      <c r="K19" s="629"/>
      <c r="L19" s="631">
        <f>SUM(L11:L17)</f>
        <v>100</v>
      </c>
    </row>
    <row r="20" spans="1:12" ht="14.1" customHeight="1">
      <c r="A20" s="26" t="s">
        <v>243</v>
      </c>
      <c r="B20" s="79">
        <f>'- 42 -'!I20</f>
        <v>71.760830445708194</v>
      </c>
      <c r="C20" s="79">
        <f>'- 43 -'!C20</f>
        <v>0</v>
      </c>
      <c r="D20" s="79">
        <f>'- 43 -'!E20</f>
        <v>27.427682171351186</v>
      </c>
      <c r="E20" s="79">
        <f>'- 43 -'!G20</f>
        <v>0.20272515457217111</v>
      </c>
      <c r="F20" s="79">
        <f>'- 43 -'!I20</f>
        <v>0</v>
      </c>
      <c r="G20" s="79">
        <f>'- 44 -'!C20</f>
        <v>0.47564389391495654</v>
      </c>
      <c r="H20" s="79">
        <f>'- 44 -'!E20</f>
        <v>0.13311833445349372</v>
      </c>
      <c r="J20" s="149">
        <f t="shared" si="0"/>
        <v>100.00000000000001</v>
      </c>
      <c r="K20" s="629"/>
      <c r="L20" s="629"/>
    </row>
    <row r="21" spans="1:12" ht="14.1" customHeight="1">
      <c r="A21" s="328" t="s">
        <v>244</v>
      </c>
      <c r="B21" s="335">
        <f>'- 42 -'!I21</f>
        <v>65.620456586824204</v>
      </c>
      <c r="C21" s="335">
        <f>'- 43 -'!C21</f>
        <v>2.0030004947411223E-2</v>
      </c>
      <c r="D21" s="335">
        <f>'- 43 -'!E21</f>
        <v>33.233209061459782</v>
      </c>
      <c r="E21" s="335">
        <f>'- 43 -'!G21</f>
        <v>0.10864274683475847</v>
      </c>
      <c r="F21" s="335">
        <f>'- 43 -'!I21</f>
        <v>0</v>
      </c>
      <c r="G21" s="335">
        <f>'- 44 -'!C21</f>
        <v>0.61793423691547078</v>
      </c>
      <c r="H21" s="335">
        <f>'- 44 -'!E21</f>
        <v>0.39972736301837297</v>
      </c>
      <c r="J21" s="149">
        <f t="shared" si="0"/>
        <v>100.00000000000001</v>
      </c>
    </row>
    <row r="22" spans="1:12" ht="14.1" customHeight="1">
      <c r="A22" s="26" t="s">
        <v>245</v>
      </c>
      <c r="B22" s="79">
        <f>'- 42 -'!I22</f>
        <v>82.881869773052273</v>
      </c>
      <c r="C22" s="79">
        <f>'- 43 -'!C22</f>
        <v>0.10728383807905152</v>
      </c>
      <c r="D22" s="79">
        <f>'- 43 -'!E22</f>
        <v>16.19625341348948</v>
      </c>
      <c r="E22" s="79">
        <f>'- 43 -'!G22</f>
        <v>5.2772354222445625E-2</v>
      </c>
      <c r="F22" s="79">
        <f>'- 43 -'!I22</f>
        <v>8.0204566657744256E-3</v>
      </c>
      <c r="G22" s="79">
        <f>'- 44 -'!C22</f>
        <v>0</v>
      </c>
      <c r="H22" s="79">
        <f>'- 44 -'!E22</f>
        <v>0.75380016449097287</v>
      </c>
      <c r="J22" s="149">
        <f t="shared" si="0"/>
        <v>100</v>
      </c>
    </row>
    <row r="23" spans="1:12" ht="14.1" customHeight="1">
      <c r="A23" s="328" t="s">
        <v>246</v>
      </c>
      <c r="B23" s="335">
        <f>'- 42 -'!I23</f>
        <v>71.508832587641109</v>
      </c>
      <c r="C23" s="335">
        <f>'- 43 -'!C23</f>
        <v>0</v>
      </c>
      <c r="D23" s="335">
        <f>'- 43 -'!E23</f>
        <v>20.035812076014796</v>
      </c>
      <c r="E23" s="335">
        <f>'- 43 -'!G23</f>
        <v>0.38023861515027735</v>
      </c>
      <c r="F23" s="335">
        <f>'- 43 -'!I23</f>
        <v>5.9286528579990758</v>
      </c>
      <c r="G23" s="335">
        <f>'- 44 -'!C23</f>
        <v>1.0538430190609622</v>
      </c>
      <c r="H23" s="335">
        <f>'- 44 -'!E23</f>
        <v>1.0926208441337819</v>
      </c>
      <c r="J23" s="149">
        <f t="shared" si="0"/>
        <v>99.999999999999986</v>
      </c>
    </row>
    <row r="24" spans="1:12" ht="14.1" customHeight="1">
      <c r="A24" s="26" t="s">
        <v>247</v>
      </c>
      <c r="B24" s="79">
        <f>'- 42 -'!I24</f>
        <v>63.187878552769519</v>
      </c>
      <c r="C24" s="79">
        <f>'- 43 -'!C24</f>
        <v>0</v>
      </c>
      <c r="D24" s="79">
        <f>'- 43 -'!E24</f>
        <v>34.382425431006034</v>
      </c>
      <c r="E24" s="79">
        <f>'- 43 -'!G24</f>
        <v>0.35513962906416036</v>
      </c>
      <c r="F24" s="79">
        <f>'- 43 -'!I24</f>
        <v>0.81589670931547176</v>
      </c>
      <c r="G24" s="79">
        <f>'- 44 -'!C24</f>
        <v>0.90451303178106923</v>
      </c>
      <c r="H24" s="79">
        <f>'- 44 -'!E24</f>
        <v>0.35414664606375146</v>
      </c>
      <c r="J24" s="149">
        <f t="shared" si="0"/>
        <v>99.999999999999986</v>
      </c>
    </row>
    <row r="25" spans="1:12" ht="14.1" customHeight="1">
      <c r="A25" s="328" t="s">
        <v>248</v>
      </c>
      <c r="B25" s="335">
        <f>'- 42 -'!I25</f>
        <v>65.148639265918547</v>
      </c>
      <c r="C25" s="335">
        <f>'- 43 -'!C25</f>
        <v>0.11226148892693238</v>
      </c>
      <c r="D25" s="335">
        <f>'- 43 -'!E25</f>
        <v>32.256770438781842</v>
      </c>
      <c r="E25" s="335">
        <f>'- 43 -'!G25</f>
        <v>0.30926173515679284</v>
      </c>
      <c r="F25" s="335">
        <f>'- 43 -'!I25</f>
        <v>0</v>
      </c>
      <c r="G25" s="335">
        <f>'- 44 -'!C25</f>
        <v>1.8883295457857778</v>
      </c>
      <c r="H25" s="335">
        <f>'- 44 -'!E25</f>
        <v>0.28473752543010494</v>
      </c>
      <c r="J25" s="149">
        <f t="shared" si="0"/>
        <v>100</v>
      </c>
    </row>
    <row r="26" spans="1:12" ht="14.1" customHeight="1">
      <c r="A26" s="26" t="s">
        <v>249</v>
      </c>
      <c r="B26" s="79">
        <f>'- 42 -'!I26</f>
        <v>69.056838970006524</v>
      </c>
      <c r="C26" s="79">
        <f>'- 43 -'!C26</f>
        <v>1.2843624400329114</v>
      </c>
      <c r="D26" s="79">
        <f>'- 43 -'!E26</f>
        <v>25.735193282699353</v>
      </c>
      <c r="E26" s="79">
        <f>'- 43 -'!G26</f>
        <v>1.2997963218386173</v>
      </c>
      <c r="F26" s="79">
        <f>'- 43 -'!I26</f>
        <v>0.71115711053658326</v>
      </c>
      <c r="G26" s="79">
        <f>'- 44 -'!C26</f>
        <v>1.6853359808833746</v>
      </c>
      <c r="H26" s="79">
        <f>'- 44 -'!E26</f>
        <v>0.22731589400263119</v>
      </c>
      <c r="J26" s="149">
        <f t="shared" si="0"/>
        <v>100</v>
      </c>
    </row>
    <row r="27" spans="1:12" ht="14.1" customHeight="1">
      <c r="A27" s="328" t="s">
        <v>250</v>
      </c>
      <c r="B27" s="335">
        <f>'- 42 -'!I27</f>
        <v>77.838015356921503</v>
      </c>
      <c r="C27" s="335">
        <f>'- 43 -'!C27</f>
        <v>7.1882280336204279E-2</v>
      </c>
      <c r="D27" s="335">
        <f>'- 43 -'!E27</f>
        <v>19.432025246742864</v>
      </c>
      <c r="E27" s="335">
        <f>'- 43 -'!G27</f>
        <v>0.50438899335424658</v>
      </c>
      <c r="F27" s="335">
        <f>'- 43 -'!I27</f>
        <v>0.66382866681241726</v>
      </c>
      <c r="G27" s="335">
        <f>'- 44 -'!C27</f>
        <v>1.0041424753839441</v>
      </c>
      <c r="H27" s="335">
        <f>'- 44 -'!E27</f>
        <v>0.48571698044881995</v>
      </c>
      <c r="J27" s="149">
        <f t="shared" si="0"/>
        <v>99.999999999999986</v>
      </c>
    </row>
    <row r="28" spans="1:12" ht="14.1" customHeight="1">
      <c r="A28" s="26" t="s">
        <v>251</v>
      </c>
      <c r="B28" s="79">
        <f>'- 42 -'!I28</f>
        <v>51.471623133868114</v>
      </c>
      <c r="C28" s="79">
        <f>'- 43 -'!C28</f>
        <v>7.849135137438356E-5</v>
      </c>
      <c r="D28" s="79">
        <f>'- 43 -'!E28</f>
        <v>22.628510899458558</v>
      </c>
      <c r="E28" s="79">
        <f>'- 43 -'!G28</f>
        <v>8.1855266433285709E-2</v>
      </c>
      <c r="F28" s="79">
        <f>'- 43 -'!I28</f>
        <v>25.673156780120308</v>
      </c>
      <c r="G28" s="79">
        <f>'- 44 -'!C28</f>
        <v>7.8491351374383567E-2</v>
      </c>
      <c r="H28" s="79">
        <f>'- 44 -'!E28</f>
        <v>6.6284077393967536E-2</v>
      </c>
      <c r="J28" s="149">
        <f t="shared" si="0"/>
        <v>99.999999999999986</v>
      </c>
    </row>
    <row r="29" spans="1:12" ht="14.1" customHeight="1">
      <c r="A29" s="328" t="s">
        <v>252</v>
      </c>
      <c r="B29" s="335">
        <f>'- 42 -'!I29</f>
        <v>56.403161682999801</v>
      </c>
      <c r="C29" s="335">
        <f>'- 43 -'!C29</f>
        <v>5.0620057191812735E-2</v>
      </c>
      <c r="D29" s="335">
        <f>'- 43 -'!E29</f>
        <v>40.722277517417304</v>
      </c>
      <c r="E29" s="335">
        <f>'- 43 -'!G29</f>
        <v>0.47747472834327087</v>
      </c>
      <c r="F29" s="335">
        <f>'- 43 -'!I29</f>
        <v>2.4708606918582458E-2</v>
      </c>
      <c r="G29" s="335">
        <f>'- 44 -'!C29</f>
        <v>1.9250333801011426</v>
      </c>
      <c r="H29" s="335">
        <f>'- 44 -'!E29</f>
        <v>0.39672402702808873</v>
      </c>
      <c r="J29" s="149">
        <f t="shared" si="0"/>
        <v>100</v>
      </c>
    </row>
    <row r="30" spans="1:12" ht="14.1" customHeight="1">
      <c r="A30" s="26" t="s">
        <v>253</v>
      </c>
      <c r="B30" s="79">
        <f>'- 42 -'!I30</f>
        <v>67.247462598928891</v>
      </c>
      <c r="C30" s="79">
        <f>'- 43 -'!C30</f>
        <v>0</v>
      </c>
      <c r="D30" s="79">
        <f>'- 43 -'!E30</f>
        <v>32.207961274455116</v>
      </c>
      <c r="E30" s="79">
        <f>'- 43 -'!G30</f>
        <v>0.21144854898608573</v>
      </c>
      <c r="F30" s="79">
        <f>'- 43 -'!I30</f>
        <v>0</v>
      </c>
      <c r="G30" s="79">
        <f>'- 44 -'!C30</f>
        <v>0</v>
      </c>
      <c r="H30" s="79">
        <f>'- 44 -'!E30</f>
        <v>0.33312757762989686</v>
      </c>
      <c r="J30" s="149">
        <f t="shared" si="0"/>
        <v>99.999999999999986</v>
      </c>
    </row>
    <row r="31" spans="1:12" ht="14.1" customHeight="1">
      <c r="A31" s="328" t="s">
        <v>254</v>
      </c>
      <c r="B31" s="335">
        <f>'- 42 -'!I31</f>
        <v>63.288876541888598</v>
      </c>
      <c r="C31" s="335">
        <f>'- 43 -'!C31</f>
        <v>0</v>
      </c>
      <c r="D31" s="335">
        <f>'- 43 -'!E31</f>
        <v>32.862123223569007</v>
      </c>
      <c r="E31" s="335">
        <f>'- 43 -'!G31</f>
        <v>0.51403781825468575</v>
      </c>
      <c r="F31" s="335">
        <f>'- 43 -'!I31</f>
        <v>2.915080279538111</v>
      </c>
      <c r="G31" s="335">
        <f>'- 44 -'!C31</f>
        <v>6.6890127131090993E-2</v>
      </c>
      <c r="H31" s="335">
        <f>'- 44 -'!E31</f>
        <v>0.35299200961851562</v>
      </c>
      <c r="J31" s="149">
        <f t="shared" si="0"/>
        <v>100.00000000000003</v>
      </c>
    </row>
    <row r="32" spans="1:12" ht="14.1" customHeight="1">
      <c r="A32" s="26" t="s">
        <v>255</v>
      </c>
      <c r="B32" s="79">
        <f>'- 42 -'!I32</f>
        <v>63.992540589344671</v>
      </c>
      <c r="C32" s="79">
        <f>'- 43 -'!C32</f>
        <v>0</v>
      </c>
      <c r="D32" s="79">
        <f>'- 43 -'!E32</f>
        <v>35.175133939725583</v>
      </c>
      <c r="E32" s="79">
        <f>'- 43 -'!G32</f>
        <v>0.28105621800871422</v>
      </c>
      <c r="F32" s="79">
        <f>'- 43 -'!I32</f>
        <v>0</v>
      </c>
      <c r="G32" s="79">
        <f>'- 44 -'!C32</f>
        <v>5.5827380477755283E-2</v>
      </c>
      <c r="H32" s="79">
        <f>'- 44 -'!E32</f>
        <v>0.49544187244327209</v>
      </c>
      <c r="J32" s="149">
        <f t="shared" si="0"/>
        <v>99.999999999999986</v>
      </c>
    </row>
    <row r="33" spans="1:10" ht="14.1" customHeight="1">
      <c r="A33" s="328" t="s">
        <v>256</v>
      </c>
      <c r="B33" s="335">
        <f>'- 42 -'!I33</f>
        <v>63.704875258629066</v>
      </c>
      <c r="C33" s="335">
        <f>'- 43 -'!C33</f>
        <v>2.1176222918647292E-2</v>
      </c>
      <c r="D33" s="335">
        <f>'- 43 -'!E33</f>
        <v>34.587257975643034</v>
      </c>
      <c r="E33" s="335">
        <f>'- 43 -'!G33</f>
        <v>7.1294258790335324E-2</v>
      </c>
      <c r="F33" s="335">
        <f>'- 43 -'!I33</f>
        <v>1.0907509738704348</v>
      </c>
      <c r="G33" s="335">
        <f>'- 44 -'!C33</f>
        <v>0.19003758889251535</v>
      </c>
      <c r="H33" s="335">
        <f>'- 44 -'!E33</f>
        <v>0.33460772125597377</v>
      </c>
      <c r="J33" s="149">
        <f t="shared" si="0"/>
        <v>100</v>
      </c>
    </row>
    <row r="34" spans="1:10" ht="14.1" customHeight="1">
      <c r="A34" s="26" t="s">
        <v>257</v>
      </c>
      <c r="B34" s="79">
        <f>'- 42 -'!I34</f>
        <v>60.263151048905328</v>
      </c>
      <c r="C34" s="79">
        <f>'- 43 -'!C34</f>
        <v>4.270341878390705E-2</v>
      </c>
      <c r="D34" s="79">
        <f>'- 43 -'!E34</f>
        <v>36.040551600299338</v>
      </c>
      <c r="E34" s="79">
        <f>'- 43 -'!G34</f>
        <v>2.5514998831638103</v>
      </c>
      <c r="F34" s="79">
        <f>'- 43 -'!I34</f>
        <v>0</v>
      </c>
      <c r="G34" s="79">
        <f>'- 44 -'!C34</f>
        <v>0.73632586170766501</v>
      </c>
      <c r="H34" s="79">
        <f>'- 44 -'!E34</f>
        <v>0.36576818713994941</v>
      </c>
      <c r="J34" s="149">
        <f t="shared" si="0"/>
        <v>100</v>
      </c>
    </row>
    <row r="35" spans="1:10" ht="14.1" customHeight="1">
      <c r="A35" s="328" t="s">
        <v>258</v>
      </c>
      <c r="B35" s="335">
        <f>'- 42 -'!I35</f>
        <v>68.955265437877458</v>
      </c>
      <c r="C35" s="335">
        <f>'- 43 -'!C35</f>
        <v>0.22883679723372513</v>
      </c>
      <c r="D35" s="335">
        <f>'- 43 -'!E35</f>
        <v>28.861579429533339</v>
      </c>
      <c r="E35" s="335">
        <f>'- 43 -'!G35</f>
        <v>0.54574347147745594</v>
      </c>
      <c r="F35" s="335">
        <f>'- 43 -'!I35</f>
        <v>3.6807941573114601E-2</v>
      </c>
      <c r="G35" s="335">
        <f>'- 44 -'!C35</f>
        <v>1.1888867357825244</v>
      </c>
      <c r="H35" s="335">
        <f>'- 44 -'!E35</f>
        <v>0.18288018652238713</v>
      </c>
      <c r="J35" s="149">
        <f t="shared" si="0"/>
        <v>99.999999999999986</v>
      </c>
    </row>
    <row r="36" spans="1:10" ht="14.1" customHeight="1">
      <c r="A36" s="26" t="s">
        <v>259</v>
      </c>
      <c r="B36" s="79">
        <f>'- 42 -'!I36</f>
        <v>60.018770888503489</v>
      </c>
      <c r="C36" s="79">
        <f>'- 43 -'!C36</f>
        <v>0.12861550964844465</v>
      </c>
      <c r="D36" s="79">
        <f>'- 43 -'!E36</f>
        <v>33.561781797108125</v>
      </c>
      <c r="E36" s="79">
        <f>'- 43 -'!G36</f>
        <v>0.31854439972796605</v>
      </c>
      <c r="F36" s="79">
        <f>'- 43 -'!I36</f>
        <v>5.1439359575050672</v>
      </c>
      <c r="G36" s="79">
        <f>'- 44 -'!C36</f>
        <v>0.17292786330525145</v>
      </c>
      <c r="H36" s="79">
        <f>'- 44 -'!E36</f>
        <v>0.65542358420165436</v>
      </c>
      <c r="J36" s="149">
        <f t="shared" si="0"/>
        <v>100</v>
      </c>
    </row>
    <row r="37" spans="1:10" ht="14.1" customHeight="1">
      <c r="A37" s="328" t="s">
        <v>260</v>
      </c>
      <c r="B37" s="335">
        <f>'- 42 -'!I37</f>
        <v>73.854341653438183</v>
      </c>
      <c r="C37" s="335">
        <f>'- 43 -'!C37</f>
        <v>1.1096882173323346E-2</v>
      </c>
      <c r="D37" s="335">
        <f>'- 43 -'!E37</f>
        <v>25.090447807934314</v>
      </c>
      <c r="E37" s="335">
        <f>'- 43 -'!G37</f>
        <v>0.65969492089014203</v>
      </c>
      <c r="F37" s="335">
        <f>'- 43 -'!I37</f>
        <v>0.12701718249819194</v>
      </c>
      <c r="G37" s="335">
        <f>'- 44 -'!C37</f>
        <v>9.9189370588541326E-2</v>
      </c>
      <c r="H37" s="335">
        <f>'- 44 -'!E37</f>
        <v>0.15821218247730395</v>
      </c>
      <c r="J37" s="149">
        <f t="shared" si="0"/>
        <v>100</v>
      </c>
    </row>
    <row r="38" spans="1:10" ht="14.1" customHeight="1">
      <c r="A38" s="26" t="s">
        <v>261</v>
      </c>
      <c r="B38" s="79">
        <f>'- 42 -'!I38</f>
        <v>71.239850221183659</v>
      </c>
      <c r="C38" s="79">
        <f>'- 43 -'!C38</f>
        <v>0.52048218949560676</v>
      </c>
      <c r="D38" s="79">
        <f>'- 43 -'!E38</f>
        <v>25.832946405745105</v>
      </c>
      <c r="E38" s="79">
        <f>'- 43 -'!G38</f>
        <v>0.91725237367424228</v>
      </c>
      <c r="F38" s="79">
        <f>'- 43 -'!I38</f>
        <v>0.43462891119573865</v>
      </c>
      <c r="G38" s="79">
        <f>'- 44 -'!C38</f>
        <v>0.90651823123875119</v>
      </c>
      <c r="H38" s="79">
        <f>'- 44 -'!E38</f>
        <v>0.14832166746689307</v>
      </c>
      <c r="J38" s="149">
        <f t="shared" si="0"/>
        <v>100</v>
      </c>
    </row>
    <row r="39" spans="1:10" ht="14.1" customHeight="1">
      <c r="A39" s="328" t="s">
        <v>262</v>
      </c>
      <c r="B39" s="335">
        <f>'- 42 -'!I39</f>
        <v>57.213022998112628</v>
      </c>
      <c r="C39" s="335">
        <f>'- 43 -'!C39</f>
        <v>0</v>
      </c>
      <c r="D39" s="335">
        <f>'- 43 -'!E39</f>
        <v>41.91580110830418</v>
      </c>
      <c r="E39" s="335">
        <f>'- 43 -'!G39</f>
        <v>0.47891140822097483</v>
      </c>
      <c r="F39" s="335">
        <f>'- 43 -'!I39</f>
        <v>0</v>
      </c>
      <c r="G39" s="335">
        <f>'- 44 -'!C39</f>
        <v>2.6383707683595267E-3</v>
      </c>
      <c r="H39" s="335">
        <f>'- 44 -'!E39</f>
        <v>0.3896261145938652</v>
      </c>
      <c r="J39" s="149">
        <f t="shared" si="0"/>
        <v>100.00000000000001</v>
      </c>
    </row>
    <row r="40" spans="1:10" ht="14.1" customHeight="1">
      <c r="A40" s="26" t="s">
        <v>263</v>
      </c>
      <c r="B40" s="79">
        <f>'- 42 -'!I40</f>
        <v>58.213644004223355</v>
      </c>
      <c r="C40" s="79">
        <f>'- 43 -'!C40</f>
        <v>0</v>
      </c>
      <c r="D40" s="79">
        <f>'- 43 -'!E40</f>
        <v>37.550322531591526</v>
      </c>
      <c r="E40" s="79">
        <f>'- 43 -'!G40</f>
        <v>0.76608570201459003</v>
      </c>
      <c r="F40" s="79">
        <f>'- 43 -'!I40</f>
        <v>0.15000248291086798</v>
      </c>
      <c r="G40" s="79">
        <f>'- 44 -'!C40</f>
        <v>2.4458613170160017</v>
      </c>
      <c r="H40" s="79">
        <f>'- 44 -'!E40</f>
        <v>0.87408396224365814</v>
      </c>
      <c r="J40" s="149">
        <f t="shared" si="0"/>
        <v>100</v>
      </c>
    </row>
    <row r="41" spans="1:10" ht="14.1" customHeight="1">
      <c r="A41" s="328" t="s">
        <v>264</v>
      </c>
      <c r="B41" s="335">
        <f>'- 42 -'!I41</f>
        <v>62.605731754079386</v>
      </c>
      <c r="C41" s="335">
        <f>'- 43 -'!C41</f>
        <v>3.4267107009968392E-2</v>
      </c>
      <c r="D41" s="335">
        <f>'- 43 -'!E41</f>
        <v>36.024497023265447</v>
      </c>
      <c r="E41" s="335">
        <f>'- 43 -'!G41</f>
        <v>0.27478713946359967</v>
      </c>
      <c r="F41" s="335">
        <f>'- 43 -'!I41</f>
        <v>0.58224311910370929</v>
      </c>
      <c r="G41" s="335">
        <f>'- 44 -'!C41</f>
        <v>0.18011685542513964</v>
      </c>
      <c r="H41" s="335">
        <f>'- 44 -'!E41</f>
        <v>0.29835700165275092</v>
      </c>
      <c r="J41" s="149">
        <f t="shared" si="0"/>
        <v>100</v>
      </c>
    </row>
    <row r="42" spans="1:10" ht="14.1" customHeight="1">
      <c r="A42" s="26" t="s">
        <v>265</v>
      </c>
      <c r="B42" s="79">
        <f>'- 42 -'!I42</f>
        <v>72.433478016302516</v>
      </c>
      <c r="C42" s="79">
        <f>'- 43 -'!C42</f>
        <v>0</v>
      </c>
      <c r="D42" s="79">
        <f>'- 43 -'!E42</f>
        <v>24.043434892256503</v>
      </c>
      <c r="E42" s="79">
        <f>'- 43 -'!G42</f>
        <v>0.17631873980649798</v>
      </c>
      <c r="F42" s="79">
        <f>'- 43 -'!I42</f>
        <v>1.7169822072393628</v>
      </c>
      <c r="G42" s="79">
        <f>'- 44 -'!C42</f>
        <v>1.0415218411184599</v>
      </c>
      <c r="H42" s="79">
        <f>'- 44 -'!E42</f>
        <v>0.58826430327666734</v>
      </c>
      <c r="J42" s="149">
        <f t="shared" si="0"/>
        <v>100.00000000000003</v>
      </c>
    </row>
    <row r="43" spans="1:10" ht="14.1" customHeight="1">
      <c r="A43" s="328" t="s">
        <v>266</v>
      </c>
      <c r="B43" s="335">
        <f>'- 42 -'!I43</f>
        <v>62.819164183870114</v>
      </c>
      <c r="C43" s="335">
        <f>'- 43 -'!C43</f>
        <v>1.4300520345035198E-3</v>
      </c>
      <c r="D43" s="335">
        <f>'- 43 -'!E43</f>
        <v>36.614397860836064</v>
      </c>
      <c r="E43" s="335">
        <f>'- 43 -'!G43</f>
        <v>0.30459300395922428</v>
      </c>
      <c r="F43" s="335">
        <f>'- 43 -'!I43</f>
        <v>0</v>
      </c>
      <c r="G43" s="335">
        <f>'- 44 -'!C43</f>
        <v>4.2869243475003822E-2</v>
      </c>
      <c r="H43" s="335">
        <f>'- 44 -'!E43</f>
        <v>0.21754565582509477</v>
      </c>
      <c r="J43" s="149">
        <f t="shared" si="0"/>
        <v>100</v>
      </c>
    </row>
    <row r="44" spans="1:10" ht="14.1" customHeight="1">
      <c r="A44" s="26" t="s">
        <v>267</v>
      </c>
      <c r="B44" s="79">
        <f>'- 42 -'!I44</f>
        <v>78.842640322870622</v>
      </c>
      <c r="C44" s="79">
        <f>'- 43 -'!C44</f>
        <v>0</v>
      </c>
      <c r="D44" s="79">
        <f>'- 43 -'!E44</f>
        <v>20.583221546028728</v>
      </c>
      <c r="E44" s="79">
        <f>'- 43 -'!G44</f>
        <v>0.19049710677939821</v>
      </c>
      <c r="F44" s="79">
        <f>'- 43 -'!I44</f>
        <v>0</v>
      </c>
      <c r="G44" s="79">
        <f>'- 44 -'!C44</f>
        <v>0.29341133701401834</v>
      </c>
      <c r="H44" s="79">
        <f>'- 44 -'!E44</f>
        <v>9.0229687307241888E-2</v>
      </c>
      <c r="J44" s="149">
        <f t="shared" si="0"/>
        <v>100.00000000000001</v>
      </c>
    </row>
    <row r="45" spans="1:10" ht="14.1" customHeight="1">
      <c r="A45" s="328" t="s">
        <v>268</v>
      </c>
      <c r="B45" s="335">
        <f>'- 42 -'!I45</f>
        <v>66.49424064852731</v>
      </c>
      <c r="C45" s="335">
        <f>'- 43 -'!C45</f>
        <v>5.6592930124548316E-2</v>
      </c>
      <c r="D45" s="335">
        <f>'- 43 -'!E45</f>
        <v>31.2295334328556</v>
      </c>
      <c r="E45" s="335">
        <f>'- 43 -'!G45</f>
        <v>0.35096390774913683</v>
      </c>
      <c r="F45" s="335">
        <f>'- 43 -'!I45</f>
        <v>0</v>
      </c>
      <c r="G45" s="335">
        <f>'- 44 -'!C45</f>
        <v>1.7104653500195675</v>
      </c>
      <c r="H45" s="335">
        <f>'- 44 -'!E45</f>
        <v>0.1582037307238417</v>
      </c>
      <c r="J45" s="149">
        <f t="shared" si="0"/>
        <v>100</v>
      </c>
    </row>
    <row r="46" spans="1:10" ht="14.1" customHeight="1">
      <c r="A46" s="26" t="s">
        <v>269</v>
      </c>
      <c r="B46" s="79">
        <f>'- 42 -'!I46</f>
        <v>63.104684181838465</v>
      </c>
      <c r="C46" s="79">
        <f>'- 43 -'!C46</f>
        <v>0.86237861396767823</v>
      </c>
      <c r="D46" s="79">
        <f>'- 43 -'!E46</f>
        <v>34.265102912553871</v>
      </c>
      <c r="E46" s="79">
        <f>'- 43 -'!G46</f>
        <v>0.64915891472238896</v>
      </c>
      <c r="F46" s="79">
        <f>'- 43 -'!I46</f>
        <v>0.73110878961015302</v>
      </c>
      <c r="G46" s="79">
        <f>'- 44 -'!C46</f>
        <v>0.20096348994088498</v>
      </c>
      <c r="H46" s="79">
        <f>'- 44 -'!E46</f>
        <v>0.1866030973665499</v>
      </c>
      <c r="J46" s="149">
        <f t="shared" si="0"/>
        <v>99.999999999999986</v>
      </c>
    </row>
    <row r="47" spans="1:10" ht="5.0999999999999996" customHeight="1">
      <c r="A47" s="28"/>
      <c r="B47"/>
      <c r="C47"/>
      <c r="D47"/>
      <c r="E47"/>
      <c r="F47"/>
      <c r="G47"/>
      <c r="H47"/>
      <c r="J47" s="149"/>
    </row>
    <row r="48" spans="1:10" ht="14.1" customHeight="1">
      <c r="A48" s="330" t="s">
        <v>270</v>
      </c>
      <c r="B48" s="338">
        <f>'- 42 -'!I48</f>
        <v>63.783559432226788</v>
      </c>
      <c r="C48" s="338">
        <f>'- 43 -'!C48</f>
        <v>1.7351487170351836</v>
      </c>
      <c r="D48" s="338">
        <f>'- 43 -'!E48</f>
        <v>30.05308694012675</v>
      </c>
      <c r="E48" s="338">
        <f>'- 43 -'!G48</f>
        <v>0.57008149285350762</v>
      </c>
      <c r="F48" s="338">
        <f>'- 43 -'!I48</f>
        <v>2.5091165907237154</v>
      </c>
      <c r="G48" s="338">
        <f>'- 44 -'!C48</f>
        <v>1.0084992985475574</v>
      </c>
      <c r="H48" s="338">
        <f>'- 44 -'!E48</f>
        <v>0.34050752848649685</v>
      </c>
      <c r="J48" s="149">
        <f>SUM(B48:H48)</f>
        <v>100</v>
      </c>
    </row>
    <row r="49" spans="1:10" ht="5.0999999999999996" customHeight="1">
      <c r="A49" s="28" t="s">
        <v>16</v>
      </c>
      <c r="B49"/>
      <c r="C49"/>
      <c r="D49"/>
      <c r="E49"/>
      <c r="F49"/>
      <c r="G49"/>
      <c r="H49"/>
      <c r="J49" s="149"/>
    </row>
    <row r="50" spans="1:10" ht="14.1" customHeight="1">
      <c r="A50" s="26" t="s">
        <v>271</v>
      </c>
      <c r="B50" s="79">
        <f>'- 42 -'!I50</f>
        <v>42.987001449952956</v>
      </c>
      <c r="C50" s="79">
        <f>'- 43 -'!C50</f>
        <v>0</v>
      </c>
      <c r="D50" s="79">
        <f>'- 43 -'!E50</f>
        <v>55.582472567855312</v>
      </c>
      <c r="E50" s="79">
        <f>'- 43 -'!G50</f>
        <v>0.91909250220320926</v>
      </c>
      <c r="F50" s="79">
        <f>'- 43 -'!I50</f>
        <v>0</v>
      </c>
      <c r="G50" s="79">
        <f>'- 44 -'!C50</f>
        <v>0</v>
      </c>
      <c r="H50" s="79">
        <f>'- 44 -'!E50</f>
        <v>0.51143347998852828</v>
      </c>
      <c r="J50" s="149">
        <f>SUM(B50:H50)</f>
        <v>100</v>
      </c>
    </row>
    <row r="51" spans="1:10" ht="14.1" customHeight="1">
      <c r="A51" s="328" t="s">
        <v>272</v>
      </c>
      <c r="B51" s="335">
        <f>'- 42 -'!I51</f>
        <v>40.869484959729554</v>
      </c>
      <c r="C51" s="335">
        <f>'- 43 -'!C51</f>
        <v>17.850384523204276</v>
      </c>
      <c r="D51" s="335">
        <f>'- 43 -'!E51</f>
        <v>0</v>
      </c>
      <c r="E51" s="335">
        <f>'- 43 -'!G51</f>
        <v>6.7883300713960733</v>
      </c>
      <c r="F51" s="335">
        <f>'- 43 -'!I51</f>
        <v>0</v>
      </c>
      <c r="G51" s="335">
        <f>'- 44 -'!C51</f>
        <v>33.691823701136727</v>
      </c>
      <c r="H51" s="335">
        <f>'- 44 -'!E51</f>
        <v>0.79997674453337519</v>
      </c>
      <c r="J51" s="149"/>
    </row>
    <row r="52" spans="1:10" ht="50.1" customHeight="1">
      <c r="A52" s="30"/>
      <c r="B52" s="30"/>
      <c r="C52" s="30"/>
      <c r="D52" s="30"/>
      <c r="E52" s="30"/>
      <c r="F52" s="30"/>
      <c r="G52" s="30"/>
      <c r="H52" s="30"/>
    </row>
    <row r="53" spans="1:10" ht="15" customHeight="1">
      <c r="A53" s="45" t="s">
        <v>619</v>
      </c>
    </row>
    <row r="54" spans="1:10">
      <c r="A54" s="151" t="e">
        <f>"       includes teachers' retirement allowances, capital support and the education property tax credit, is "&amp;ROUND(#REF!*100,1)&amp;"% in "&amp;Data!B5&amp;". See page i for more"</f>
        <v>#REF!</v>
      </c>
    </row>
    <row r="55" spans="1:10">
      <c r="A55" s="1" t="s">
        <v>592</v>
      </c>
    </row>
  </sheetData>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7.xml><?xml version="1.0" encoding="utf-8"?>
<worksheet xmlns="http://schemas.openxmlformats.org/spreadsheetml/2006/main" xmlns:r="http://schemas.openxmlformats.org/officeDocument/2006/relationships">
  <sheetPr codeName="Sheet36">
    <pageSetUpPr fitToPage="1"/>
  </sheetPr>
  <dimension ref="A1:I62"/>
  <sheetViews>
    <sheetView showGridLines="0" showZeros="0" workbookViewId="0"/>
  </sheetViews>
  <sheetFormatPr defaultColWidth="15.83203125" defaultRowHeight="12"/>
  <cols>
    <col min="1" max="1" width="26.83203125" style="1" customWidth="1"/>
    <col min="2" max="2" width="15.5" style="1" customWidth="1"/>
    <col min="3" max="3" width="15.83203125" style="1"/>
    <col min="4" max="4" width="12.5" style="1" customWidth="1"/>
    <col min="5" max="5" width="13" style="1" customWidth="1"/>
    <col min="6" max="6" width="15.5" style="1" customWidth="1"/>
    <col min="7" max="7" width="14.83203125" style="1" customWidth="1"/>
    <col min="8" max="8" width="15" style="1" bestFit="1" customWidth="1"/>
    <col min="9" max="9" width="15.1640625" style="1" customWidth="1"/>
    <col min="10" max="16384" width="15.83203125" style="1"/>
  </cols>
  <sheetData>
    <row r="1" spans="1:9" ht="15.95" customHeight="1">
      <c r="A1" s="242"/>
      <c r="B1" s="248" t="str">
        <f>"ANALYSIS OF OPERATING FUND REVENUE: "&amp;FALLYR&amp;"/"&amp;SPRINGYR&amp;" ACTUAL"</f>
        <v>ANALYSIS OF OPERATING FUND REVENUE: 2013/2014 ACTUAL</v>
      </c>
      <c r="C1" s="48"/>
      <c r="D1" s="48"/>
      <c r="E1" s="48"/>
      <c r="F1" s="48"/>
      <c r="G1" s="48"/>
      <c r="H1" s="244"/>
      <c r="I1" s="244" t="s">
        <v>15</v>
      </c>
    </row>
    <row r="2" spans="1:9" ht="15.95" customHeight="1">
      <c r="A2" s="234"/>
    </row>
    <row r="3" spans="1:9" ht="15.95" customHeight="1">
      <c r="A3" s="694"/>
      <c r="B3" s="346" t="s">
        <v>110</v>
      </c>
      <c r="C3" s="461"/>
      <c r="D3" s="461"/>
      <c r="E3" s="461"/>
      <c r="F3" s="461"/>
      <c r="G3" s="461"/>
      <c r="H3" s="462"/>
      <c r="I3" s="462"/>
    </row>
    <row r="4" spans="1:9" ht="8.1" customHeight="1"/>
    <row r="5" spans="1:9" ht="15.95" customHeight="1">
      <c r="B5" s="437" t="s">
        <v>89</v>
      </c>
      <c r="C5" s="469"/>
      <c r="D5" s="469"/>
      <c r="E5" s="469"/>
      <c r="F5" s="462"/>
    </row>
    <row r="6" spans="1:9" ht="15.95" customHeight="1">
      <c r="B6" s="463"/>
      <c r="C6" s="463"/>
      <c r="D6" s="566"/>
      <c r="E6" s="464"/>
      <c r="F6" s="464"/>
      <c r="G6" s="463"/>
      <c r="H6" s="463"/>
      <c r="I6" s="249" t="s">
        <v>95</v>
      </c>
    </row>
    <row r="7" spans="1:9" ht="15.95" customHeight="1">
      <c r="B7" s="465" t="s">
        <v>226</v>
      </c>
      <c r="C7" s="467" t="s">
        <v>89</v>
      </c>
      <c r="D7" s="465" t="s">
        <v>513</v>
      </c>
      <c r="E7" s="466"/>
      <c r="F7" s="466"/>
      <c r="G7" s="465" t="s">
        <v>57</v>
      </c>
      <c r="H7" s="465" t="s">
        <v>67</v>
      </c>
      <c r="I7" s="251" t="s">
        <v>121</v>
      </c>
    </row>
    <row r="8" spans="1:9" ht="15.95" customHeight="1">
      <c r="A8" s="75"/>
      <c r="B8" s="465" t="s">
        <v>225</v>
      </c>
      <c r="C8" s="467" t="s">
        <v>412</v>
      </c>
      <c r="D8" s="465" t="s">
        <v>514</v>
      </c>
      <c r="E8" s="467" t="s">
        <v>57</v>
      </c>
      <c r="F8" s="466"/>
      <c r="G8" s="465" t="s">
        <v>133</v>
      </c>
      <c r="H8" s="465" t="s">
        <v>133</v>
      </c>
      <c r="I8" s="251" t="s">
        <v>134</v>
      </c>
    </row>
    <row r="9" spans="1:9" ht="15.95" customHeight="1">
      <c r="A9" s="42" t="s">
        <v>93</v>
      </c>
      <c r="B9" s="468" t="s">
        <v>413</v>
      </c>
      <c r="C9" s="560" t="s">
        <v>414</v>
      </c>
      <c r="D9" s="468" t="s">
        <v>653</v>
      </c>
      <c r="E9" s="468" t="s">
        <v>415</v>
      </c>
      <c r="F9" s="468" t="s">
        <v>67</v>
      </c>
      <c r="G9" s="468" t="s">
        <v>416</v>
      </c>
      <c r="H9" s="468" t="s">
        <v>139</v>
      </c>
      <c r="I9" s="468" t="s">
        <v>515</v>
      </c>
    </row>
    <row r="10" spans="1:9" ht="5.0999999999999996" customHeight="1">
      <c r="A10" s="5"/>
      <c r="B10" s="236"/>
      <c r="C10" s="236"/>
      <c r="D10" s="236"/>
      <c r="E10" s="236"/>
      <c r="F10" s="236"/>
      <c r="G10" s="236"/>
      <c r="H10" s="236"/>
    </row>
    <row r="11" spans="1:9" ht="14.1" customHeight="1">
      <c r="A11" s="328" t="s">
        <v>235</v>
      </c>
      <c r="B11" s="329">
        <f>'- 62 -'!$F11</f>
        <v>8444584</v>
      </c>
      <c r="C11" s="329">
        <v>1583399</v>
      </c>
      <c r="D11" s="329">
        <v>504331</v>
      </c>
      <c r="E11" s="329">
        <v>421285</v>
      </c>
      <c r="F11" s="329">
        <f>SUM(B11:E11)</f>
        <v>10953599</v>
      </c>
      <c r="G11" s="329">
        <v>0</v>
      </c>
      <c r="H11" s="329">
        <f>SUM(F11:G11)</f>
        <v>10953599</v>
      </c>
      <c r="I11" s="335">
        <f>H11/'- 44 -'!$I11*100</f>
        <v>64.579043480608888</v>
      </c>
    </row>
    <row r="12" spans="1:9" ht="14.1" customHeight="1">
      <c r="A12" s="26" t="s">
        <v>236</v>
      </c>
      <c r="B12" s="27">
        <f>'- 62 -'!$F12</f>
        <v>15139169</v>
      </c>
      <c r="C12" s="27">
        <v>2294646</v>
      </c>
      <c r="D12" s="27">
        <v>2716590</v>
      </c>
      <c r="E12" s="27">
        <v>937929</v>
      </c>
      <c r="F12" s="27">
        <f t="shared" ref="F12:F46" si="0">SUM(B12:E12)</f>
        <v>21088334</v>
      </c>
      <c r="G12" s="27">
        <v>459842</v>
      </c>
      <c r="H12" s="27">
        <f t="shared" ref="H12:H46" si="1">SUM(F12:G12)</f>
        <v>21548176</v>
      </c>
      <c r="I12" s="79">
        <f>H12/'- 44 -'!$I12*100</f>
        <v>65.790834606771071</v>
      </c>
    </row>
    <row r="13" spans="1:9" ht="14.1" customHeight="1">
      <c r="A13" s="328" t="s">
        <v>237</v>
      </c>
      <c r="B13" s="329">
        <f>'- 62 -'!$F13</f>
        <v>42312332</v>
      </c>
      <c r="C13" s="329">
        <v>7792534</v>
      </c>
      <c r="D13" s="329">
        <v>1831418</v>
      </c>
      <c r="E13" s="329">
        <v>1878288</v>
      </c>
      <c r="F13" s="329">
        <f t="shared" si="0"/>
        <v>53814572</v>
      </c>
      <c r="G13" s="329">
        <v>0</v>
      </c>
      <c r="H13" s="329">
        <f t="shared" si="1"/>
        <v>53814572</v>
      </c>
      <c r="I13" s="335">
        <f>H13/'- 44 -'!$I13*100</f>
        <v>61.674894883952568</v>
      </c>
    </row>
    <row r="14" spans="1:9" ht="14.1" customHeight="1">
      <c r="A14" s="26" t="s">
        <v>636</v>
      </c>
      <c r="B14" s="27">
        <f>'- 62 -'!$F14</f>
        <v>31888912</v>
      </c>
      <c r="C14" s="27">
        <v>6024126</v>
      </c>
      <c r="D14" s="27">
        <v>1955880</v>
      </c>
      <c r="E14" s="27">
        <v>15114180</v>
      </c>
      <c r="F14" s="27">
        <f t="shared" si="0"/>
        <v>54983098</v>
      </c>
      <c r="G14" s="27">
        <v>1050277</v>
      </c>
      <c r="H14" s="27">
        <f t="shared" si="1"/>
        <v>56033375</v>
      </c>
      <c r="I14" s="79">
        <f>H14/'- 44 -'!$I14*100</f>
        <v>74.612019231031695</v>
      </c>
    </row>
    <row r="15" spans="1:9" ht="14.1" customHeight="1">
      <c r="A15" s="328" t="s">
        <v>238</v>
      </c>
      <c r="B15" s="329">
        <f>'- 62 -'!$F15</f>
        <v>8262619</v>
      </c>
      <c r="C15" s="329">
        <v>2509506</v>
      </c>
      <c r="D15" s="329">
        <v>1595317</v>
      </c>
      <c r="E15" s="329">
        <v>491665</v>
      </c>
      <c r="F15" s="329">
        <f t="shared" si="0"/>
        <v>12859107</v>
      </c>
      <c r="G15" s="329">
        <v>1783</v>
      </c>
      <c r="H15" s="329">
        <f t="shared" si="1"/>
        <v>12860890</v>
      </c>
      <c r="I15" s="335">
        <f>H15/'- 44 -'!$I15*100</f>
        <v>64.170455671512315</v>
      </c>
    </row>
    <row r="16" spans="1:9" ht="14.1" customHeight="1">
      <c r="A16" s="26" t="s">
        <v>239</v>
      </c>
      <c r="B16" s="27">
        <f>'- 62 -'!$F16</f>
        <v>7750850</v>
      </c>
      <c r="C16" s="27">
        <v>846533</v>
      </c>
      <c r="D16" s="27">
        <v>752713</v>
      </c>
      <c r="E16" s="27">
        <v>400380</v>
      </c>
      <c r="F16" s="27">
        <f t="shared" si="0"/>
        <v>9750476</v>
      </c>
      <c r="G16" s="27">
        <v>92300</v>
      </c>
      <c r="H16" s="27">
        <f t="shared" si="1"/>
        <v>9842776</v>
      </c>
      <c r="I16" s="79">
        <f>H16/'- 44 -'!$I16*100</f>
        <v>74.246801744156883</v>
      </c>
    </row>
    <row r="17" spans="1:9" ht="14.1" customHeight="1">
      <c r="A17" s="328" t="s">
        <v>240</v>
      </c>
      <c r="B17" s="329">
        <f>'- 62 -'!$F17</f>
        <v>7449291</v>
      </c>
      <c r="C17" s="329">
        <v>1337513</v>
      </c>
      <c r="D17" s="329">
        <v>487785</v>
      </c>
      <c r="E17" s="329">
        <v>669389</v>
      </c>
      <c r="F17" s="329">
        <f t="shared" si="0"/>
        <v>9943978</v>
      </c>
      <c r="G17" s="329">
        <v>0</v>
      </c>
      <c r="H17" s="329">
        <f t="shared" si="1"/>
        <v>9943978</v>
      </c>
      <c r="I17" s="335">
        <f>H17/'- 44 -'!$I17*100</f>
        <v>57.705915519374116</v>
      </c>
    </row>
    <row r="18" spans="1:9" ht="14.1" customHeight="1">
      <c r="A18" s="26" t="s">
        <v>241</v>
      </c>
      <c r="B18" s="27">
        <f>'- 62 -'!$F18</f>
        <v>36879809</v>
      </c>
      <c r="C18" s="27">
        <v>468706</v>
      </c>
      <c r="D18" s="27">
        <v>318474</v>
      </c>
      <c r="E18" s="27">
        <v>10162634</v>
      </c>
      <c r="F18" s="27">
        <f t="shared" si="0"/>
        <v>47829623</v>
      </c>
      <c r="G18" s="27">
        <v>1866013</v>
      </c>
      <c r="H18" s="27">
        <f t="shared" si="1"/>
        <v>49695636</v>
      </c>
      <c r="I18" s="79">
        <f>H18/'- 44 -'!$I18*100</f>
        <v>39.496837317021296</v>
      </c>
    </row>
    <row r="19" spans="1:9" ht="14.1" customHeight="1">
      <c r="A19" s="328" t="s">
        <v>242</v>
      </c>
      <c r="B19" s="329">
        <f>'- 62 -'!$F19</f>
        <v>24887978</v>
      </c>
      <c r="C19" s="329">
        <v>3065589</v>
      </c>
      <c r="D19" s="329">
        <v>646173</v>
      </c>
      <c r="E19" s="329">
        <v>893921</v>
      </c>
      <c r="F19" s="329">
        <f t="shared" si="0"/>
        <v>29493661</v>
      </c>
      <c r="G19" s="329">
        <v>0</v>
      </c>
      <c r="H19" s="329">
        <f t="shared" si="1"/>
        <v>29493661</v>
      </c>
      <c r="I19" s="335">
        <f>H19/'- 44 -'!$I19*100</f>
        <v>67.012272107033283</v>
      </c>
    </row>
    <row r="20" spans="1:9" ht="14.1" customHeight="1">
      <c r="A20" s="26" t="s">
        <v>243</v>
      </c>
      <c r="B20" s="27">
        <f>'- 62 -'!$F20</f>
        <v>43623503</v>
      </c>
      <c r="C20" s="27">
        <v>5840256</v>
      </c>
      <c r="D20" s="27">
        <v>1495405</v>
      </c>
      <c r="E20" s="27">
        <v>1583176</v>
      </c>
      <c r="F20" s="27">
        <f t="shared" si="0"/>
        <v>52542340</v>
      </c>
      <c r="G20" s="27">
        <v>413201</v>
      </c>
      <c r="H20" s="27">
        <f t="shared" si="1"/>
        <v>52955541</v>
      </c>
      <c r="I20" s="79">
        <f>H20/'- 44 -'!$I20*100</f>
        <v>71.760830445708194</v>
      </c>
    </row>
    <row r="21" spans="1:9" ht="14.1" customHeight="1">
      <c r="A21" s="328" t="s">
        <v>244</v>
      </c>
      <c r="B21" s="329">
        <f>'- 62 -'!$F21</f>
        <v>17135575</v>
      </c>
      <c r="C21" s="329">
        <v>3524250</v>
      </c>
      <c r="D21" s="329">
        <v>1289551</v>
      </c>
      <c r="E21" s="329">
        <v>947496</v>
      </c>
      <c r="F21" s="329">
        <f t="shared" si="0"/>
        <v>22896872</v>
      </c>
      <c r="G21" s="329">
        <v>35883</v>
      </c>
      <c r="H21" s="329">
        <f t="shared" si="1"/>
        <v>22932755</v>
      </c>
      <c r="I21" s="335">
        <f>H21/'- 44 -'!$I21*100</f>
        <v>65.620456586824204</v>
      </c>
    </row>
    <row r="22" spans="1:9" ht="14.1" customHeight="1">
      <c r="A22" s="26" t="s">
        <v>245</v>
      </c>
      <c r="B22" s="27">
        <f>'- 62 -'!$F22</f>
        <v>13200581</v>
      </c>
      <c r="C22" s="27">
        <v>1112386</v>
      </c>
      <c r="D22" s="27">
        <v>309407</v>
      </c>
      <c r="E22" s="27">
        <v>1026727</v>
      </c>
      <c r="F22" s="27">
        <f t="shared" si="0"/>
        <v>15649101</v>
      </c>
      <c r="G22" s="27">
        <v>554312</v>
      </c>
      <c r="H22" s="27">
        <f t="shared" si="1"/>
        <v>16203413</v>
      </c>
      <c r="I22" s="79">
        <f>H22/'- 44 -'!$I22*100</f>
        <v>82.881869773052273</v>
      </c>
    </row>
    <row r="23" spans="1:9" ht="14.1" customHeight="1">
      <c r="A23" s="328" t="s">
        <v>246</v>
      </c>
      <c r="B23" s="329">
        <f>'- 62 -'!$F23</f>
        <v>9648894</v>
      </c>
      <c r="C23" s="329">
        <v>1049692</v>
      </c>
      <c r="D23" s="329">
        <v>440073</v>
      </c>
      <c r="E23" s="329">
        <v>552188</v>
      </c>
      <c r="F23" s="329">
        <f t="shared" si="0"/>
        <v>11690847</v>
      </c>
      <c r="G23" s="329">
        <v>297420</v>
      </c>
      <c r="H23" s="329">
        <f t="shared" si="1"/>
        <v>11988267</v>
      </c>
      <c r="I23" s="335">
        <f>H23/'- 44 -'!$I23*100</f>
        <v>71.508832587641109</v>
      </c>
    </row>
    <row r="24" spans="1:9" ht="14.1" customHeight="1">
      <c r="A24" s="26" t="s">
        <v>247</v>
      </c>
      <c r="B24" s="27">
        <f>'- 62 -'!$F24</f>
        <v>24028531</v>
      </c>
      <c r="C24" s="27">
        <v>5683800</v>
      </c>
      <c r="D24" s="27">
        <v>2692903</v>
      </c>
      <c r="E24" s="27">
        <v>1174586</v>
      </c>
      <c r="F24" s="27">
        <f t="shared" si="0"/>
        <v>33579820</v>
      </c>
      <c r="G24" s="27">
        <v>528219</v>
      </c>
      <c r="H24" s="27">
        <f t="shared" si="1"/>
        <v>34108039</v>
      </c>
      <c r="I24" s="79">
        <f>H24/'- 44 -'!$I24*100</f>
        <v>63.187878552769519</v>
      </c>
    </row>
    <row r="25" spans="1:9" ht="14.1" customHeight="1">
      <c r="A25" s="328" t="s">
        <v>248</v>
      </c>
      <c r="B25" s="329">
        <f>'- 62 -'!$F25</f>
        <v>71605698</v>
      </c>
      <c r="C25" s="329">
        <v>21274658</v>
      </c>
      <c r="D25" s="329">
        <v>5805238</v>
      </c>
      <c r="E25" s="329">
        <v>4584179</v>
      </c>
      <c r="F25" s="329">
        <f t="shared" si="0"/>
        <v>103269773</v>
      </c>
      <c r="G25" s="329">
        <v>280718</v>
      </c>
      <c r="H25" s="329">
        <f t="shared" si="1"/>
        <v>103550491</v>
      </c>
      <c r="I25" s="335">
        <f>H25/'- 44 -'!$I25*100</f>
        <v>65.148639265918547</v>
      </c>
    </row>
    <row r="26" spans="1:9" ht="14.1" customHeight="1">
      <c r="A26" s="26" t="s">
        <v>249</v>
      </c>
      <c r="B26" s="27">
        <f>'- 62 -'!$F26</f>
        <v>21668699</v>
      </c>
      <c r="C26" s="27">
        <v>3506172</v>
      </c>
      <c r="D26" s="27">
        <v>690288</v>
      </c>
      <c r="E26" s="27">
        <v>869179</v>
      </c>
      <c r="F26" s="27">
        <f t="shared" si="0"/>
        <v>26734338</v>
      </c>
      <c r="G26" s="27">
        <v>0</v>
      </c>
      <c r="H26" s="27">
        <f t="shared" si="1"/>
        <v>26734338</v>
      </c>
      <c r="I26" s="79">
        <f>H26/'- 44 -'!$I26*100</f>
        <v>69.056838970006524</v>
      </c>
    </row>
    <row r="27" spans="1:9" ht="14.1" customHeight="1">
      <c r="A27" s="328" t="s">
        <v>250</v>
      </c>
      <c r="B27" s="329">
        <f>'- 62 -'!$F27</f>
        <v>26714385</v>
      </c>
      <c r="C27" s="329">
        <v>1713432</v>
      </c>
      <c r="D27" s="329">
        <v>1060066</v>
      </c>
      <c r="E27" s="329">
        <v>1014803</v>
      </c>
      <c r="F27" s="329">
        <f t="shared" si="0"/>
        <v>30502686</v>
      </c>
      <c r="G27" s="329">
        <v>41377</v>
      </c>
      <c r="H27" s="329">
        <f t="shared" si="1"/>
        <v>30544063</v>
      </c>
      <c r="I27" s="335">
        <f>H27/'- 44 -'!$I27*100</f>
        <v>77.838015356921503</v>
      </c>
    </row>
    <row r="28" spans="1:9" ht="14.1" customHeight="1">
      <c r="A28" s="26" t="s">
        <v>251</v>
      </c>
      <c r="B28" s="27">
        <f>'- 62 -'!$F28</f>
        <v>10774010</v>
      </c>
      <c r="C28" s="27">
        <v>1557639</v>
      </c>
      <c r="D28" s="27">
        <v>785669</v>
      </c>
      <c r="E28" s="27">
        <v>653678</v>
      </c>
      <c r="F28" s="27">
        <f t="shared" si="0"/>
        <v>13770996</v>
      </c>
      <c r="G28" s="27">
        <v>0</v>
      </c>
      <c r="H28" s="27">
        <f t="shared" si="1"/>
        <v>13770996</v>
      </c>
      <c r="I28" s="79">
        <f>H28/'- 44 -'!$I28*100</f>
        <v>51.471623133868114</v>
      </c>
    </row>
    <row r="29" spans="1:9" ht="14.1" customHeight="1">
      <c r="A29" s="328" t="s">
        <v>252</v>
      </c>
      <c r="B29" s="329">
        <f>'- 62 -'!$F29</f>
        <v>54027529</v>
      </c>
      <c r="C29" s="329">
        <v>20274260</v>
      </c>
      <c r="D29" s="329">
        <v>4816945</v>
      </c>
      <c r="E29" s="329">
        <v>3024980</v>
      </c>
      <c r="F29" s="329">
        <f t="shared" si="0"/>
        <v>82143714</v>
      </c>
      <c r="G29" s="329">
        <v>244699</v>
      </c>
      <c r="H29" s="329">
        <f t="shared" si="1"/>
        <v>82388413</v>
      </c>
      <c r="I29" s="335">
        <f>H29/'- 44 -'!$I29*100</f>
        <v>56.403161682999801</v>
      </c>
    </row>
    <row r="30" spans="1:9" ht="14.1" customHeight="1">
      <c r="A30" s="26" t="s">
        <v>253</v>
      </c>
      <c r="B30" s="27">
        <f>'- 62 -'!$F30</f>
        <v>7554228</v>
      </c>
      <c r="C30" s="27">
        <v>925208</v>
      </c>
      <c r="D30" s="27">
        <v>331672</v>
      </c>
      <c r="E30" s="27">
        <v>284615</v>
      </c>
      <c r="F30" s="27">
        <f t="shared" si="0"/>
        <v>9095723</v>
      </c>
      <c r="G30" s="27">
        <v>0</v>
      </c>
      <c r="H30" s="27">
        <f t="shared" si="1"/>
        <v>9095723</v>
      </c>
      <c r="I30" s="79">
        <f>H30/'- 44 -'!$I30*100</f>
        <v>67.247462598928891</v>
      </c>
    </row>
    <row r="31" spans="1:9" ht="14.1" customHeight="1">
      <c r="A31" s="328" t="s">
        <v>254</v>
      </c>
      <c r="B31" s="329">
        <f>'- 62 -'!$F31</f>
        <v>17855578</v>
      </c>
      <c r="C31" s="329">
        <v>3099177</v>
      </c>
      <c r="D31" s="329">
        <v>520885</v>
      </c>
      <c r="E31" s="329">
        <v>759160</v>
      </c>
      <c r="F31" s="329">
        <f t="shared" si="0"/>
        <v>22234800</v>
      </c>
      <c r="G31" s="329">
        <v>0</v>
      </c>
      <c r="H31" s="329">
        <f t="shared" si="1"/>
        <v>22234800</v>
      </c>
      <c r="I31" s="335">
        <f>H31/'- 44 -'!$I31*100</f>
        <v>63.288876541888598</v>
      </c>
    </row>
    <row r="32" spans="1:9" ht="14.1" customHeight="1">
      <c r="A32" s="26" t="s">
        <v>255</v>
      </c>
      <c r="B32" s="27">
        <f>'- 62 -'!$F32</f>
        <v>12468825</v>
      </c>
      <c r="C32" s="27">
        <v>2297483</v>
      </c>
      <c r="D32" s="27">
        <v>1118053</v>
      </c>
      <c r="E32" s="27">
        <v>617302</v>
      </c>
      <c r="F32" s="27">
        <f t="shared" si="0"/>
        <v>16501663</v>
      </c>
      <c r="G32" s="27">
        <v>335710</v>
      </c>
      <c r="H32" s="27">
        <f t="shared" si="1"/>
        <v>16837373</v>
      </c>
      <c r="I32" s="79">
        <f>H32/'- 44 -'!$I32*100</f>
        <v>63.992540589344671</v>
      </c>
    </row>
    <row r="33" spans="1:9" ht="14.1" customHeight="1">
      <c r="A33" s="328" t="s">
        <v>256</v>
      </c>
      <c r="B33" s="329">
        <f>'- 62 -'!$F33</f>
        <v>14153093</v>
      </c>
      <c r="C33" s="329">
        <v>1897164</v>
      </c>
      <c r="D33" s="329">
        <v>811613</v>
      </c>
      <c r="E33" s="329">
        <v>544554</v>
      </c>
      <c r="F33" s="329">
        <f t="shared" si="0"/>
        <v>17406424</v>
      </c>
      <c r="G33" s="329">
        <v>17771</v>
      </c>
      <c r="H33" s="329">
        <f t="shared" si="1"/>
        <v>17424195</v>
      </c>
      <c r="I33" s="335">
        <f>H33/'- 44 -'!$I33*100</f>
        <v>63.704875258629066</v>
      </c>
    </row>
    <row r="34" spans="1:9" ht="14.1" customHeight="1">
      <c r="A34" s="26" t="s">
        <v>257</v>
      </c>
      <c r="B34" s="27">
        <f>'- 62 -'!$F34</f>
        <v>12472315</v>
      </c>
      <c r="C34" s="27">
        <v>2036165</v>
      </c>
      <c r="D34" s="27">
        <v>691759</v>
      </c>
      <c r="E34" s="27">
        <v>691307</v>
      </c>
      <c r="F34" s="27">
        <f t="shared" si="0"/>
        <v>15891546</v>
      </c>
      <c r="G34" s="27">
        <v>0</v>
      </c>
      <c r="H34" s="27">
        <f t="shared" si="1"/>
        <v>15891546</v>
      </c>
      <c r="I34" s="79">
        <f>H34/'- 44 -'!$I34*100</f>
        <v>60.263151048905328</v>
      </c>
    </row>
    <row r="35" spans="1:9" ht="14.1" customHeight="1">
      <c r="A35" s="328" t="s">
        <v>258</v>
      </c>
      <c r="B35" s="329">
        <f>'- 62 -'!$F35</f>
        <v>89530005</v>
      </c>
      <c r="C35" s="329">
        <v>23569860</v>
      </c>
      <c r="D35" s="329">
        <v>1469555</v>
      </c>
      <c r="E35" s="329">
        <v>4687365</v>
      </c>
      <c r="F35" s="329">
        <f t="shared" si="0"/>
        <v>119256785</v>
      </c>
      <c r="G35" s="329">
        <v>1345806</v>
      </c>
      <c r="H35" s="329">
        <f t="shared" si="1"/>
        <v>120602591</v>
      </c>
      <c r="I35" s="335">
        <f>H35/'- 44 -'!$I35*100</f>
        <v>68.955265437877458</v>
      </c>
    </row>
    <row r="36" spans="1:9" ht="14.1" customHeight="1">
      <c r="A36" s="26" t="s">
        <v>259</v>
      </c>
      <c r="B36" s="27">
        <f>'- 62 -'!$F36</f>
        <v>10183715</v>
      </c>
      <c r="C36" s="27">
        <v>2059681</v>
      </c>
      <c r="D36" s="27">
        <v>761080</v>
      </c>
      <c r="E36" s="27">
        <v>458610</v>
      </c>
      <c r="F36" s="27">
        <f t="shared" si="0"/>
        <v>13463086</v>
      </c>
      <c r="G36" s="27">
        <v>216837</v>
      </c>
      <c r="H36" s="27">
        <f t="shared" si="1"/>
        <v>13679923</v>
      </c>
      <c r="I36" s="79">
        <f>H36/'- 44 -'!$I36*100</f>
        <v>60.018770888503489</v>
      </c>
    </row>
    <row r="37" spans="1:9" ht="14.1" customHeight="1">
      <c r="A37" s="328" t="s">
        <v>260</v>
      </c>
      <c r="B37" s="329">
        <f>'- 62 -'!$F37</f>
        <v>24592332</v>
      </c>
      <c r="C37" s="329">
        <v>4415957</v>
      </c>
      <c r="D37" s="329">
        <v>2012905</v>
      </c>
      <c r="E37" s="329">
        <v>1001929</v>
      </c>
      <c r="F37" s="329">
        <f t="shared" si="0"/>
        <v>32023123</v>
      </c>
      <c r="G37" s="329">
        <v>328843</v>
      </c>
      <c r="H37" s="329">
        <f t="shared" si="1"/>
        <v>32351966</v>
      </c>
      <c r="I37" s="335">
        <f>H37/'- 44 -'!$I37*100</f>
        <v>73.854341653438183</v>
      </c>
    </row>
    <row r="38" spans="1:9" ht="14.1" customHeight="1">
      <c r="A38" s="26" t="s">
        <v>261</v>
      </c>
      <c r="B38" s="27">
        <f>'- 62 -'!$F38</f>
        <v>64241246</v>
      </c>
      <c r="C38" s="27">
        <v>12269179</v>
      </c>
      <c r="D38" s="27">
        <v>5357890</v>
      </c>
      <c r="E38" s="27">
        <v>2694014</v>
      </c>
      <c r="F38" s="27">
        <f t="shared" si="0"/>
        <v>84562329</v>
      </c>
      <c r="G38" s="27">
        <v>1522992</v>
      </c>
      <c r="H38" s="27">
        <f t="shared" si="1"/>
        <v>86085321</v>
      </c>
      <c r="I38" s="79">
        <f>H38/'- 44 -'!$I38*100</f>
        <v>71.239850221183659</v>
      </c>
    </row>
    <row r="39" spans="1:9" ht="14.1" customHeight="1">
      <c r="A39" s="328" t="s">
        <v>262</v>
      </c>
      <c r="B39" s="329">
        <f>'- 62 -'!$F39</f>
        <v>9162415</v>
      </c>
      <c r="C39" s="329">
        <v>1585296</v>
      </c>
      <c r="D39" s="329">
        <v>758456</v>
      </c>
      <c r="E39" s="329">
        <v>484630</v>
      </c>
      <c r="F39" s="329">
        <f t="shared" si="0"/>
        <v>11990797</v>
      </c>
      <c r="G39" s="329">
        <v>152793</v>
      </c>
      <c r="H39" s="329">
        <f t="shared" si="1"/>
        <v>12143590</v>
      </c>
      <c r="I39" s="335">
        <f>H39/'- 44 -'!$I39*100</f>
        <v>57.213022998112628</v>
      </c>
    </row>
    <row r="40" spans="1:9" ht="14.1" customHeight="1">
      <c r="A40" s="26" t="s">
        <v>263</v>
      </c>
      <c r="B40" s="27">
        <f>'- 62 -'!$F40</f>
        <v>38885188</v>
      </c>
      <c r="C40" s="27">
        <v>12826040</v>
      </c>
      <c r="D40" s="27">
        <v>3451959</v>
      </c>
      <c r="E40" s="27">
        <v>2267115</v>
      </c>
      <c r="F40" s="27">
        <f t="shared" si="0"/>
        <v>57430302</v>
      </c>
      <c r="G40" s="27">
        <v>0</v>
      </c>
      <c r="H40" s="27">
        <f t="shared" si="1"/>
        <v>57430302</v>
      </c>
      <c r="I40" s="79">
        <f>H40/'- 44 -'!$I40*100</f>
        <v>58.213644004223355</v>
      </c>
    </row>
    <row r="41" spans="1:9" ht="14.1" customHeight="1">
      <c r="A41" s="328" t="s">
        <v>264</v>
      </c>
      <c r="B41" s="329">
        <f>'- 62 -'!$F41</f>
        <v>25660441</v>
      </c>
      <c r="C41" s="329">
        <v>6622110</v>
      </c>
      <c r="D41" s="329">
        <v>2934555</v>
      </c>
      <c r="E41" s="329">
        <v>1455983</v>
      </c>
      <c r="F41" s="329">
        <f t="shared" si="0"/>
        <v>36673089</v>
      </c>
      <c r="G41" s="329">
        <v>970255</v>
      </c>
      <c r="H41" s="329">
        <f t="shared" si="1"/>
        <v>37643344</v>
      </c>
      <c r="I41" s="335">
        <f>H41/'- 44 -'!$I41*100</f>
        <v>62.605731754079386</v>
      </c>
    </row>
    <row r="42" spans="1:9" ht="14.1" customHeight="1">
      <c r="A42" s="26" t="s">
        <v>265</v>
      </c>
      <c r="B42" s="27">
        <f>'- 62 -'!$F42</f>
        <v>11811353</v>
      </c>
      <c r="C42" s="27">
        <v>1570375</v>
      </c>
      <c r="D42" s="27">
        <v>1056497</v>
      </c>
      <c r="E42" s="27">
        <v>537871</v>
      </c>
      <c r="F42" s="27">
        <f t="shared" si="0"/>
        <v>14976096</v>
      </c>
      <c r="G42" s="27">
        <v>137599</v>
      </c>
      <c r="H42" s="27">
        <f t="shared" si="1"/>
        <v>15113695</v>
      </c>
      <c r="I42" s="79">
        <f>H42/'- 44 -'!$I42*100</f>
        <v>72.433478016302516</v>
      </c>
    </row>
    <row r="43" spans="1:9" ht="14.1" customHeight="1">
      <c r="A43" s="328" t="s">
        <v>266</v>
      </c>
      <c r="B43" s="329">
        <f>'- 62 -'!$F43</f>
        <v>6037597</v>
      </c>
      <c r="C43" s="329">
        <v>1237859</v>
      </c>
      <c r="D43" s="329">
        <v>0</v>
      </c>
      <c r="E43" s="329">
        <v>324680</v>
      </c>
      <c r="F43" s="329">
        <f t="shared" si="0"/>
        <v>7600136</v>
      </c>
      <c r="G43" s="329">
        <v>175100</v>
      </c>
      <c r="H43" s="329">
        <f t="shared" si="1"/>
        <v>7775236</v>
      </c>
      <c r="I43" s="335">
        <f>H43/'- 44 -'!$I43*100</f>
        <v>62.819164183870114</v>
      </c>
    </row>
    <row r="44" spans="1:9" ht="14.1" customHeight="1">
      <c r="A44" s="26" t="s">
        <v>267</v>
      </c>
      <c r="B44" s="27">
        <f>'- 62 -'!$F44</f>
        <v>7116151</v>
      </c>
      <c r="C44" s="27">
        <v>668293</v>
      </c>
      <c r="D44" s="27">
        <v>454589</v>
      </c>
      <c r="E44" s="27">
        <v>369638</v>
      </c>
      <c r="F44" s="27">
        <f t="shared" si="0"/>
        <v>8608671</v>
      </c>
      <c r="G44" s="27">
        <v>0</v>
      </c>
      <c r="H44" s="27">
        <f t="shared" si="1"/>
        <v>8608671</v>
      </c>
      <c r="I44" s="79">
        <f>H44/'- 44 -'!$I44*100</f>
        <v>78.842640322870622</v>
      </c>
    </row>
    <row r="45" spans="1:9" ht="14.1" customHeight="1">
      <c r="A45" s="328" t="s">
        <v>268</v>
      </c>
      <c r="B45" s="329">
        <f>'- 62 -'!$F45</f>
        <v>9204971</v>
      </c>
      <c r="C45" s="329">
        <v>1884523</v>
      </c>
      <c r="D45" s="329">
        <v>0</v>
      </c>
      <c r="E45" s="329">
        <v>355128</v>
      </c>
      <c r="F45" s="329">
        <f t="shared" si="0"/>
        <v>11444622</v>
      </c>
      <c r="G45" s="329">
        <v>377792</v>
      </c>
      <c r="H45" s="329">
        <f t="shared" si="1"/>
        <v>11822414</v>
      </c>
      <c r="I45" s="335">
        <f>H45/'- 44 -'!$I45*100</f>
        <v>66.49424064852731</v>
      </c>
    </row>
    <row r="46" spans="1:9" ht="14.1" customHeight="1">
      <c r="A46" s="26" t="s">
        <v>269</v>
      </c>
      <c r="B46" s="27">
        <f>'- 62 -'!$F46</f>
        <v>175051781</v>
      </c>
      <c r="C46" s="27">
        <v>30281818</v>
      </c>
      <c r="D46" s="27">
        <v>9492585</v>
      </c>
      <c r="E46" s="27">
        <v>14512286</v>
      </c>
      <c r="F46" s="27">
        <f t="shared" si="0"/>
        <v>229338470</v>
      </c>
      <c r="G46" s="27">
        <v>745641</v>
      </c>
      <c r="H46" s="27">
        <f t="shared" si="1"/>
        <v>230084111</v>
      </c>
      <c r="I46" s="79">
        <f>H46/'- 44 -'!$I46*100</f>
        <v>63.104684181838465</v>
      </c>
    </row>
    <row r="47" spans="1:9" ht="5.0999999999999996" customHeight="1">
      <c r="A47" s="28"/>
      <c r="B47" s="29"/>
      <c r="C47" s="29"/>
      <c r="D47" s="29"/>
      <c r="E47" s="29"/>
      <c r="F47" s="29"/>
      <c r="G47" s="29"/>
      <c r="H47" s="29"/>
      <c r="I47"/>
    </row>
    <row r="48" spans="1:9" ht="14.1" customHeight="1">
      <c r="A48" s="330" t="s">
        <v>270</v>
      </c>
      <c r="B48" s="331">
        <f t="shared" ref="B48:H48" si="2">SUM(B11:B46)</f>
        <v>1011424183</v>
      </c>
      <c r="C48" s="331">
        <f t="shared" si="2"/>
        <v>200705285</v>
      </c>
      <c r="D48" s="331">
        <f>SUM(D11:D46)</f>
        <v>61418279</v>
      </c>
      <c r="E48" s="331">
        <f t="shared" si="2"/>
        <v>78446850</v>
      </c>
      <c r="F48" s="331">
        <f t="shared" si="2"/>
        <v>1351994597</v>
      </c>
      <c r="G48" s="331">
        <f t="shared" si="2"/>
        <v>12193183</v>
      </c>
      <c r="H48" s="331">
        <f t="shared" si="2"/>
        <v>1364187780</v>
      </c>
      <c r="I48" s="338">
        <f>H48/'- 44 -'!$I48*100</f>
        <v>63.783559432226788</v>
      </c>
    </row>
    <row r="49" spans="1:9" ht="5.0999999999999996" customHeight="1">
      <c r="A49" s="28" t="s">
        <v>16</v>
      </c>
      <c r="B49" s="29"/>
      <c r="C49" s="29"/>
      <c r="D49" s="29"/>
      <c r="E49" s="29"/>
      <c r="F49" s="29"/>
      <c r="G49" s="29"/>
      <c r="H49" s="29"/>
      <c r="I49"/>
    </row>
    <row r="50" spans="1:9" ht="14.1" customHeight="1">
      <c r="A50" s="26" t="s">
        <v>271</v>
      </c>
      <c r="B50" s="27">
        <f>'- 62 -'!$F50</f>
        <v>931141</v>
      </c>
      <c r="C50" s="27">
        <v>378928</v>
      </c>
      <c r="D50" s="27">
        <v>24000</v>
      </c>
      <c r="E50" s="27">
        <v>64388</v>
      </c>
      <c r="F50" s="27">
        <f>SUM(B50:E50)</f>
        <v>1398457</v>
      </c>
      <c r="G50" s="27">
        <v>0</v>
      </c>
      <c r="H50" s="27">
        <f>SUM(F50:G50)</f>
        <v>1398457</v>
      </c>
      <c r="I50" s="79">
        <f>H50/'- 44 -'!$I50*100</f>
        <v>42.987001449952956</v>
      </c>
    </row>
    <row r="51" spans="1:9" ht="14.1" customHeight="1">
      <c r="A51" s="328" t="s">
        <v>417</v>
      </c>
      <c r="B51" s="329">
        <f>'- 62 -'!$F51</f>
        <v>32980</v>
      </c>
      <c r="C51" s="329">
        <v>0</v>
      </c>
      <c r="D51" s="329">
        <v>0</v>
      </c>
      <c r="E51" s="329">
        <v>5119537</v>
      </c>
      <c r="F51" s="329">
        <f>SUM(B51:E51)</f>
        <v>5152517</v>
      </c>
      <c r="G51" s="329">
        <v>3522079</v>
      </c>
      <c r="H51" s="329">
        <f>SUM(F51:G51)</f>
        <v>8674596</v>
      </c>
      <c r="I51" s="335">
        <f>H51/'- 44 -'!$I51*100</f>
        <v>40.869484959729554</v>
      </c>
    </row>
    <row r="52" spans="1:9" ht="50.1" customHeight="1">
      <c r="A52" s="30"/>
      <c r="B52" s="30"/>
      <c r="C52" s="30"/>
      <c r="D52" s="30"/>
      <c r="E52" s="30"/>
      <c r="F52" s="30"/>
      <c r="G52" s="30"/>
      <c r="H52" s="30"/>
      <c r="I52" s="30"/>
    </row>
    <row r="53" spans="1:9" ht="15" customHeight="1">
      <c r="A53" s="45" t="s">
        <v>620</v>
      </c>
      <c r="C53" s="45"/>
      <c r="D53" s="45"/>
      <c r="E53" s="253"/>
      <c r="F53" s="253"/>
      <c r="G53" s="253"/>
      <c r="H53" s="253"/>
    </row>
    <row r="54" spans="1:9" ht="12" customHeight="1">
      <c r="A54" s="45" t="s">
        <v>644</v>
      </c>
      <c r="C54" s="45"/>
      <c r="D54" s="45"/>
      <c r="E54" s="253"/>
      <c r="F54" s="253"/>
      <c r="G54" s="253"/>
      <c r="H54" s="253"/>
    </row>
    <row r="55" spans="1:9" ht="12" customHeight="1">
      <c r="A55" s="45" t="s">
        <v>645</v>
      </c>
      <c r="C55" s="45"/>
      <c r="D55" s="45"/>
      <c r="E55" s="253"/>
      <c r="F55" s="253"/>
      <c r="G55" s="253"/>
      <c r="H55" s="253"/>
    </row>
    <row r="56" spans="1:9" ht="12" customHeight="1">
      <c r="A56" s="151" t="s">
        <v>727</v>
      </c>
    </row>
    <row r="57" spans="1:9" ht="12" customHeight="1">
      <c r="A57" s="151" t="s">
        <v>728</v>
      </c>
    </row>
    <row r="58" spans="1:9" ht="12" customHeight="1">
      <c r="A58" s="674" t="s">
        <v>712</v>
      </c>
    </row>
    <row r="59" spans="1:9" ht="12" customHeight="1">
      <c r="A59" s="674" t="s">
        <v>713</v>
      </c>
    </row>
    <row r="60" spans="1:9" ht="12" customHeight="1">
      <c r="A60" s="151" t="s">
        <v>733</v>
      </c>
    </row>
    <row r="61" spans="1:9">
      <c r="A61" s="1" t="s">
        <v>621</v>
      </c>
    </row>
    <row r="62" spans="1:9">
      <c r="A62" s="1" t="e">
        <f>"(6) Total provincial contribution to public education is "&amp;ROUND(#REF!*100,1)&amp;"%. See page i for more details."</f>
        <v>#REF!</v>
      </c>
    </row>
  </sheetData>
  <phoneticPr fontId="6" type="noConversion"/>
  <pageMargins left="0.5" right="0.5" top="0.6" bottom="0.2" header="0.3" footer="0.5"/>
  <pageSetup scale="81" orientation="portrait" r:id="rId1"/>
  <headerFooter alignWithMargins="0">
    <oddHeader>&amp;C&amp;"Arial,Regular"&amp;12&amp;A</oddHeader>
  </headerFooter>
</worksheet>
</file>

<file path=xl/worksheets/sheet38.xml><?xml version="1.0" encoding="utf-8"?>
<worksheet xmlns="http://schemas.openxmlformats.org/spreadsheetml/2006/main" xmlns:r="http://schemas.openxmlformats.org/officeDocument/2006/relationships">
  <sheetPr codeName="Sheet37">
    <pageSetUpPr fitToPage="1"/>
  </sheetPr>
  <dimension ref="A1:I54"/>
  <sheetViews>
    <sheetView showGridLines="0" showZeros="0" workbookViewId="0"/>
  </sheetViews>
  <sheetFormatPr defaultColWidth="15.83203125" defaultRowHeight="12"/>
  <cols>
    <col min="1" max="1" width="34.83203125" style="1" customWidth="1"/>
    <col min="2" max="2" width="15.83203125" style="1" customWidth="1"/>
    <col min="3" max="3" width="8.83203125" style="1" customWidth="1"/>
    <col min="4" max="4" width="15.83203125" style="1"/>
    <col min="5" max="5" width="8.83203125" style="1" customWidth="1"/>
    <col min="6" max="6" width="15.83203125" style="1"/>
    <col min="7" max="7" width="8.83203125" style="1" customWidth="1"/>
    <col min="8" max="8" width="14.83203125" style="1" customWidth="1"/>
    <col min="9" max="9" width="8.83203125" style="1" customWidth="1"/>
    <col min="10" max="16384" width="15.83203125" style="1"/>
  </cols>
  <sheetData>
    <row r="1" spans="1:9" ht="6.95" customHeight="1">
      <c r="A1" s="6"/>
    </row>
    <row r="2" spans="1:9" ht="15.95" customHeight="1">
      <c r="A2" s="242"/>
      <c r="B2" s="233" t="str">
        <f>REVYEAR</f>
        <v>ANALYSIS OF OPERATING FUND REVENUE: 2013/2014 ACTUAL</v>
      </c>
      <c r="C2" s="48"/>
      <c r="D2" s="48"/>
      <c r="E2" s="48"/>
      <c r="F2" s="48"/>
      <c r="G2" s="246"/>
      <c r="H2" s="247"/>
      <c r="I2" s="244" t="s">
        <v>17</v>
      </c>
    </row>
    <row r="3" spans="1:9" ht="15.95" customHeight="1">
      <c r="A3" s="693"/>
    </row>
    <row r="4" spans="1:9" ht="15.95" customHeight="1">
      <c r="B4" s="7"/>
      <c r="C4" s="7"/>
      <c r="D4" s="7"/>
      <c r="E4" s="7"/>
      <c r="F4" s="7"/>
      <c r="G4" s="7"/>
      <c r="H4" s="7"/>
      <c r="I4" s="50"/>
    </row>
    <row r="5" spans="1:9" ht="15.95" customHeight="1">
      <c r="B5" s="7"/>
      <c r="C5" s="7"/>
      <c r="D5" s="7"/>
      <c r="E5" s="7"/>
      <c r="F5" s="7"/>
      <c r="G5" s="7"/>
      <c r="H5" s="7"/>
      <c r="I5" s="7"/>
    </row>
    <row r="6" spans="1:9" ht="15.95" customHeight="1">
      <c r="B6" s="7"/>
      <c r="C6" s="7"/>
      <c r="D6" s="7"/>
      <c r="E6" s="7"/>
      <c r="F6" s="7"/>
      <c r="G6" s="7"/>
      <c r="H6" s="7"/>
      <c r="I6" s="7"/>
    </row>
    <row r="7" spans="1:9" ht="15.95" customHeight="1">
      <c r="B7" s="355" t="s">
        <v>116</v>
      </c>
      <c r="C7" s="356"/>
      <c r="D7" s="358" t="s">
        <v>117</v>
      </c>
      <c r="E7" s="356"/>
      <c r="F7" s="358" t="s">
        <v>118</v>
      </c>
      <c r="G7" s="356"/>
      <c r="H7" s="357"/>
      <c r="I7" s="356"/>
    </row>
    <row r="8" spans="1:9" ht="15.95" customHeight="1">
      <c r="A8" s="75"/>
      <c r="B8" s="343" t="s">
        <v>135</v>
      </c>
      <c r="C8" s="344"/>
      <c r="D8" s="343" t="s">
        <v>501</v>
      </c>
      <c r="E8" s="344"/>
      <c r="F8" s="343" t="s">
        <v>136</v>
      </c>
      <c r="G8" s="344"/>
      <c r="H8" s="343" t="s">
        <v>137</v>
      </c>
      <c r="I8" s="344"/>
    </row>
    <row r="9" spans="1:9" ht="15.95" customHeight="1">
      <c r="A9" s="42" t="s">
        <v>93</v>
      </c>
      <c r="B9" s="193" t="s">
        <v>139</v>
      </c>
      <c r="C9" s="235" t="s">
        <v>95</v>
      </c>
      <c r="D9" s="235" t="s">
        <v>139</v>
      </c>
      <c r="E9" s="235" t="s">
        <v>95</v>
      </c>
      <c r="F9" s="235" t="s">
        <v>139</v>
      </c>
      <c r="G9" s="235" t="s">
        <v>95</v>
      </c>
      <c r="H9" s="245" t="s">
        <v>139</v>
      </c>
      <c r="I9" s="245" t="s">
        <v>95</v>
      </c>
    </row>
    <row r="10" spans="1:9" ht="5.0999999999999996" customHeight="1">
      <c r="A10" s="5"/>
      <c r="B10" s="236"/>
      <c r="C10" s="236"/>
      <c r="D10" s="236"/>
      <c r="E10" s="236"/>
      <c r="F10" s="236"/>
      <c r="G10" s="236"/>
      <c r="H10" s="236"/>
      <c r="I10" s="236"/>
    </row>
    <row r="11" spans="1:9" ht="14.1" customHeight="1">
      <c r="A11" s="328" t="s">
        <v>235</v>
      </c>
      <c r="B11" s="329">
        <v>0</v>
      </c>
      <c r="C11" s="335">
        <f>B11/'- 44 -'!$I11*100</f>
        <v>0</v>
      </c>
      <c r="D11" s="329">
        <v>5787928</v>
      </c>
      <c r="E11" s="335">
        <f>D11/'- 44 -'!$I11*100</f>
        <v>34.123839477292684</v>
      </c>
      <c r="F11" s="329">
        <v>60000</v>
      </c>
      <c r="G11" s="335">
        <f>F11/'- 44 -'!$I11*100</f>
        <v>0.35374150622425871</v>
      </c>
      <c r="H11" s="329">
        <v>23820</v>
      </c>
      <c r="I11" s="335">
        <f>H11/'- 44 -'!$I11*100</f>
        <v>0.14043537797103067</v>
      </c>
    </row>
    <row r="12" spans="1:9" ht="14.1" customHeight="1">
      <c r="A12" s="26" t="s">
        <v>236</v>
      </c>
      <c r="B12" s="27">
        <v>776989</v>
      </c>
      <c r="C12" s="79">
        <f>B12/'- 44 -'!$I12*100</f>
        <v>2.3723007826871494</v>
      </c>
      <c r="D12" s="27">
        <v>8925539</v>
      </c>
      <c r="E12" s="79">
        <f>D12/'- 44 -'!$I12*100</f>
        <v>27.251432331223064</v>
      </c>
      <c r="F12" s="27">
        <v>521317</v>
      </c>
      <c r="G12" s="79">
        <f>F12/'- 44 -'!$I12*100</f>
        <v>1.5916837009637419</v>
      </c>
      <c r="H12" s="27">
        <v>494219</v>
      </c>
      <c r="I12" s="79">
        <f>H12/'- 44 -'!$I12*100</f>
        <v>1.5089481582350077</v>
      </c>
    </row>
    <row r="13" spans="1:9" ht="14.1" customHeight="1">
      <c r="A13" s="328" t="s">
        <v>237</v>
      </c>
      <c r="B13" s="329">
        <v>24918</v>
      </c>
      <c r="C13" s="335">
        <f>B13/'- 44 -'!$I13*100</f>
        <v>2.8557600174137408E-2</v>
      </c>
      <c r="D13" s="329">
        <v>32108074</v>
      </c>
      <c r="E13" s="335">
        <f>D13/'- 44 -'!$I13*100</f>
        <v>36.797878628044664</v>
      </c>
      <c r="F13" s="329">
        <v>315072</v>
      </c>
      <c r="G13" s="335">
        <f>F13/'- 44 -'!$I13*100</f>
        <v>0.3610923911255246</v>
      </c>
      <c r="H13" s="329">
        <v>173220</v>
      </c>
      <c r="I13" s="335">
        <f>H13/'- 44 -'!$I13*100</f>
        <v>0.19852104912770216</v>
      </c>
    </row>
    <row r="14" spans="1:9" ht="14.1" customHeight="1">
      <c r="A14" s="26" t="s">
        <v>636</v>
      </c>
      <c r="B14" s="27">
        <v>65313</v>
      </c>
      <c r="C14" s="79">
        <f>B14/'- 44 -'!$I14*100</f>
        <v>8.696843286766813E-2</v>
      </c>
      <c r="D14" s="27">
        <v>17491204</v>
      </c>
      <c r="E14" s="79">
        <f>D14/'- 44 -'!$I14*100</f>
        <v>23.290655778308885</v>
      </c>
      <c r="F14" s="27">
        <v>1278108</v>
      </c>
      <c r="G14" s="79">
        <f>F14/'- 44 -'!$I14*100</f>
        <v>1.7018824704979036</v>
      </c>
      <c r="H14" s="27">
        <v>0</v>
      </c>
      <c r="I14" s="79">
        <f>H14/'- 44 -'!$I14*100</f>
        <v>0</v>
      </c>
    </row>
    <row r="15" spans="1:9" ht="14.1" customHeight="1">
      <c r="A15" s="328" t="s">
        <v>238</v>
      </c>
      <c r="B15" s="329">
        <v>0</v>
      </c>
      <c r="C15" s="335">
        <f>B15/'- 44 -'!$I15*100</f>
        <v>0</v>
      </c>
      <c r="D15" s="329">
        <v>6915659</v>
      </c>
      <c r="E15" s="335">
        <f>D15/'- 44 -'!$I15*100</f>
        <v>34.506242515004423</v>
      </c>
      <c r="F15" s="329">
        <v>42906</v>
      </c>
      <c r="G15" s="335">
        <f>F15/'- 44 -'!$I15*100</f>
        <v>0.21408297334336171</v>
      </c>
      <c r="H15" s="329">
        <v>59780</v>
      </c>
      <c r="I15" s="335">
        <f>H15/'- 44 -'!$I15*100</f>
        <v>0.29827716744665461</v>
      </c>
    </row>
    <row r="16" spans="1:9" ht="14.1" customHeight="1">
      <c r="A16" s="26" t="s">
        <v>239</v>
      </c>
      <c r="B16" s="27">
        <v>22320</v>
      </c>
      <c r="C16" s="79">
        <f>B16/'- 44 -'!$I16*100</f>
        <v>0.16836597875737308</v>
      </c>
      <c r="D16" s="27">
        <v>2931078</v>
      </c>
      <c r="E16" s="79">
        <f>D16/'- 44 -'!$I16*100</f>
        <v>22.109938005564679</v>
      </c>
      <c r="F16" s="27">
        <v>231648</v>
      </c>
      <c r="G16" s="79">
        <f>F16/'- 44 -'!$I16*100</f>
        <v>1.7473854053399622</v>
      </c>
      <c r="H16" s="27">
        <v>0</v>
      </c>
      <c r="I16" s="79">
        <f>H16/'- 44 -'!$I16*100</f>
        <v>0</v>
      </c>
    </row>
    <row r="17" spans="1:9" ht="14.1" customHeight="1">
      <c r="A17" s="328" t="s">
        <v>240</v>
      </c>
      <c r="B17" s="329">
        <v>0</v>
      </c>
      <c r="C17" s="335">
        <f>B17/'- 44 -'!$I17*100</f>
        <v>0</v>
      </c>
      <c r="D17" s="329">
        <v>6403968</v>
      </c>
      <c r="E17" s="335">
        <f>D17/'- 44 -'!$I17*100</f>
        <v>37.162877512075674</v>
      </c>
      <c r="F17" s="329">
        <v>7800</v>
      </c>
      <c r="G17" s="335">
        <f>F17/'- 44 -'!$I17*100</f>
        <v>4.5264193168078018E-2</v>
      </c>
      <c r="H17" s="329">
        <v>824376</v>
      </c>
      <c r="I17" s="335">
        <f>H17/'- 44 -'!$I17*100</f>
        <v>4.7839377573240371</v>
      </c>
    </row>
    <row r="18" spans="1:9" ht="14.1" customHeight="1">
      <c r="A18" s="26" t="s">
        <v>241</v>
      </c>
      <c r="B18" s="27">
        <v>31160070</v>
      </c>
      <c r="C18" s="79">
        <f>B18/'- 44 -'!$I18*100</f>
        <v>24.765237244916147</v>
      </c>
      <c r="D18" s="27">
        <v>3007990</v>
      </c>
      <c r="E18" s="79">
        <f>D18/'- 44 -'!$I18*100</f>
        <v>2.3906745389318869</v>
      </c>
      <c r="F18" s="27">
        <v>15600</v>
      </c>
      <c r="G18" s="79">
        <f>F18/'- 44 -'!$I18*100</f>
        <v>1.239848630059855E-2</v>
      </c>
      <c r="H18" s="27">
        <v>36550312</v>
      </c>
      <c r="I18" s="79">
        <f>H18/'- 44 -'!$I18*100</f>
        <v>29.049265552218127</v>
      </c>
    </row>
    <row r="19" spans="1:9" ht="14.1" customHeight="1">
      <c r="A19" s="328" t="s">
        <v>242</v>
      </c>
      <c r="B19" s="329">
        <v>0</v>
      </c>
      <c r="C19" s="335">
        <f>B19/'- 44 -'!$I19*100</f>
        <v>0</v>
      </c>
      <c r="D19" s="329">
        <v>13521606</v>
      </c>
      <c r="E19" s="335">
        <f>D19/'- 44 -'!$I19*100</f>
        <v>30.722314893227185</v>
      </c>
      <c r="F19" s="329">
        <v>407775</v>
      </c>
      <c r="G19" s="335">
        <f>F19/'- 44 -'!$I19*100</f>
        <v>0.92650177468458395</v>
      </c>
      <c r="H19" s="329">
        <v>0</v>
      </c>
      <c r="I19" s="335">
        <f>H19/'- 44 -'!$I19*100</f>
        <v>0</v>
      </c>
    </row>
    <row r="20" spans="1:9" ht="14.1" customHeight="1">
      <c r="A20" s="26" t="s">
        <v>243</v>
      </c>
      <c r="B20" s="27">
        <v>0</v>
      </c>
      <c r="C20" s="79">
        <f>B20/'- 44 -'!$I20*100</f>
        <v>0</v>
      </c>
      <c r="D20" s="27">
        <v>20240119</v>
      </c>
      <c r="E20" s="79">
        <f>D20/'- 44 -'!$I20*100</f>
        <v>27.427682171351186</v>
      </c>
      <c r="F20" s="27">
        <v>149600</v>
      </c>
      <c r="G20" s="79">
        <f>F20/'- 44 -'!$I20*100</f>
        <v>0.20272515457217111</v>
      </c>
      <c r="H20" s="27">
        <v>0</v>
      </c>
      <c r="I20" s="79">
        <f>H20/'- 44 -'!$I20*100</f>
        <v>0</v>
      </c>
    </row>
    <row r="21" spans="1:9" ht="14.1" customHeight="1">
      <c r="A21" s="328" t="s">
        <v>244</v>
      </c>
      <c r="B21" s="329">
        <v>7000</v>
      </c>
      <c r="C21" s="335">
        <f>B21/'- 44 -'!$I21*100</f>
        <v>2.0030004947411223E-2</v>
      </c>
      <c r="D21" s="329">
        <v>11614199</v>
      </c>
      <c r="E21" s="335">
        <f>D21/'- 44 -'!$I21*100</f>
        <v>33.233209061459782</v>
      </c>
      <c r="F21" s="329">
        <v>37968</v>
      </c>
      <c r="G21" s="335">
        <f>F21/'- 44 -'!$I21*100</f>
        <v>0.10864274683475847</v>
      </c>
      <c r="H21" s="329">
        <v>0</v>
      </c>
      <c r="I21" s="335">
        <f>H21/'- 44 -'!$I21*100</f>
        <v>0</v>
      </c>
    </row>
    <row r="22" spans="1:9" ht="14.1" customHeight="1">
      <c r="A22" s="26" t="s">
        <v>245</v>
      </c>
      <c r="B22" s="27">
        <v>20974</v>
      </c>
      <c r="C22" s="79">
        <f>B22/'- 44 -'!$I22*100</f>
        <v>0.10728383807905152</v>
      </c>
      <c r="D22" s="27">
        <v>3166369</v>
      </c>
      <c r="E22" s="79">
        <f>D22/'- 44 -'!$I22*100</f>
        <v>16.19625341348948</v>
      </c>
      <c r="F22" s="27">
        <v>10317</v>
      </c>
      <c r="G22" s="79">
        <f>F22/'- 44 -'!$I22*100</f>
        <v>5.2772354222445625E-2</v>
      </c>
      <c r="H22" s="27">
        <v>1568</v>
      </c>
      <c r="I22" s="79">
        <f>H22/'- 44 -'!$I22*100</f>
        <v>8.0204566657744256E-3</v>
      </c>
    </row>
    <row r="23" spans="1:9" ht="14.1" customHeight="1">
      <c r="A23" s="328" t="s">
        <v>246</v>
      </c>
      <c r="B23" s="329">
        <v>0</v>
      </c>
      <c r="C23" s="335">
        <f>B23/'- 44 -'!$I23*100</f>
        <v>0</v>
      </c>
      <c r="D23" s="329">
        <v>3358951</v>
      </c>
      <c r="E23" s="335">
        <f>D23/'- 44 -'!$I23*100</f>
        <v>20.035812076014796</v>
      </c>
      <c r="F23" s="329">
        <v>63746</v>
      </c>
      <c r="G23" s="335">
        <f>F23/'- 44 -'!$I23*100</f>
        <v>0.38023861515027735</v>
      </c>
      <c r="H23" s="329">
        <v>993923</v>
      </c>
      <c r="I23" s="335">
        <f>H23/'- 44 -'!$I23*100</f>
        <v>5.9286528579990758</v>
      </c>
    </row>
    <row r="24" spans="1:9" ht="14.1" customHeight="1">
      <c r="A24" s="26" t="s">
        <v>247</v>
      </c>
      <c r="B24" s="27">
        <v>0</v>
      </c>
      <c r="C24" s="79">
        <f>B24/'- 44 -'!$I24*100</f>
        <v>0</v>
      </c>
      <c r="D24" s="27">
        <v>18559210</v>
      </c>
      <c r="E24" s="79">
        <f>D24/'- 44 -'!$I24*100</f>
        <v>34.382425431006034</v>
      </c>
      <c r="F24" s="27">
        <v>191700</v>
      </c>
      <c r="G24" s="79">
        <f>F24/'- 44 -'!$I24*100</f>
        <v>0.35513962906416036</v>
      </c>
      <c r="H24" s="27">
        <v>440411</v>
      </c>
      <c r="I24" s="79">
        <f>H24/'- 44 -'!$I24*100</f>
        <v>0.81589670931547176</v>
      </c>
    </row>
    <row r="25" spans="1:9" ht="14.1" customHeight="1">
      <c r="A25" s="328" t="s">
        <v>248</v>
      </c>
      <c r="B25" s="329">
        <v>178434</v>
      </c>
      <c r="C25" s="335">
        <f>B25/'- 44 -'!$I25*100</f>
        <v>0.11226148892693238</v>
      </c>
      <c r="D25" s="329">
        <v>51270517</v>
      </c>
      <c r="E25" s="335">
        <f>D25/'- 44 -'!$I25*100</f>
        <v>32.256770438781842</v>
      </c>
      <c r="F25" s="329">
        <v>491556</v>
      </c>
      <c r="G25" s="335">
        <f>F25/'- 44 -'!$I25*100</f>
        <v>0.30926173515679284</v>
      </c>
      <c r="H25" s="329">
        <v>0</v>
      </c>
      <c r="I25" s="335">
        <f>H25/'- 44 -'!$I25*100</f>
        <v>0</v>
      </c>
    </row>
    <row r="26" spans="1:9" ht="14.1" customHeight="1">
      <c r="A26" s="26" t="s">
        <v>249</v>
      </c>
      <c r="B26" s="27">
        <v>497222</v>
      </c>
      <c r="C26" s="79">
        <f>B26/'- 44 -'!$I26*100</f>
        <v>1.2843624400329114</v>
      </c>
      <c r="D26" s="27">
        <v>9963001</v>
      </c>
      <c r="E26" s="79">
        <f>D26/'- 44 -'!$I26*100</f>
        <v>25.735193282699353</v>
      </c>
      <c r="F26" s="27">
        <v>503197</v>
      </c>
      <c r="G26" s="79">
        <f>F26/'- 44 -'!$I26*100</f>
        <v>1.2997963218386173</v>
      </c>
      <c r="H26" s="27">
        <v>275314</v>
      </c>
      <c r="I26" s="79">
        <f>H26/'- 44 -'!$I26*100</f>
        <v>0.71115711053658326</v>
      </c>
    </row>
    <row r="27" spans="1:9" ht="14.1" customHeight="1">
      <c r="A27" s="328" t="s">
        <v>250</v>
      </c>
      <c r="B27" s="329">
        <v>28207</v>
      </c>
      <c r="C27" s="335">
        <f>B27/'- 44 -'!$I27*100</f>
        <v>7.1882280336204279E-2</v>
      </c>
      <c r="D27" s="329">
        <v>7625233</v>
      </c>
      <c r="E27" s="335">
        <f>D27/'- 44 -'!$I27*100</f>
        <v>19.432025246742864</v>
      </c>
      <c r="F27" s="329">
        <v>197925</v>
      </c>
      <c r="G27" s="335">
        <f>F27/'- 44 -'!$I27*100</f>
        <v>0.50438899335424658</v>
      </c>
      <c r="H27" s="329">
        <v>260490</v>
      </c>
      <c r="I27" s="335">
        <f>H27/'- 44 -'!$I27*100</f>
        <v>0.66382866681241726</v>
      </c>
    </row>
    <row r="28" spans="1:9" ht="14.1" customHeight="1">
      <c r="A28" s="26" t="s">
        <v>251</v>
      </c>
      <c r="B28" s="27">
        <v>21</v>
      </c>
      <c r="C28" s="79">
        <f>B28/'- 44 -'!$I28*100</f>
        <v>7.849135137438356E-5</v>
      </c>
      <c r="D28" s="27">
        <v>6054154</v>
      </c>
      <c r="E28" s="79">
        <f>D28/'- 44 -'!$I28*100</f>
        <v>22.628510899458558</v>
      </c>
      <c r="F28" s="27">
        <v>21900</v>
      </c>
      <c r="G28" s="79">
        <f>F28/'- 44 -'!$I28*100</f>
        <v>8.1855266433285709E-2</v>
      </c>
      <c r="H28" s="27">
        <v>6868735</v>
      </c>
      <c r="I28" s="79">
        <f>H28/'- 44 -'!$I28*100</f>
        <v>25.673156780120308</v>
      </c>
    </row>
    <row r="29" spans="1:9" ht="14.1" customHeight="1">
      <c r="A29" s="328" t="s">
        <v>252</v>
      </c>
      <c r="B29" s="329">
        <v>73941</v>
      </c>
      <c r="C29" s="335">
        <f>B29/'- 44 -'!$I29*100</f>
        <v>5.0620057191812735E-2</v>
      </c>
      <c r="D29" s="329">
        <v>59483258</v>
      </c>
      <c r="E29" s="335">
        <f>D29/'- 44 -'!$I29*100</f>
        <v>40.722277517417304</v>
      </c>
      <c r="F29" s="329">
        <v>697450</v>
      </c>
      <c r="G29" s="335">
        <f>F29/'- 44 -'!$I29*100</f>
        <v>0.47747472834327087</v>
      </c>
      <c r="H29" s="329">
        <v>36092</v>
      </c>
      <c r="I29" s="335">
        <f>H29/'- 44 -'!$I29*100</f>
        <v>2.4708606918582458E-2</v>
      </c>
    </row>
    <row r="30" spans="1:9" ht="14.1" customHeight="1">
      <c r="A30" s="26" t="s">
        <v>253</v>
      </c>
      <c r="B30" s="27">
        <v>0</v>
      </c>
      <c r="C30" s="79">
        <f>B30/'- 44 -'!$I30*100</f>
        <v>0</v>
      </c>
      <c r="D30" s="27">
        <v>4356368</v>
      </c>
      <c r="E30" s="79">
        <f>D30/'- 44 -'!$I30*100</f>
        <v>32.207961274455116</v>
      </c>
      <c r="F30" s="27">
        <v>28600</v>
      </c>
      <c r="G30" s="79">
        <f>F30/'- 44 -'!$I30*100</f>
        <v>0.21144854898608573</v>
      </c>
      <c r="H30" s="27">
        <v>0</v>
      </c>
      <c r="I30" s="79">
        <f>H30/'- 44 -'!$I30*100</f>
        <v>0</v>
      </c>
    </row>
    <row r="31" spans="1:9" ht="14.1" customHeight="1">
      <c r="A31" s="328" t="s">
        <v>254</v>
      </c>
      <c r="B31" s="329">
        <v>0</v>
      </c>
      <c r="C31" s="335">
        <f>B31/'- 44 -'!$I31*100</f>
        <v>0</v>
      </c>
      <c r="D31" s="329">
        <v>11545200</v>
      </c>
      <c r="E31" s="335">
        <f>D31/'- 44 -'!$I31*100</f>
        <v>32.862123223569007</v>
      </c>
      <c r="F31" s="329">
        <v>180593</v>
      </c>
      <c r="G31" s="335">
        <f>F31/'- 44 -'!$I31*100</f>
        <v>0.51403781825468575</v>
      </c>
      <c r="H31" s="329">
        <v>1024133</v>
      </c>
      <c r="I31" s="335">
        <f>H31/'- 44 -'!$I31*100</f>
        <v>2.915080279538111</v>
      </c>
    </row>
    <row r="32" spans="1:9" ht="14.1" customHeight="1">
      <c r="A32" s="26" t="s">
        <v>255</v>
      </c>
      <c r="B32" s="27">
        <v>0</v>
      </c>
      <c r="C32" s="79">
        <f>B32/'- 44 -'!$I32*100</f>
        <v>0</v>
      </c>
      <c r="D32" s="27">
        <v>9255092</v>
      </c>
      <c r="E32" s="79">
        <f>D32/'- 44 -'!$I32*100</f>
        <v>35.175133939725583</v>
      </c>
      <c r="F32" s="27">
        <v>73950</v>
      </c>
      <c r="G32" s="79">
        <f>F32/'- 44 -'!$I32*100</f>
        <v>0.28105621800871422</v>
      </c>
      <c r="H32" s="27">
        <v>0</v>
      </c>
      <c r="I32" s="79">
        <f>H32/'- 44 -'!$I32*100</f>
        <v>0</v>
      </c>
    </row>
    <row r="33" spans="1:9" ht="14.1" customHeight="1">
      <c r="A33" s="328" t="s">
        <v>256</v>
      </c>
      <c r="B33" s="329">
        <v>5792</v>
      </c>
      <c r="C33" s="335">
        <f>B33/'- 44 -'!$I33*100</f>
        <v>2.1176222918647292E-2</v>
      </c>
      <c r="D33" s="329">
        <v>9460110</v>
      </c>
      <c r="E33" s="335">
        <f>D33/'- 44 -'!$I33*100</f>
        <v>34.587257975643034</v>
      </c>
      <c r="F33" s="329">
        <v>19500</v>
      </c>
      <c r="G33" s="335">
        <f>F33/'- 44 -'!$I33*100</f>
        <v>7.1294258790335324E-2</v>
      </c>
      <c r="H33" s="329">
        <v>298336</v>
      </c>
      <c r="I33" s="335">
        <f>H33/'- 44 -'!$I33*100</f>
        <v>1.0907509738704348</v>
      </c>
    </row>
    <row r="34" spans="1:9" ht="14.1" customHeight="1">
      <c r="A34" s="26" t="s">
        <v>257</v>
      </c>
      <c r="B34" s="27">
        <v>11261</v>
      </c>
      <c r="C34" s="79">
        <f>B34/'- 44 -'!$I34*100</f>
        <v>4.270341878390705E-2</v>
      </c>
      <c r="D34" s="27">
        <v>9503985</v>
      </c>
      <c r="E34" s="79">
        <f>D34/'- 44 -'!$I34*100</f>
        <v>36.040551600299338</v>
      </c>
      <c r="F34" s="27">
        <v>672837</v>
      </c>
      <c r="G34" s="79">
        <f>F34/'- 44 -'!$I34*100</f>
        <v>2.5514998831638103</v>
      </c>
      <c r="H34" s="27">
        <v>0</v>
      </c>
      <c r="I34" s="79">
        <f>H34/'- 44 -'!$I34*100</f>
        <v>0</v>
      </c>
    </row>
    <row r="35" spans="1:9" ht="14.1" customHeight="1">
      <c r="A35" s="328" t="s">
        <v>258</v>
      </c>
      <c r="B35" s="329">
        <v>400235</v>
      </c>
      <c r="C35" s="335">
        <f>B35/'- 44 -'!$I35*100</f>
        <v>0.22883679723372513</v>
      </c>
      <c r="D35" s="329">
        <v>50478832</v>
      </c>
      <c r="E35" s="335">
        <f>D35/'- 44 -'!$I35*100</f>
        <v>28.861579429533339</v>
      </c>
      <c r="F35" s="329">
        <v>954504</v>
      </c>
      <c r="G35" s="335">
        <f>F35/'- 44 -'!$I35*100</f>
        <v>0.54574347147745594</v>
      </c>
      <c r="H35" s="329">
        <v>64377</v>
      </c>
      <c r="I35" s="335">
        <f>H35/'- 44 -'!$I35*100</f>
        <v>3.6807941573114601E-2</v>
      </c>
    </row>
    <row r="36" spans="1:9" ht="14.1" customHeight="1">
      <c r="A36" s="26" t="s">
        <v>259</v>
      </c>
      <c r="B36" s="27">
        <v>29315</v>
      </c>
      <c r="C36" s="79">
        <f>B36/'- 44 -'!$I36*100</f>
        <v>0.12861550964844465</v>
      </c>
      <c r="D36" s="27">
        <v>7649650</v>
      </c>
      <c r="E36" s="79">
        <f>D36/'- 44 -'!$I36*100</f>
        <v>33.561781797108125</v>
      </c>
      <c r="F36" s="27">
        <v>72605</v>
      </c>
      <c r="G36" s="79">
        <f>F36/'- 44 -'!$I36*100</f>
        <v>0.31854439972796605</v>
      </c>
      <c r="H36" s="27">
        <v>1172444</v>
      </c>
      <c r="I36" s="79">
        <f>H36/'- 44 -'!$I36*100</f>
        <v>5.1439359575050672</v>
      </c>
    </row>
    <row r="37" spans="1:9" ht="14.1" customHeight="1">
      <c r="A37" s="328" t="s">
        <v>260</v>
      </c>
      <c r="B37" s="329">
        <v>4861</v>
      </c>
      <c r="C37" s="335">
        <f>B37/'- 44 -'!$I37*100</f>
        <v>1.1096882173323346E-2</v>
      </c>
      <c r="D37" s="329">
        <v>10990895</v>
      </c>
      <c r="E37" s="335">
        <f>D37/'- 44 -'!$I37*100</f>
        <v>25.090447807934314</v>
      </c>
      <c r="F37" s="329">
        <v>288980</v>
      </c>
      <c r="G37" s="335">
        <f>F37/'- 44 -'!$I37*100</f>
        <v>0.65969492089014203</v>
      </c>
      <c r="H37" s="329">
        <v>55640</v>
      </c>
      <c r="I37" s="335">
        <f>H37/'- 44 -'!$I37*100</f>
        <v>0.12701718249819194</v>
      </c>
    </row>
    <row r="38" spans="1:9" ht="14.1" customHeight="1">
      <c r="A38" s="26" t="s">
        <v>261</v>
      </c>
      <c r="B38" s="27">
        <v>628944</v>
      </c>
      <c r="C38" s="79">
        <f>B38/'- 44 -'!$I38*100</f>
        <v>0.52048218949560676</v>
      </c>
      <c r="D38" s="27">
        <v>31216201</v>
      </c>
      <c r="E38" s="79">
        <f>D38/'- 44 -'!$I38*100</f>
        <v>25.832946405745105</v>
      </c>
      <c r="F38" s="27">
        <v>1108396</v>
      </c>
      <c r="G38" s="79">
        <f>F38/'- 44 -'!$I38*100</f>
        <v>0.91725237367424228</v>
      </c>
      <c r="H38" s="27">
        <v>525200</v>
      </c>
      <c r="I38" s="79">
        <f>H38/'- 44 -'!$I38*100</f>
        <v>0.43462891119573865</v>
      </c>
    </row>
    <row r="39" spans="1:9" ht="14.1" customHeight="1">
      <c r="A39" s="328" t="s">
        <v>262</v>
      </c>
      <c r="B39" s="329">
        <v>0</v>
      </c>
      <c r="C39" s="335">
        <f>B39/'- 44 -'!$I39*100</f>
        <v>0</v>
      </c>
      <c r="D39" s="329">
        <v>8896721</v>
      </c>
      <c r="E39" s="335">
        <f>D39/'- 44 -'!$I39*100</f>
        <v>41.91580110830418</v>
      </c>
      <c r="F39" s="329">
        <v>101650</v>
      </c>
      <c r="G39" s="335">
        <f>F39/'- 44 -'!$I39*100</f>
        <v>0.47891140822097483</v>
      </c>
      <c r="H39" s="329">
        <v>0</v>
      </c>
      <c r="I39" s="335">
        <f>H39/'- 44 -'!$I39*100</f>
        <v>0</v>
      </c>
    </row>
    <row r="40" spans="1:9" ht="14.1" customHeight="1">
      <c r="A40" s="26" t="s">
        <v>263</v>
      </c>
      <c r="B40" s="27">
        <v>0</v>
      </c>
      <c r="C40" s="79">
        <f>B40/'- 44 -'!$I40*100</f>
        <v>0</v>
      </c>
      <c r="D40" s="27">
        <v>37045033</v>
      </c>
      <c r="E40" s="79">
        <f>D40/'- 44 -'!$I40*100</f>
        <v>37.550322531591526</v>
      </c>
      <c r="F40" s="27">
        <v>755777</v>
      </c>
      <c r="G40" s="79">
        <f>F40/'- 44 -'!$I40*100</f>
        <v>0.76608570201459003</v>
      </c>
      <c r="H40" s="27">
        <v>147984</v>
      </c>
      <c r="I40" s="79">
        <f>H40/'- 44 -'!$I40*100</f>
        <v>0.15000248291086798</v>
      </c>
    </row>
    <row r="41" spans="1:9" ht="14.1" customHeight="1">
      <c r="A41" s="328" t="s">
        <v>264</v>
      </c>
      <c r="B41" s="329">
        <v>20604</v>
      </c>
      <c r="C41" s="335">
        <f>B41/'- 44 -'!$I41*100</f>
        <v>3.4267107009968392E-2</v>
      </c>
      <c r="D41" s="329">
        <v>21660677</v>
      </c>
      <c r="E41" s="335">
        <f>D41/'- 44 -'!$I41*100</f>
        <v>36.024497023265447</v>
      </c>
      <c r="F41" s="329">
        <v>165223</v>
      </c>
      <c r="G41" s="335">
        <f>F41/'- 44 -'!$I41*100</f>
        <v>0.27478713946359967</v>
      </c>
      <c r="H41" s="329">
        <v>350089</v>
      </c>
      <c r="I41" s="335">
        <f>H41/'- 44 -'!$I41*100</f>
        <v>0.58224311910370929</v>
      </c>
    </row>
    <row r="42" spans="1:9" ht="14.1" customHeight="1">
      <c r="A42" s="26" t="s">
        <v>265</v>
      </c>
      <c r="B42" s="27">
        <v>0</v>
      </c>
      <c r="C42" s="79">
        <f>B42/'- 44 -'!$I42*100</f>
        <v>0</v>
      </c>
      <c r="D42" s="27">
        <v>5016812</v>
      </c>
      <c r="E42" s="79">
        <f>D42/'- 44 -'!$I42*100</f>
        <v>24.043434892256503</v>
      </c>
      <c r="F42" s="27">
        <v>36790</v>
      </c>
      <c r="G42" s="79">
        <f>F42/'- 44 -'!$I42*100</f>
        <v>0.17631873980649798</v>
      </c>
      <c r="H42" s="27">
        <v>358259</v>
      </c>
      <c r="I42" s="79">
        <f>H42/'- 44 -'!$I42*100</f>
        <v>1.7169822072393628</v>
      </c>
    </row>
    <row r="43" spans="1:9" ht="14.1" customHeight="1">
      <c r="A43" s="328" t="s">
        <v>266</v>
      </c>
      <c r="B43" s="329">
        <v>177</v>
      </c>
      <c r="C43" s="335">
        <f>B43/'- 44 -'!$I43*100</f>
        <v>1.4300520345035198E-3</v>
      </c>
      <c r="D43" s="329">
        <v>4531827</v>
      </c>
      <c r="E43" s="335">
        <f>D43/'- 44 -'!$I43*100</f>
        <v>36.614397860836064</v>
      </c>
      <c r="F43" s="329">
        <v>37700</v>
      </c>
      <c r="G43" s="335">
        <f>F43/'- 44 -'!$I43*100</f>
        <v>0.30459300395922428</v>
      </c>
      <c r="H43" s="329">
        <v>0</v>
      </c>
      <c r="I43" s="335">
        <f>H43/'- 44 -'!$I43*100</f>
        <v>0</v>
      </c>
    </row>
    <row r="44" spans="1:9" ht="14.1" customHeight="1">
      <c r="A44" s="26" t="s">
        <v>267</v>
      </c>
      <c r="B44" s="27">
        <v>0</v>
      </c>
      <c r="C44" s="79">
        <f>B44/'- 44 -'!$I44*100</f>
        <v>0</v>
      </c>
      <c r="D44" s="27">
        <v>2247441</v>
      </c>
      <c r="E44" s="79">
        <f>D44/'- 44 -'!$I44*100</f>
        <v>20.583221546028728</v>
      </c>
      <c r="F44" s="27">
        <v>20800</v>
      </c>
      <c r="G44" s="79">
        <f>F44/'- 44 -'!$I44*100</f>
        <v>0.19049710677939821</v>
      </c>
      <c r="H44" s="27">
        <v>0</v>
      </c>
      <c r="I44" s="79">
        <f>H44/'- 44 -'!$I44*100</f>
        <v>0</v>
      </c>
    </row>
    <row r="45" spans="1:9" ht="14.1" customHeight="1">
      <c r="A45" s="328" t="s">
        <v>268</v>
      </c>
      <c r="B45" s="329">
        <v>10062</v>
      </c>
      <c r="C45" s="335">
        <f>B45/'- 44 -'!$I45*100</f>
        <v>5.6592930124548316E-2</v>
      </c>
      <c r="D45" s="329">
        <v>5552488</v>
      </c>
      <c r="E45" s="335">
        <f>D45/'- 44 -'!$I45*100</f>
        <v>31.2295334328556</v>
      </c>
      <c r="F45" s="329">
        <v>62400</v>
      </c>
      <c r="G45" s="335">
        <f>F45/'- 44 -'!$I45*100</f>
        <v>0.35096390774913683</v>
      </c>
      <c r="H45" s="329">
        <v>0</v>
      </c>
      <c r="I45" s="335">
        <f>H45/'- 44 -'!$I45*100</f>
        <v>0</v>
      </c>
    </row>
    <row r="46" spans="1:9" ht="14.1" customHeight="1">
      <c r="A46" s="26" t="s">
        <v>269</v>
      </c>
      <c r="B46" s="27">
        <v>3144293</v>
      </c>
      <c r="C46" s="79">
        <f>B46/'- 44 -'!$I46*100</f>
        <v>0.86237861396767823</v>
      </c>
      <c r="D46" s="27">
        <v>124932972</v>
      </c>
      <c r="E46" s="79">
        <f>D46/'- 44 -'!$I46*100</f>
        <v>34.265102912553871</v>
      </c>
      <c r="F46" s="27">
        <v>2366879</v>
      </c>
      <c r="G46" s="79">
        <f>F46/'- 44 -'!$I46*100</f>
        <v>0.64915891472238896</v>
      </c>
      <c r="H46" s="27">
        <v>2665674</v>
      </c>
      <c r="I46" s="79">
        <f>H46/'- 44 -'!$I46*100</f>
        <v>0.73110878961015302</v>
      </c>
    </row>
    <row r="47" spans="1:9" ht="5.0999999999999996" customHeight="1">
      <c r="A47" s="28"/>
      <c r="B47" s="29"/>
      <c r="C47"/>
      <c r="D47" s="29"/>
      <c r="E47"/>
      <c r="F47" s="29"/>
      <c r="G47"/>
      <c r="H47" s="29"/>
      <c r="I47"/>
    </row>
    <row r="48" spans="1:9" ht="14.1" customHeight="1">
      <c r="A48" s="330" t="s">
        <v>270</v>
      </c>
      <c r="B48" s="331">
        <f>SUM(B11:B46)</f>
        <v>37110953</v>
      </c>
      <c r="C48" s="338">
        <f>B48/'- 44 -'!$I48*100</f>
        <v>1.7351487170351836</v>
      </c>
      <c r="D48" s="331">
        <f>SUM(D11:D46)</f>
        <v>642768361</v>
      </c>
      <c r="E48" s="338">
        <f>D48/'- 44 -'!$I48*100</f>
        <v>30.05308694012675</v>
      </c>
      <c r="F48" s="331">
        <f>SUM(F11:F46)</f>
        <v>12192769</v>
      </c>
      <c r="G48" s="338">
        <f>F48/'- 44 -'!$I48*100</f>
        <v>0.57008149285350762</v>
      </c>
      <c r="H48" s="331">
        <f>SUM(H11:H46)</f>
        <v>53664396</v>
      </c>
      <c r="I48" s="338">
        <f>H48/'- 44 -'!$I48*100</f>
        <v>2.5091165907237154</v>
      </c>
    </row>
    <row r="49" spans="1:9" ht="5.0999999999999996" customHeight="1">
      <c r="A49" s="28" t="s">
        <v>16</v>
      </c>
      <c r="B49" s="29"/>
      <c r="C49"/>
      <c r="D49" s="29"/>
      <c r="E49"/>
      <c r="F49" s="29"/>
      <c r="G49"/>
      <c r="H49" s="29"/>
      <c r="I49"/>
    </row>
    <row r="50" spans="1:9" ht="14.1" customHeight="1">
      <c r="A50" s="26" t="s">
        <v>271</v>
      </c>
      <c r="B50" s="27">
        <v>0</v>
      </c>
      <c r="C50" s="79">
        <f>B50/'- 44 -'!$I50*100</f>
        <v>0</v>
      </c>
      <c r="D50" s="27">
        <v>1808214</v>
      </c>
      <c r="E50" s="79">
        <f>D50/'- 44 -'!$I50*100</f>
        <v>55.582472567855312</v>
      </c>
      <c r="F50" s="27">
        <v>29900</v>
      </c>
      <c r="G50" s="79">
        <f>F50/'- 44 -'!$I50*100</f>
        <v>0.91909250220320926</v>
      </c>
      <c r="H50" s="27">
        <v>0</v>
      </c>
      <c r="I50" s="79">
        <f>H50/'- 44 -'!$I50*100</f>
        <v>0</v>
      </c>
    </row>
    <row r="51" spans="1:9" ht="14.1" customHeight="1">
      <c r="A51" s="328" t="s">
        <v>272</v>
      </c>
      <c r="B51" s="329">
        <v>3788765</v>
      </c>
      <c r="C51" s="335">
        <f>B51/'- 44 -'!$I51*100</f>
        <v>17.850384523204276</v>
      </c>
      <c r="D51" s="329">
        <v>0</v>
      </c>
      <c r="E51" s="335">
        <f>D51/'- 44 -'!$I51*100</f>
        <v>0</v>
      </c>
      <c r="F51" s="329">
        <v>1440831</v>
      </c>
      <c r="G51" s="335">
        <f>F51/'- 44 -'!$I51*100</f>
        <v>6.7883300713960733</v>
      </c>
      <c r="H51" s="329">
        <v>0</v>
      </c>
      <c r="I51" s="335">
        <f>H51/'- 44 -'!$I51*100</f>
        <v>0</v>
      </c>
    </row>
    <row r="52" spans="1:9" ht="50.1" customHeight="1">
      <c r="A52" s="30"/>
      <c r="B52" s="30"/>
      <c r="C52" s="30"/>
      <c r="D52" s="30"/>
      <c r="E52" s="30"/>
      <c r="F52" s="30"/>
      <c r="G52" s="30"/>
      <c r="H52" s="30"/>
      <c r="I52" s="30"/>
    </row>
    <row r="53" spans="1:9" ht="15" customHeight="1">
      <c r="A53" s="1" t="str">
        <f>"(1)  Municipal Government revenue is net of  "&amp;TEXT('- 42 -'!C48,"$0,000,000")&amp; " in Education Property Tax Credit (EPTC) revenue paid directly to school divisions. See"</f>
        <v>(1)  Municipal Government revenue is net of  $200,705,285 in Education Property Tax Credit (EPTC) revenue paid directly to school divisions. See</v>
      </c>
    </row>
    <row r="54" spans="1:9">
      <c r="A54" s="151" t="s">
        <v>595</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sheetPr codeName="Sheet38">
    <pageSetUpPr fitToPage="1"/>
  </sheetPr>
  <dimension ref="A1:I52"/>
  <sheetViews>
    <sheetView showGridLines="0" showZeros="0" workbookViewId="0"/>
  </sheetViews>
  <sheetFormatPr defaultColWidth="15.83203125" defaultRowHeight="12"/>
  <cols>
    <col min="1" max="1" width="35.83203125" style="1" customWidth="1"/>
    <col min="2" max="2" width="15.83203125" style="1"/>
    <col min="3" max="3" width="8.83203125" style="1" customWidth="1"/>
    <col min="4" max="4" width="13.83203125" style="1" customWidth="1"/>
    <col min="5" max="5" width="8.83203125" style="1" customWidth="1"/>
    <col min="6" max="6" width="15.83203125" style="1"/>
    <col min="7" max="7" width="8.83203125" style="1" customWidth="1"/>
    <col min="8" max="8" width="4.83203125" style="1" customWidth="1"/>
    <col min="9" max="9" width="19.83203125" style="1" customWidth="1"/>
    <col min="10" max="16384" width="15.83203125" style="1"/>
  </cols>
  <sheetData>
    <row r="1" spans="1:9" ht="6.95" customHeight="1">
      <c r="A1" s="6"/>
    </row>
    <row r="2" spans="1:9" ht="15.95" customHeight="1">
      <c r="A2" s="242"/>
      <c r="B2" s="233" t="str">
        <f>REVYEAR</f>
        <v>ANALYSIS OF OPERATING FUND REVENUE: 2013/2014 ACTUAL</v>
      </c>
      <c r="C2" s="48"/>
      <c r="D2" s="48"/>
      <c r="E2" s="48"/>
      <c r="F2" s="48"/>
      <c r="G2" s="243"/>
      <c r="H2" s="49"/>
      <c r="I2" s="244" t="s">
        <v>18</v>
      </c>
    </row>
    <row r="3" spans="1:9" ht="15.95" customHeight="1">
      <c r="A3" s="693"/>
    </row>
    <row r="4" spans="1:9" ht="15.95" customHeight="1">
      <c r="B4" s="50"/>
      <c r="C4" s="7"/>
      <c r="D4" s="7"/>
      <c r="E4" s="7"/>
      <c r="F4" s="7"/>
      <c r="G4" s="7"/>
      <c r="H4" s="7"/>
      <c r="I4" s="7"/>
    </row>
    <row r="5" spans="1:9" ht="15.95" customHeight="1">
      <c r="B5" s="7"/>
      <c r="C5" s="7"/>
      <c r="D5" s="7"/>
      <c r="E5" s="7"/>
      <c r="F5" s="7"/>
      <c r="G5" s="7"/>
      <c r="H5" s="7"/>
      <c r="I5" s="7"/>
    </row>
    <row r="6" spans="1:9" ht="15.95" customHeight="1">
      <c r="B6" s="355" t="s">
        <v>113</v>
      </c>
      <c r="C6" s="356"/>
      <c r="D6" s="357"/>
      <c r="E6" s="357"/>
      <c r="F6" s="355" t="s">
        <v>67</v>
      </c>
      <c r="G6" s="356"/>
      <c r="H6" s="7"/>
      <c r="I6" s="414" t="s">
        <v>67</v>
      </c>
    </row>
    <row r="7" spans="1:9" ht="15.95" customHeight="1">
      <c r="B7" s="391" t="s">
        <v>119</v>
      </c>
      <c r="C7" s="392"/>
      <c r="D7" s="434"/>
      <c r="E7" s="434"/>
      <c r="F7" s="391" t="s">
        <v>120</v>
      </c>
      <c r="G7" s="392"/>
      <c r="H7" s="7"/>
      <c r="I7" s="415" t="s">
        <v>121</v>
      </c>
    </row>
    <row r="8" spans="1:9" ht="15.95" customHeight="1">
      <c r="A8" s="75"/>
      <c r="B8" s="343" t="s">
        <v>138</v>
      </c>
      <c r="C8" s="344"/>
      <c r="D8" s="343" t="s">
        <v>57</v>
      </c>
      <c r="E8" s="343"/>
      <c r="F8" s="342" t="s">
        <v>139</v>
      </c>
      <c r="G8" s="344"/>
      <c r="H8" s="7"/>
      <c r="I8" s="345" t="s">
        <v>134</v>
      </c>
    </row>
    <row r="9" spans="1:9" ht="15.95" customHeight="1">
      <c r="A9" s="42" t="s">
        <v>93</v>
      </c>
      <c r="B9" s="193" t="s">
        <v>139</v>
      </c>
      <c r="C9" s="235" t="s">
        <v>95</v>
      </c>
      <c r="D9" s="245" t="s">
        <v>139</v>
      </c>
      <c r="E9" s="245" t="s">
        <v>95</v>
      </c>
      <c r="F9" s="235" t="s">
        <v>139</v>
      </c>
      <c r="G9" s="245" t="s">
        <v>95</v>
      </c>
      <c r="H9" s="7"/>
      <c r="I9" s="245" t="s">
        <v>139</v>
      </c>
    </row>
    <row r="10" spans="1:9" ht="5.0999999999999996" customHeight="1">
      <c r="A10" s="5"/>
      <c r="B10" s="236"/>
      <c r="C10" s="236"/>
      <c r="D10" s="236"/>
      <c r="E10" s="236"/>
      <c r="F10" s="236"/>
      <c r="G10" s="6"/>
      <c r="H10" s="6"/>
      <c r="I10" s="236"/>
    </row>
    <row r="11" spans="1:9" ht="14.1" customHeight="1">
      <c r="A11" s="328" t="s">
        <v>235</v>
      </c>
      <c r="B11" s="329">
        <v>33965</v>
      </c>
      <c r="C11" s="335">
        <f>B11/I11*100</f>
        <v>0.20024717098178244</v>
      </c>
      <c r="D11" s="329">
        <v>102226</v>
      </c>
      <c r="E11" s="335">
        <f>D11/I11*100</f>
        <v>0.60269298692135109</v>
      </c>
      <c r="F11" s="329">
        <f>SUM('- 43 -'!$B11,'- 43 -'!$D11,'- 43 -'!$F11,'- 43 -'!$H11,B11,D11)</f>
        <v>6007939</v>
      </c>
      <c r="G11" s="335">
        <f>F11/I11*100</f>
        <v>35.420956519391105</v>
      </c>
      <c r="I11" s="329">
        <f>SUM('- 42 -'!$H11,F11)</f>
        <v>16961538</v>
      </c>
    </row>
    <row r="12" spans="1:9" ht="14.1" customHeight="1">
      <c r="A12" s="26" t="s">
        <v>236</v>
      </c>
      <c r="B12" s="27">
        <v>268654</v>
      </c>
      <c r="C12" s="79">
        <f t="shared" ref="C12:C46" si="0">B12/I12*100</f>
        <v>0.82025369017068894</v>
      </c>
      <c r="D12" s="27">
        <v>217656</v>
      </c>
      <c r="E12" s="79">
        <f t="shared" ref="E12:E46" si="1">D12/I12*100</f>
        <v>0.66454672994927111</v>
      </c>
      <c r="F12" s="27">
        <f>SUM('- 43 -'!$B12,'- 43 -'!$D12,'- 43 -'!$F12,'- 43 -'!$H12,B12,D12)</f>
        <v>11204374</v>
      </c>
      <c r="G12" s="79">
        <f t="shared" ref="G12:G46" si="2">F12/I12*100</f>
        <v>34.209165393228922</v>
      </c>
      <c r="I12" s="27">
        <f>SUM('- 42 -'!$H12,F12)</f>
        <v>32752550</v>
      </c>
    </row>
    <row r="13" spans="1:9" ht="14.1" customHeight="1">
      <c r="A13" s="328" t="s">
        <v>237</v>
      </c>
      <c r="B13" s="329">
        <v>751327</v>
      </c>
      <c r="C13" s="335">
        <f t="shared" si="0"/>
        <v>0.86106814616077276</v>
      </c>
      <c r="D13" s="329">
        <v>68048</v>
      </c>
      <c r="E13" s="335">
        <f t="shared" si="1"/>
        <v>7.7987301414628077E-2</v>
      </c>
      <c r="F13" s="329">
        <f>SUM('- 43 -'!$B13,'- 43 -'!$D13,'- 43 -'!$F13,'- 43 -'!$H13,B13,D13)</f>
        <v>33440659</v>
      </c>
      <c r="G13" s="335">
        <f t="shared" si="2"/>
        <v>38.325105116047425</v>
      </c>
      <c r="I13" s="329">
        <f>SUM('- 42 -'!$H13,F13)</f>
        <v>87255231</v>
      </c>
    </row>
    <row r="14" spans="1:9" ht="14.1" customHeight="1">
      <c r="A14" s="26" t="s">
        <v>636</v>
      </c>
      <c r="B14" s="27">
        <v>170735</v>
      </c>
      <c r="C14" s="79">
        <f t="shared" si="0"/>
        <v>0.22734456211874082</v>
      </c>
      <c r="D14" s="27">
        <v>60928</v>
      </c>
      <c r="E14" s="79">
        <f t="shared" si="1"/>
        <v>8.1129525175099651E-2</v>
      </c>
      <c r="F14" s="27">
        <f>SUM('- 43 -'!$B14,'- 43 -'!$D14,'- 43 -'!$F14,'- 43 -'!$H14,B14,D14)</f>
        <v>19066288</v>
      </c>
      <c r="G14" s="79">
        <f t="shared" si="2"/>
        <v>25.387980768968298</v>
      </c>
      <c r="I14" s="27">
        <f>SUM('- 42 -'!$H14,F14)</f>
        <v>75099663</v>
      </c>
    </row>
    <row r="15" spans="1:9" ht="14.1" customHeight="1">
      <c r="A15" s="328" t="s">
        <v>238</v>
      </c>
      <c r="B15" s="329">
        <v>69742</v>
      </c>
      <c r="C15" s="335">
        <f t="shared" si="0"/>
        <v>0.34798337591275658</v>
      </c>
      <c r="D15" s="329">
        <v>92785</v>
      </c>
      <c r="E15" s="335">
        <f t="shared" si="1"/>
        <v>0.46295829678049266</v>
      </c>
      <c r="F15" s="329">
        <f>SUM('- 43 -'!$B15,'- 43 -'!$D15,'- 43 -'!$F15,'- 43 -'!$H15,B15,D15)</f>
        <v>7180872</v>
      </c>
      <c r="G15" s="335">
        <f t="shared" si="2"/>
        <v>35.829544328487685</v>
      </c>
      <c r="I15" s="329">
        <f>SUM('- 42 -'!$H15,F15)</f>
        <v>20041762</v>
      </c>
    </row>
    <row r="16" spans="1:9" ht="14.1" customHeight="1">
      <c r="A16" s="26" t="s">
        <v>239</v>
      </c>
      <c r="B16" s="27">
        <v>181319</v>
      </c>
      <c r="C16" s="79">
        <f t="shared" si="0"/>
        <v>1.3677397357664933</v>
      </c>
      <c r="D16" s="27">
        <v>47694</v>
      </c>
      <c r="E16" s="79">
        <f t="shared" si="1"/>
        <v>0.35976913041461256</v>
      </c>
      <c r="F16" s="27">
        <f>SUM('- 43 -'!$B16,'- 43 -'!$D16,'- 43 -'!$F16,'- 43 -'!$H16,B16,D16)</f>
        <v>3414059</v>
      </c>
      <c r="G16" s="79">
        <f t="shared" si="2"/>
        <v>25.753198255843117</v>
      </c>
      <c r="I16" s="27">
        <f>SUM('- 42 -'!$H16,F16)</f>
        <v>13256835</v>
      </c>
    </row>
    <row r="17" spans="1:9" ht="14.1" customHeight="1">
      <c r="A17" s="328" t="s">
        <v>240</v>
      </c>
      <c r="B17" s="329">
        <v>0</v>
      </c>
      <c r="C17" s="335">
        <f t="shared" si="0"/>
        <v>0</v>
      </c>
      <c r="D17" s="329">
        <v>52042</v>
      </c>
      <c r="E17" s="335">
        <f t="shared" si="1"/>
        <v>0.30200501805809188</v>
      </c>
      <c r="F17" s="329">
        <f>SUM('- 43 -'!$B17,'- 43 -'!$D17,'- 43 -'!$F17,'- 43 -'!$H17,B17,D17)</f>
        <v>7288186</v>
      </c>
      <c r="G17" s="335">
        <f t="shared" si="2"/>
        <v>42.294084480625884</v>
      </c>
      <c r="I17" s="329">
        <f>SUM('- 42 -'!$H17,F17)</f>
        <v>17232164</v>
      </c>
    </row>
    <row r="18" spans="1:9" ht="14.1" customHeight="1">
      <c r="A18" s="26" t="s">
        <v>241</v>
      </c>
      <c r="B18" s="27">
        <v>4616636</v>
      </c>
      <c r="C18" s="79">
        <f t="shared" si="0"/>
        <v>3.669185782105775</v>
      </c>
      <c r="D18" s="27">
        <v>775567</v>
      </c>
      <c r="E18" s="79">
        <f t="shared" si="1"/>
        <v>0.61640107850617409</v>
      </c>
      <c r="F18" s="27">
        <f>SUM('- 43 -'!$B18,'- 43 -'!$D18,'- 43 -'!$F18,'- 43 -'!$H18,B18,D18)</f>
        <v>76126175</v>
      </c>
      <c r="G18" s="79">
        <f t="shared" si="2"/>
        <v>60.503162682978704</v>
      </c>
      <c r="I18" s="27">
        <f>SUM('- 42 -'!$H18,F18)</f>
        <v>125821811</v>
      </c>
    </row>
    <row r="19" spans="1:9" ht="14.1" customHeight="1">
      <c r="A19" s="328" t="s">
        <v>242</v>
      </c>
      <c r="B19" s="329">
        <v>9200</v>
      </c>
      <c r="C19" s="335">
        <f t="shared" si="0"/>
        <v>2.0903234202926051E-2</v>
      </c>
      <c r="D19" s="329">
        <v>580086</v>
      </c>
      <c r="E19" s="335">
        <f t="shared" si="1"/>
        <v>1.3180079908520177</v>
      </c>
      <c r="F19" s="329">
        <f>SUM('- 43 -'!$B19,'- 43 -'!$D19,'- 43 -'!$F19,'- 43 -'!$H19,B19,D19)</f>
        <v>14518667</v>
      </c>
      <c r="G19" s="335">
        <f t="shared" si="2"/>
        <v>32.987727892966717</v>
      </c>
      <c r="I19" s="329">
        <f>SUM('- 42 -'!$H19,F19)</f>
        <v>44012328</v>
      </c>
    </row>
    <row r="20" spans="1:9" ht="14.1" customHeight="1">
      <c r="A20" s="26" t="s">
        <v>243</v>
      </c>
      <c r="B20" s="27">
        <v>350999</v>
      </c>
      <c r="C20" s="79">
        <f t="shared" si="0"/>
        <v>0.47564389391495654</v>
      </c>
      <c r="D20" s="27">
        <v>98234</v>
      </c>
      <c r="E20" s="79">
        <f t="shared" si="1"/>
        <v>0.13311833445349372</v>
      </c>
      <c r="F20" s="27">
        <f>SUM('- 43 -'!$B20,'- 43 -'!$D20,'- 43 -'!$F20,'- 43 -'!$H20,B20,D20)</f>
        <v>20838952</v>
      </c>
      <c r="G20" s="79">
        <f t="shared" si="2"/>
        <v>28.239169554291809</v>
      </c>
      <c r="I20" s="27">
        <f>SUM('- 42 -'!$H20,F20)</f>
        <v>73794493</v>
      </c>
    </row>
    <row r="21" spans="1:9" ht="14.1" customHeight="1">
      <c r="A21" s="328" t="s">
        <v>244</v>
      </c>
      <c r="B21" s="329">
        <v>215953</v>
      </c>
      <c r="C21" s="335">
        <f t="shared" si="0"/>
        <v>0.61793423691547078</v>
      </c>
      <c r="D21" s="329">
        <v>139695</v>
      </c>
      <c r="E21" s="335">
        <f t="shared" si="1"/>
        <v>0.39972736301837297</v>
      </c>
      <c r="F21" s="329">
        <f>SUM('- 43 -'!$B21,'- 43 -'!$D21,'- 43 -'!$F21,'- 43 -'!$H21,B21,D21)</f>
        <v>12014815</v>
      </c>
      <c r="G21" s="335">
        <f t="shared" si="2"/>
        <v>34.379543413175796</v>
      </c>
      <c r="I21" s="329">
        <f>SUM('- 42 -'!$H21,F21)</f>
        <v>34947570</v>
      </c>
    </row>
    <row r="22" spans="1:9" ht="14.1" customHeight="1">
      <c r="A22" s="26" t="s">
        <v>245</v>
      </c>
      <c r="B22" s="27">
        <v>0</v>
      </c>
      <c r="C22" s="79">
        <f t="shared" si="0"/>
        <v>0</v>
      </c>
      <c r="D22" s="27">
        <v>147368</v>
      </c>
      <c r="E22" s="79">
        <f t="shared" si="1"/>
        <v>0.75380016449097287</v>
      </c>
      <c r="F22" s="27">
        <f>SUM('- 43 -'!$B22,'- 43 -'!$D22,'- 43 -'!$F22,'- 43 -'!$H22,B22,D22)</f>
        <v>3346596</v>
      </c>
      <c r="G22" s="79">
        <f t="shared" si="2"/>
        <v>17.118130226947724</v>
      </c>
      <c r="I22" s="27">
        <f>SUM('- 42 -'!$H22,F22)</f>
        <v>19550009</v>
      </c>
    </row>
    <row r="23" spans="1:9" ht="14.1" customHeight="1">
      <c r="A23" s="328" t="s">
        <v>246</v>
      </c>
      <c r="B23" s="329">
        <v>176674</v>
      </c>
      <c r="C23" s="335">
        <f t="shared" si="0"/>
        <v>1.0538430190609622</v>
      </c>
      <c r="D23" s="329">
        <v>183175</v>
      </c>
      <c r="E23" s="335">
        <f t="shared" si="1"/>
        <v>1.0926208441337819</v>
      </c>
      <c r="F23" s="329">
        <f>SUM('- 43 -'!$B23,'- 43 -'!$D23,'- 43 -'!$F23,'- 43 -'!$H23,B23,D23)</f>
        <v>4776469</v>
      </c>
      <c r="G23" s="335">
        <f t="shared" si="2"/>
        <v>28.491167412358891</v>
      </c>
      <c r="I23" s="329">
        <f>SUM('- 42 -'!$H23,F23)</f>
        <v>16764736</v>
      </c>
    </row>
    <row r="24" spans="1:9" ht="14.1" customHeight="1">
      <c r="A24" s="26" t="s">
        <v>247</v>
      </c>
      <c r="B24" s="27">
        <v>488245</v>
      </c>
      <c r="C24" s="79">
        <f t="shared" si="0"/>
        <v>0.90451303178106923</v>
      </c>
      <c r="D24" s="27">
        <v>191164</v>
      </c>
      <c r="E24" s="79">
        <f t="shared" si="1"/>
        <v>0.35414664606375146</v>
      </c>
      <c r="F24" s="27">
        <f>SUM('- 43 -'!$B24,'- 43 -'!$D24,'- 43 -'!$F24,'- 43 -'!$H24,B24,D24)</f>
        <v>19870730</v>
      </c>
      <c r="G24" s="79">
        <f t="shared" si="2"/>
        <v>36.812121447230481</v>
      </c>
      <c r="I24" s="27">
        <f>SUM('- 42 -'!$H24,F24)</f>
        <v>53978769</v>
      </c>
    </row>
    <row r="25" spans="1:9" ht="14.1" customHeight="1">
      <c r="A25" s="328" t="s">
        <v>248</v>
      </c>
      <c r="B25" s="329">
        <v>3001405</v>
      </c>
      <c r="C25" s="335">
        <f t="shared" si="0"/>
        <v>1.8883295457857778</v>
      </c>
      <c r="D25" s="329">
        <v>452576</v>
      </c>
      <c r="E25" s="335">
        <f t="shared" si="1"/>
        <v>0.28473752543010494</v>
      </c>
      <c r="F25" s="329">
        <f>SUM('- 43 -'!$B25,'- 43 -'!$D25,'- 43 -'!$F25,'- 43 -'!$H25,B25,D25)</f>
        <v>55394488</v>
      </c>
      <c r="G25" s="335">
        <f t="shared" si="2"/>
        <v>34.851360734081446</v>
      </c>
      <c r="I25" s="329">
        <f>SUM('- 42 -'!$H25,F25)</f>
        <v>158944979</v>
      </c>
    </row>
    <row r="26" spans="1:9" ht="14.1" customHeight="1">
      <c r="A26" s="26" t="s">
        <v>249</v>
      </c>
      <c r="B26" s="27">
        <v>652453</v>
      </c>
      <c r="C26" s="79">
        <f t="shared" si="0"/>
        <v>1.6853359808833746</v>
      </c>
      <c r="D26" s="27">
        <v>88002</v>
      </c>
      <c r="E26" s="79">
        <f t="shared" si="1"/>
        <v>0.22731589400263119</v>
      </c>
      <c r="F26" s="27">
        <f>SUM('- 43 -'!$B26,'- 43 -'!$D26,'- 43 -'!$F26,'- 43 -'!$H26,B26,D26)</f>
        <v>11979189</v>
      </c>
      <c r="G26" s="79">
        <f t="shared" si="2"/>
        <v>30.943161029993473</v>
      </c>
      <c r="I26" s="27">
        <f>SUM('- 42 -'!$H26,F26)</f>
        <v>38713527</v>
      </c>
    </row>
    <row r="27" spans="1:9" ht="14.1" customHeight="1">
      <c r="A27" s="328" t="s">
        <v>250</v>
      </c>
      <c r="B27" s="329">
        <v>394031</v>
      </c>
      <c r="C27" s="335">
        <f t="shared" si="0"/>
        <v>1.0041424753839441</v>
      </c>
      <c r="D27" s="329">
        <v>190598</v>
      </c>
      <c r="E27" s="335">
        <f t="shared" si="1"/>
        <v>0.48571698044881995</v>
      </c>
      <c r="F27" s="329">
        <f>SUM('- 43 -'!$B27,'- 43 -'!$D27,'- 43 -'!$F27,'- 43 -'!$H27,B27,D27)</f>
        <v>8696484</v>
      </c>
      <c r="G27" s="335">
        <f t="shared" si="2"/>
        <v>22.161984643078497</v>
      </c>
      <c r="I27" s="329">
        <f>SUM('- 42 -'!$H27,F27)</f>
        <v>39240547</v>
      </c>
    </row>
    <row r="28" spans="1:9" ht="14.1" customHeight="1">
      <c r="A28" s="26" t="s">
        <v>251</v>
      </c>
      <c r="B28" s="27">
        <v>21000</v>
      </c>
      <c r="C28" s="79">
        <f t="shared" si="0"/>
        <v>7.8491351374383567E-2</v>
      </c>
      <c r="D28" s="27">
        <v>17734</v>
      </c>
      <c r="E28" s="79">
        <f t="shared" si="1"/>
        <v>6.6284077393967536E-2</v>
      </c>
      <c r="F28" s="27">
        <f>SUM('- 43 -'!$B28,'- 43 -'!$D28,'- 43 -'!$F28,'- 43 -'!$H28,B28,D28)</f>
        <v>12983544</v>
      </c>
      <c r="G28" s="79">
        <f t="shared" si="2"/>
        <v>48.528376866131879</v>
      </c>
      <c r="I28" s="27">
        <f>SUM('- 42 -'!$H28,F28)</f>
        <v>26754540</v>
      </c>
    </row>
    <row r="29" spans="1:9" ht="14.1" customHeight="1">
      <c r="A29" s="328" t="s">
        <v>252</v>
      </c>
      <c r="B29" s="329">
        <v>2811907</v>
      </c>
      <c r="C29" s="335">
        <f t="shared" si="0"/>
        <v>1.9250333801011426</v>
      </c>
      <c r="D29" s="329">
        <v>579497</v>
      </c>
      <c r="E29" s="335">
        <f t="shared" si="1"/>
        <v>0.39672402702808873</v>
      </c>
      <c r="F29" s="329">
        <f>SUM('- 43 -'!$B29,'- 43 -'!$D29,'- 43 -'!$F29,'- 43 -'!$H29,B29,D29)</f>
        <v>63682145</v>
      </c>
      <c r="G29" s="335">
        <f t="shared" si="2"/>
        <v>43.596838317000199</v>
      </c>
      <c r="I29" s="329">
        <f>SUM('- 42 -'!$H29,F29)</f>
        <v>146070558</v>
      </c>
    </row>
    <row r="30" spans="1:9" ht="14.1" customHeight="1">
      <c r="A30" s="26" t="s">
        <v>253</v>
      </c>
      <c r="B30" s="27">
        <v>0</v>
      </c>
      <c r="C30" s="79">
        <f t="shared" si="0"/>
        <v>0</v>
      </c>
      <c r="D30" s="27">
        <v>45058</v>
      </c>
      <c r="E30" s="79">
        <f t="shared" si="1"/>
        <v>0.33312757762989686</v>
      </c>
      <c r="F30" s="27">
        <f>SUM('- 43 -'!$B30,'- 43 -'!$D30,'- 43 -'!$F30,'- 43 -'!$H30,B30,D30)</f>
        <v>4430026</v>
      </c>
      <c r="G30" s="79">
        <f t="shared" si="2"/>
        <v>32.752537401071095</v>
      </c>
      <c r="I30" s="27">
        <f>SUM('- 42 -'!$H30,F30)</f>
        <v>13525749</v>
      </c>
    </row>
    <row r="31" spans="1:9" ht="14.1" customHeight="1">
      <c r="A31" s="328" t="s">
        <v>254</v>
      </c>
      <c r="B31" s="329">
        <v>23500</v>
      </c>
      <c r="C31" s="335">
        <f t="shared" si="0"/>
        <v>6.6890127131090993E-2</v>
      </c>
      <c r="D31" s="329">
        <v>124014</v>
      </c>
      <c r="E31" s="335">
        <f t="shared" si="1"/>
        <v>0.35299200961851562</v>
      </c>
      <c r="F31" s="329">
        <f>SUM('- 43 -'!$B31,'- 43 -'!$D31,'- 43 -'!$F31,'- 43 -'!$H31,B31,D31)</f>
        <v>12897440</v>
      </c>
      <c r="G31" s="335">
        <f t="shared" si="2"/>
        <v>36.711123458111409</v>
      </c>
      <c r="I31" s="329">
        <f>SUM('- 42 -'!$H31,F31)</f>
        <v>35132240</v>
      </c>
    </row>
    <row r="32" spans="1:9" ht="14.1" customHeight="1">
      <c r="A32" s="26" t="s">
        <v>255</v>
      </c>
      <c r="B32" s="27">
        <v>14689</v>
      </c>
      <c r="C32" s="79">
        <f t="shared" si="0"/>
        <v>5.5827380477755283E-2</v>
      </c>
      <c r="D32" s="27">
        <v>130358</v>
      </c>
      <c r="E32" s="79">
        <f t="shared" si="1"/>
        <v>0.49544187244327209</v>
      </c>
      <c r="F32" s="27">
        <f>SUM('- 43 -'!$B32,'- 43 -'!$D32,'- 43 -'!$F32,'- 43 -'!$H32,B32,D32)</f>
        <v>9474089</v>
      </c>
      <c r="G32" s="79">
        <f t="shared" si="2"/>
        <v>36.007459410655322</v>
      </c>
      <c r="I32" s="27">
        <f>SUM('- 42 -'!$H32,F32)</f>
        <v>26311462</v>
      </c>
    </row>
    <row r="33" spans="1:9" ht="14.1" customHeight="1">
      <c r="A33" s="328" t="s">
        <v>256</v>
      </c>
      <c r="B33" s="329">
        <v>51978</v>
      </c>
      <c r="C33" s="335">
        <f t="shared" si="0"/>
        <v>0.19003758889251535</v>
      </c>
      <c r="D33" s="329">
        <v>91520</v>
      </c>
      <c r="E33" s="335">
        <f t="shared" si="1"/>
        <v>0.33460772125597377</v>
      </c>
      <c r="F33" s="329">
        <f>SUM('- 43 -'!$B33,'- 43 -'!$D33,'- 43 -'!$F33,'- 43 -'!$H33,B33,D33)</f>
        <v>9927236</v>
      </c>
      <c r="G33" s="335">
        <f t="shared" si="2"/>
        <v>36.295124741370941</v>
      </c>
      <c r="I33" s="329">
        <f>SUM('- 42 -'!$H33,F33)</f>
        <v>27351431</v>
      </c>
    </row>
    <row r="34" spans="1:9" ht="14.1" customHeight="1">
      <c r="A34" s="26" t="s">
        <v>257</v>
      </c>
      <c r="B34" s="27">
        <v>194171</v>
      </c>
      <c r="C34" s="79">
        <f t="shared" si="0"/>
        <v>0.73632586170766501</v>
      </c>
      <c r="D34" s="27">
        <v>96454</v>
      </c>
      <c r="E34" s="79">
        <f t="shared" si="1"/>
        <v>0.36576818713994941</v>
      </c>
      <c r="F34" s="27">
        <f>SUM('- 43 -'!$B34,'- 43 -'!$D34,'- 43 -'!$F34,'- 43 -'!$H34,B34,D34)</f>
        <v>10478708</v>
      </c>
      <c r="G34" s="79">
        <f t="shared" si="2"/>
        <v>39.736848951094665</v>
      </c>
      <c r="I34" s="27">
        <f>SUM('- 42 -'!$H34,F34)</f>
        <v>26370254</v>
      </c>
    </row>
    <row r="35" spans="1:9" ht="14.1" customHeight="1">
      <c r="A35" s="328" t="s">
        <v>258</v>
      </c>
      <c r="B35" s="329">
        <v>2079360</v>
      </c>
      <c r="C35" s="335">
        <f t="shared" si="0"/>
        <v>1.1888867357825244</v>
      </c>
      <c r="D35" s="329">
        <v>319857</v>
      </c>
      <c r="E35" s="335">
        <f t="shared" si="1"/>
        <v>0.18288018652238713</v>
      </c>
      <c r="F35" s="329">
        <f>SUM('- 43 -'!$B35,'- 43 -'!$D35,'- 43 -'!$F35,'- 43 -'!$H35,B35,D35)</f>
        <v>54297165</v>
      </c>
      <c r="G35" s="335">
        <f t="shared" si="2"/>
        <v>31.044734562122546</v>
      </c>
      <c r="I35" s="329">
        <f>SUM('- 42 -'!$H35,F35)</f>
        <v>174899756</v>
      </c>
    </row>
    <row r="36" spans="1:9" ht="14.1" customHeight="1">
      <c r="A36" s="26" t="s">
        <v>259</v>
      </c>
      <c r="B36" s="27">
        <v>39415</v>
      </c>
      <c r="C36" s="79">
        <f t="shared" si="0"/>
        <v>0.17292786330525145</v>
      </c>
      <c r="D36" s="27">
        <v>149389</v>
      </c>
      <c r="E36" s="79">
        <f t="shared" si="1"/>
        <v>0.65542358420165436</v>
      </c>
      <c r="F36" s="27">
        <f>SUM('- 43 -'!$B36,'- 43 -'!$D36,'- 43 -'!$F36,'- 43 -'!$H36,B36,D36)</f>
        <v>9112818</v>
      </c>
      <c r="G36" s="79">
        <f t="shared" si="2"/>
        <v>39.981229111496511</v>
      </c>
      <c r="I36" s="27">
        <f>SUM('- 42 -'!$H36,F36)</f>
        <v>22792741</v>
      </c>
    </row>
    <row r="37" spans="1:9" ht="14.1" customHeight="1">
      <c r="A37" s="328" t="s">
        <v>260</v>
      </c>
      <c r="B37" s="329">
        <v>43450</v>
      </c>
      <c r="C37" s="335">
        <f t="shared" si="0"/>
        <v>9.9189370588541326E-2</v>
      </c>
      <c r="D37" s="329">
        <v>69305</v>
      </c>
      <c r="E37" s="335">
        <f t="shared" si="1"/>
        <v>0.15821218247730395</v>
      </c>
      <c r="F37" s="329">
        <f>SUM('- 43 -'!$B37,'- 43 -'!$D37,'- 43 -'!$F37,'- 43 -'!$H37,B37,D37)</f>
        <v>11453131</v>
      </c>
      <c r="G37" s="335">
        <f t="shared" si="2"/>
        <v>26.145658346561817</v>
      </c>
      <c r="I37" s="329">
        <f>SUM('- 42 -'!$H37,F37)</f>
        <v>43805097</v>
      </c>
    </row>
    <row r="38" spans="1:9" ht="14.1" customHeight="1">
      <c r="A38" s="26" t="s">
        <v>261</v>
      </c>
      <c r="B38" s="27">
        <v>1095425</v>
      </c>
      <c r="C38" s="79">
        <f t="shared" si="0"/>
        <v>0.90651823123875119</v>
      </c>
      <c r="D38" s="27">
        <v>179230</v>
      </c>
      <c r="E38" s="79">
        <f t="shared" si="1"/>
        <v>0.14832166746689307</v>
      </c>
      <c r="F38" s="27">
        <f>SUM('- 43 -'!$B38,'- 43 -'!$D38,'- 43 -'!$F38,'- 43 -'!$H38,B38,D38)</f>
        <v>34753396</v>
      </c>
      <c r="G38" s="79">
        <f t="shared" si="2"/>
        <v>28.760149778816334</v>
      </c>
      <c r="I38" s="27">
        <f>SUM('- 42 -'!$H38,F38)</f>
        <v>120838717</v>
      </c>
    </row>
    <row r="39" spans="1:9" ht="14.1" customHeight="1">
      <c r="A39" s="328" t="s">
        <v>262</v>
      </c>
      <c r="B39" s="329">
        <v>560</v>
      </c>
      <c r="C39" s="335">
        <f t="shared" si="0"/>
        <v>2.6383707683595267E-3</v>
      </c>
      <c r="D39" s="329">
        <v>82699</v>
      </c>
      <c r="E39" s="335">
        <f t="shared" si="1"/>
        <v>0.3896261145938652</v>
      </c>
      <c r="F39" s="329">
        <f>SUM('- 43 -'!$B39,'- 43 -'!$D39,'- 43 -'!$F39,'- 43 -'!$H39,B39,D39)</f>
        <v>9081630</v>
      </c>
      <c r="G39" s="335">
        <f t="shared" si="2"/>
        <v>42.786977001887379</v>
      </c>
      <c r="I39" s="329">
        <f>SUM('- 42 -'!$H39,F39)</f>
        <v>21225220</v>
      </c>
    </row>
    <row r="40" spans="1:9" ht="14.1" customHeight="1">
      <c r="A40" s="26" t="s">
        <v>263</v>
      </c>
      <c r="B40" s="27">
        <v>2412949</v>
      </c>
      <c r="C40" s="79">
        <f t="shared" si="0"/>
        <v>2.4458613170160017</v>
      </c>
      <c r="D40" s="27">
        <v>862322</v>
      </c>
      <c r="E40" s="79">
        <f t="shared" si="1"/>
        <v>0.87408396224365814</v>
      </c>
      <c r="F40" s="27">
        <f>SUM('- 43 -'!$B40,'- 43 -'!$D40,'- 43 -'!$F40,'- 43 -'!$H40,B40,D40)</f>
        <v>41224065</v>
      </c>
      <c r="G40" s="79">
        <f t="shared" si="2"/>
        <v>41.786355995776645</v>
      </c>
      <c r="I40" s="27">
        <f>SUM('- 42 -'!$H40,F40)</f>
        <v>98654367</v>
      </c>
    </row>
    <row r="41" spans="1:9" ht="14.1" customHeight="1">
      <c r="A41" s="328" t="s">
        <v>264</v>
      </c>
      <c r="B41" s="329">
        <v>108300</v>
      </c>
      <c r="C41" s="335">
        <f t="shared" si="0"/>
        <v>0.18011685542513964</v>
      </c>
      <c r="D41" s="329">
        <v>179395</v>
      </c>
      <c r="E41" s="335">
        <f t="shared" si="1"/>
        <v>0.29835700165275092</v>
      </c>
      <c r="F41" s="329">
        <f>SUM('- 43 -'!$B41,'- 43 -'!$D41,'- 43 -'!$F41,'- 43 -'!$H41,B41,D41)</f>
        <v>22484288</v>
      </c>
      <c r="G41" s="335">
        <f t="shared" si="2"/>
        <v>37.394268245920607</v>
      </c>
      <c r="I41" s="329">
        <f>SUM('- 42 -'!$H41,F41)</f>
        <v>60127632</v>
      </c>
    </row>
    <row r="42" spans="1:9" ht="14.1" customHeight="1">
      <c r="A42" s="26" t="s">
        <v>265</v>
      </c>
      <c r="B42" s="27">
        <v>217320</v>
      </c>
      <c r="C42" s="79">
        <f t="shared" si="0"/>
        <v>1.0415218411184599</v>
      </c>
      <c r="D42" s="27">
        <v>122745</v>
      </c>
      <c r="E42" s="79">
        <f t="shared" si="1"/>
        <v>0.58826430327666734</v>
      </c>
      <c r="F42" s="27">
        <f>SUM('- 43 -'!$B42,'- 43 -'!$D42,'- 43 -'!$F42,'- 43 -'!$H42,B42,D42)</f>
        <v>5751926</v>
      </c>
      <c r="G42" s="79">
        <f t="shared" si="2"/>
        <v>27.566521983697491</v>
      </c>
      <c r="I42" s="27">
        <f>SUM('- 42 -'!$H42,F42)</f>
        <v>20865621</v>
      </c>
    </row>
    <row r="43" spans="1:9" ht="14.1" customHeight="1">
      <c r="A43" s="328" t="s">
        <v>266</v>
      </c>
      <c r="B43" s="329">
        <v>5306</v>
      </c>
      <c r="C43" s="335">
        <f t="shared" si="0"/>
        <v>4.2869243475003822E-2</v>
      </c>
      <c r="D43" s="329">
        <v>26926</v>
      </c>
      <c r="E43" s="335">
        <f t="shared" si="1"/>
        <v>0.21754565582509477</v>
      </c>
      <c r="F43" s="329">
        <f>SUM('- 43 -'!$B43,'- 43 -'!$D43,'- 43 -'!$F43,'- 43 -'!$H43,B43,D43)</f>
        <v>4601936</v>
      </c>
      <c r="G43" s="335">
        <f t="shared" si="2"/>
        <v>37.180835816129886</v>
      </c>
      <c r="I43" s="329">
        <f>SUM('- 42 -'!$H43,F43)</f>
        <v>12377172</v>
      </c>
    </row>
    <row r="44" spans="1:9" ht="14.1" customHeight="1">
      <c r="A44" s="26" t="s">
        <v>267</v>
      </c>
      <c r="B44" s="27">
        <v>32037</v>
      </c>
      <c r="C44" s="79">
        <f t="shared" si="0"/>
        <v>0.29341133701401834</v>
      </c>
      <c r="D44" s="27">
        <v>9852</v>
      </c>
      <c r="E44" s="79">
        <f t="shared" si="1"/>
        <v>9.0229687307241888E-2</v>
      </c>
      <c r="F44" s="27">
        <f>SUM('- 43 -'!$B44,'- 43 -'!$D44,'- 43 -'!$F44,'- 43 -'!$H44,B44,D44)</f>
        <v>2310130</v>
      </c>
      <c r="G44" s="79">
        <f t="shared" si="2"/>
        <v>21.157359677129385</v>
      </c>
      <c r="I44" s="27">
        <f>SUM('- 42 -'!$H44,F44)</f>
        <v>10918801</v>
      </c>
    </row>
    <row r="45" spans="1:9" ht="14.1" customHeight="1">
      <c r="A45" s="328" t="s">
        <v>268</v>
      </c>
      <c r="B45" s="329">
        <v>304114</v>
      </c>
      <c r="C45" s="335">
        <f t="shared" si="0"/>
        <v>1.7104653500195675</v>
      </c>
      <c r="D45" s="329">
        <v>28128</v>
      </c>
      <c r="E45" s="335">
        <f t="shared" si="1"/>
        <v>0.1582037307238417</v>
      </c>
      <c r="F45" s="329">
        <f>SUM('- 43 -'!$B45,'- 43 -'!$D45,'- 43 -'!$F45,'- 43 -'!$H45,B45,D45)</f>
        <v>5957192</v>
      </c>
      <c r="G45" s="335">
        <f t="shared" si="2"/>
        <v>33.50575935147269</v>
      </c>
      <c r="I45" s="329">
        <f>SUM('- 42 -'!$H45,F45)</f>
        <v>17779606</v>
      </c>
    </row>
    <row r="46" spans="1:9" ht="14.1" customHeight="1">
      <c r="A46" s="26" t="s">
        <v>269</v>
      </c>
      <c r="B46" s="27">
        <v>732727</v>
      </c>
      <c r="C46" s="79">
        <f t="shared" si="0"/>
        <v>0.20096348994088498</v>
      </c>
      <c r="D46" s="27">
        <v>680368</v>
      </c>
      <c r="E46" s="79">
        <f t="shared" si="1"/>
        <v>0.1866030973665499</v>
      </c>
      <c r="F46" s="27">
        <f>SUM('- 43 -'!$B46,'- 43 -'!$D46,'- 43 -'!$F46,'- 43 -'!$H46,B46,D46)</f>
        <v>134522913</v>
      </c>
      <c r="G46" s="79">
        <f t="shared" si="2"/>
        <v>36.895315818161528</v>
      </c>
      <c r="I46" s="27">
        <f>SUM('- 42 -'!$H46,F46)</f>
        <v>364607024</v>
      </c>
    </row>
    <row r="47" spans="1:9" ht="5.0999999999999996" customHeight="1">
      <c r="A47" s="28"/>
      <c r="B47" s="29"/>
      <c r="C47"/>
      <c r="D47" s="29"/>
      <c r="E47"/>
      <c r="F47" s="29"/>
      <c r="G47"/>
      <c r="I47" s="29"/>
    </row>
    <row r="48" spans="1:9" ht="14.1" customHeight="1">
      <c r="A48" s="330" t="s">
        <v>270</v>
      </c>
      <c r="B48" s="331">
        <f>SUM(B11:B46)</f>
        <v>21569546</v>
      </c>
      <c r="C48" s="338">
        <f>B48/I48*100</f>
        <v>1.0084992985475574</v>
      </c>
      <c r="D48" s="331">
        <f>SUM(D11:D46)</f>
        <v>7282695</v>
      </c>
      <c r="E48" s="338">
        <f>D48/I48*100</f>
        <v>0.34050752848649685</v>
      </c>
      <c r="F48" s="331">
        <f>SUM(F11:F46)</f>
        <v>774588720</v>
      </c>
      <c r="G48" s="338">
        <f>F48/I48*100</f>
        <v>36.216440567773212</v>
      </c>
      <c r="I48" s="331">
        <f>SUM(I11:I46)</f>
        <v>2138776500</v>
      </c>
    </row>
    <row r="49" spans="1:9" ht="5.0999999999999996" customHeight="1">
      <c r="A49" s="28" t="s">
        <v>16</v>
      </c>
      <c r="B49" s="29"/>
      <c r="C49"/>
      <c r="D49" s="29"/>
      <c r="E49"/>
      <c r="F49" s="29"/>
      <c r="G49"/>
      <c r="I49" s="29"/>
    </row>
    <row r="50" spans="1:9" ht="14.1" customHeight="1">
      <c r="A50" s="26" t="s">
        <v>271</v>
      </c>
      <c r="B50" s="27">
        <v>0</v>
      </c>
      <c r="C50" s="79">
        <f>B50/I50*100</f>
        <v>0</v>
      </c>
      <c r="D50" s="27">
        <v>16638</v>
      </c>
      <c r="E50" s="79">
        <f>D50/I50*100</f>
        <v>0.51143347998852828</v>
      </c>
      <c r="F50" s="27">
        <f>SUM('- 43 -'!$B50,'- 43 -'!$D50,'- 43 -'!$F50,'- 43 -'!$H50,B50,D50)</f>
        <v>1854752</v>
      </c>
      <c r="G50" s="79">
        <f>F50/I50*100</f>
        <v>57.012998550047044</v>
      </c>
      <c r="I50" s="27">
        <f>SUM('- 42 -'!$H50,F50)</f>
        <v>3253209</v>
      </c>
    </row>
    <row r="51" spans="1:9" ht="14.1" customHeight="1">
      <c r="A51" s="328" t="s">
        <v>272</v>
      </c>
      <c r="B51" s="329">
        <v>7151129</v>
      </c>
      <c r="C51" s="335">
        <f>B51/I51*100</f>
        <v>33.691823701136727</v>
      </c>
      <c r="D51" s="329">
        <v>169796</v>
      </c>
      <c r="E51" s="335">
        <f>D51/I51*100</f>
        <v>0.79997674453337519</v>
      </c>
      <c r="F51" s="329">
        <f>SUM('- 43 -'!$B51,'- 43 -'!$D51,'- 43 -'!$F51,'- 43 -'!$H51,B51,D51)</f>
        <v>12550521</v>
      </c>
      <c r="G51" s="335">
        <f>F51/I51*100</f>
        <v>59.130515040270446</v>
      </c>
      <c r="I51" s="329">
        <f>SUM('- 42 -'!$H51,F51)</f>
        <v>21225117</v>
      </c>
    </row>
    <row r="52" spans="1:9"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sheetPr codeName="Sheet3">
    <pageSetUpPr fitToPage="1"/>
  </sheetPr>
  <dimension ref="A1:J54"/>
  <sheetViews>
    <sheetView showGridLines="0" showZeros="0" workbookViewId="0"/>
  </sheetViews>
  <sheetFormatPr defaultColWidth="12.83203125" defaultRowHeight="12"/>
  <cols>
    <col min="1" max="1" width="29.83203125" style="1" customWidth="1"/>
    <col min="2" max="8" width="14.83203125" style="1" customWidth="1"/>
    <col min="9" max="16384" width="12.83203125" style="1"/>
  </cols>
  <sheetData>
    <row r="1" spans="1:8" ht="6.95" customHeight="1">
      <c r="A1" s="6"/>
      <c r="B1" s="100"/>
      <c r="C1" s="100"/>
      <c r="D1" s="100"/>
      <c r="E1" s="100"/>
      <c r="F1" s="100"/>
      <c r="G1" s="100"/>
      <c r="H1" s="100"/>
    </row>
    <row r="2" spans="1:8" ht="15.95" customHeight="1">
      <c r="A2" s="71"/>
      <c r="B2" s="101" t="s">
        <v>176</v>
      </c>
      <c r="C2" s="102"/>
      <c r="D2" s="102"/>
      <c r="E2" s="102"/>
      <c r="F2" s="102"/>
      <c r="G2" s="102"/>
      <c r="H2" s="103" t="s">
        <v>177</v>
      </c>
    </row>
    <row r="3" spans="1:8" ht="15.95" customHeight="1">
      <c r="A3" s="698"/>
      <c r="B3" s="104" t="str">
        <f>"ACTUAL SEPTEMBER 30, "&amp;FALLYR</f>
        <v>ACTUAL SEPTEMBER 30, 2013</v>
      </c>
      <c r="C3" s="105"/>
      <c r="D3" s="106"/>
      <c r="E3" s="105"/>
      <c r="F3" s="106"/>
      <c r="G3" s="105"/>
      <c r="H3" s="107"/>
    </row>
    <row r="4" spans="1:8" ht="15.95" customHeight="1">
      <c r="B4" s="100"/>
      <c r="C4" s="100"/>
      <c r="D4" s="100"/>
      <c r="E4" s="100"/>
      <c r="F4" s="100"/>
      <c r="G4" s="108"/>
      <c r="H4" s="100"/>
    </row>
    <row r="5" spans="1:8" ht="15.95" customHeight="1">
      <c r="B5" s="100"/>
      <c r="C5" s="100"/>
      <c r="D5" s="100"/>
      <c r="E5" s="100"/>
      <c r="F5" s="100"/>
      <c r="G5" s="100"/>
      <c r="H5" s="100"/>
    </row>
    <row r="6" spans="1:8" ht="15.95" customHeight="1">
      <c r="B6" s="332" t="s">
        <v>61</v>
      </c>
      <c r="C6" s="333"/>
      <c r="D6" s="333"/>
      <c r="E6" s="333"/>
      <c r="F6" s="333"/>
      <c r="G6" s="333"/>
      <c r="H6" s="334"/>
    </row>
    <row r="7" spans="1:8" ht="15.95" customHeight="1">
      <c r="B7" s="109" t="s">
        <v>393</v>
      </c>
      <c r="C7" s="110"/>
      <c r="D7" s="110"/>
      <c r="E7" s="111" t="s">
        <v>394</v>
      </c>
      <c r="F7" s="110"/>
      <c r="G7" s="110"/>
      <c r="H7" s="112"/>
    </row>
    <row r="8" spans="1:8" ht="15.95" customHeight="1">
      <c r="A8" s="113"/>
      <c r="B8" s="114" t="s">
        <v>81</v>
      </c>
      <c r="C8" s="115" t="s">
        <v>16</v>
      </c>
      <c r="D8" s="116" t="s">
        <v>82</v>
      </c>
      <c r="E8" s="117" t="s">
        <v>81</v>
      </c>
      <c r="F8" s="115" t="s">
        <v>16</v>
      </c>
      <c r="G8" s="116" t="s">
        <v>82</v>
      </c>
      <c r="H8" s="118" t="s">
        <v>57</v>
      </c>
    </row>
    <row r="9" spans="1:8" ht="15.95" customHeight="1">
      <c r="A9" s="119" t="s">
        <v>93</v>
      </c>
      <c r="B9" s="120" t="s">
        <v>97</v>
      </c>
      <c r="C9" s="121" t="s">
        <v>45</v>
      </c>
      <c r="D9" s="121" t="s">
        <v>98</v>
      </c>
      <c r="E9" s="122" t="s">
        <v>97</v>
      </c>
      <c r="F9" s="121" t="s">
        <v>45</v>
      </c>
      <c r="G9" s="121" t="s">
        <v>98</v>
      </c>
      <c r="H9" s="123" t="s">
        <v>99</v>
      </c>
    </row>
    <row r="10" spans="1:8" ht="5.0999999999999996" customHeight="1">
      <c r="A10" s="5"/>
      <c r="B10" s="96"/>
      <c r="C10" s="96"/>
      <c r="D10" s="96"/>
      <c r="E10" s="96"/>
      <c r="F10" s="96"/>
      <c r="G10" s="96"/>
      <c r="H10" s="96"/>
    </row>
    <row r="11" spans="1:8" ht="14.1" customHeight="1">
      <c r="A11" s="328" t="s">
        <v>235</v>
      </c>
      <c r="B11" s="335">
        <v>1483</v>
      </c>
      <c r="C11" s="335">
        <v>0</v>
      </c>
      <c r="D11" s="336">
        <v>0</v>
      </c>
      <c r="E11" s="337">
        <v>0</v>
      </c>
      <c r="F11" s="335">
        <v>0</v>
      </c>
      <c r="G11" s="335">
        <v>0</v>
      </c>
      <c r="H11" s="335">
        <v>0</v>
      </c>
    </row>
    <row r="12" spans="1:8" ht="14.1" customHeight="1">
      <c r="A12" s="26" t="s">
        <v>236</v>
      </c>
      <c r="B12" s="79">
        <v>1975.4</v>
      </c>
      <c r="C12" s="79">
        <v>0</v>
      </c>
      <c r="D12" s="124">
        <v>0</v>
      </c>
      <c r="E12" s="125">
        <v>0</v>
      </c>
      <c r="F12" s="79">
        <v>0</v>
      </c>
      <c r="G12" s="79">
        <v>0</v>
      </c>
      <c r="H12" s="79">
        <v>0</v>
      </c>
    </row>
    <row r="13" spans="1:8" ht="14.1" customHeight="1">
      <c r="A13" s="328" t="s">
        <v>237</v>
      </c>
      <c r="B13" s="335">
        <v>5844.2</v>
      </c>
      <c r="C13" s="335">
        <v>0</v>
      </c>
      <c r="D13" s="336">
        <v>313.5</v>
      </c>
      <c r="E13" s="337">
        <v>1090</v>
      </c>
      <c r="F13" s="335">
        <v>0</v>
      </c>
      <c r="G13" s="335">
        <v>367.5</v>
      </c>
      <c r="H13" s="335">
        <v>0</v>
      </c>
    </row>
    <row r="14" spans="1:8" ht="14.1" customHeight="1">
      <c r="A14" s="26" t="s">
        <v>636</v>
      </c>
      <c r="B14" s="79">
        <v>0</v>
      </c>
      <c r="C14" s="79">
        <v>5201</v>
      </c>
      <c r="D14" s="124">
        <v>0</v>
      </c>
      <c r="E14" s="125">
        <v>0</v>
      </c>
      <c r="F14" s="79">
        <v>0</v>
      </c>
      <c r="G14" s="79">
        <v>0</v>
      </c>
      <c r="H14" s="79">
        <v>0</v>
      </c>
    </row>
    <row r="15" spans="1:8" ht="14.1" customHeight="1">
      <c r="A15" s="328" t="s">
        <v>238</v>
      </c>
      <c r="B15" s="335">
        <v>1471.5</v>
      </c>
      <c r="C15" s="335">
        <v>0</v>
      </c>
      <c r="D15" s="336">
        <v>0</v>
      </c>
      <c r="E15" s="337">
        <v>0</v>
      </c>
      <c r="F15" s="335">
        <v>0</v>
      </c>
      <c r="G15" s="335">
        <v>0</v>
      </c>
      <c r="H15" s="335">
        <v>0</v>
      </c>
    </row>
    <row r="16" spans="1:8" ht="14.1" customHeight="1">
      <c r="A16" s="26" t="s">
        <v>239</v>
      </c>
      <c r="B16" s="79">
        <v>572</v>
      </c>
      <c r="C16" s="79">
        <v>0</v>
      </c>
      <c r="D16" s="124">
        <v>0</v>
      </c>
      <c r="E16" s="125">
        <v>292.5</v>
      </c>
      <c r="F16" s="79">
        <v>0</v>
      </c>
      <c r="G16" s="79">
        <v>92.5</v>
      </c>
      <c r="H16" s="79">
        <v>0</v>
      </c>
    </row>
    <row r="17" spans="1:8" ht="14.1" customHeight="1">
      <c r="A17" s="328" t="s">
        <v>240</v>
      </c>
      <c r="B17" s="335">
        <v>1254.0999999999999</v>
      </c>
      <c r="C17" s="335">
        <v>0</v>
      </c>
      <c r="D17" s="336">
        <v>0</v>
      </c>
      <c r="E17" s="337">
        <v>0</v>
      </c>
      <c r="F17" s="335">
        <v>0</v>
      </c>
      <c r="G17" s="335">
        <v>0</v>
      </c>
      <c r="H17" s="335">
        <v>0</v>
      </c>
    </row>
    <row r="18" spans="1:8" ht="14.1" customHeight="1">
      <c r="A18" s="26" t="s">
        <v>241</v>
      </c>
      <c r="B18" s="79">
        <v>6030.5</v>
      </c>
      <c r="C18" s="79">
        <v>0</v>
      </c>
      <c r="D18" s="124">
        <v>0</v>
      </c>
      <c r="E18" s="125">
        <v>0</v>
      </c>
      <c r="F18" s="79">
        <v>0</v>
      </c>
      <c r="G18" s="79">
        <v>0</v>
      </c>
      <c r="H18" s="79">
        <v>0</v>
      </c>
    </row>
    <row r="19" spans="1:8" ht="14.1" customHeight="1">
      <c r="A19" s="328" t="s">
        <v>242</v>
      </c>
      <c r="B19" s="335">
        <v>4058.8</v>
      </c>
      <c r="C19" s="335">
        <v>0</v>
      </c>
      <c r="D19" s="336">
        <v>0</v>
      </c>
      <c r="E19" s="337">
        <v>0</v>
      </c>
      <c r="F19" s="335">
        <v>0</v>
      </c>
      <c r="G19" s="335">
        <v>0</v>
      </c>
      <c r="H19" s="335">
        <v>0</v>
      </c>
    </row>
    <row r="20" spans="1:8" ht="14.1" customHeight="1">
      <c r="A20" s="26" t="s">
        <v>243</v>
      </c>
      <c r="B20" s="79">
        <v>6989.3</v>
      </c>
      <c r="C20" s="79">
        <v>0</v>
      </c>
      <c r="D20" s="124">
        <v>0</v>
      </c>
      <c r="E20" s="125">
        <v>0</v>
      </c>
      <c r="F20" s="79">
        <v>0</v>
      </c>
      <c r="G20" s="79">
        <v>0</v>
      </c>
      <c r="H20" s="79">
        <v>0</v>
      </c>
    </row>
    <row r="21" spans="1:8" ht="14.1" customHeight="1">
      <c r="A21" s="328" t="s">
        <v>244</v>
      </c>
      <c r="B21" s="335">
        <v>2365.5</v>
      </c>
      <c r="C21" s="335">
        <v>0</v>
      </c>
      <c r="D21" s="336">
        <v>0</v>
      </c>
      <c r="E21" s="337">
        <v>214.5</v>
      </c>
      <c r="F21" s="335">
        <v>0</v>
      </c>
      <c r="G21" s="335">
        <v>123</v>
      </c>
      <c r="H21" s="335">
        <v>0</v>
      </c>
    </row>
    <row r="22" spans="1:8" ht="14.1" customHeight="1">
      <c r="A22" s="26" t="s">
        <v>245</v>
      </c>
      <c r="B22" s="79">
        <v>928.7</v>
      </c>
      <c r="C22" s="79">
        <v>0</v>
      </c>
      <c r="D22" s="124">
        <v>0</v>
      </c>
      <c r="E22" s="125">
        <v>506</v>
      </c>
      <c r="F22" s="79">
        <v>0</v>
      </c>
      <c r="G22" s="79">
        <v>133.5</v>
      </c>
      <c r="H22" s="79">
        <v>0</v>
      </c>
    </row>
    <row r="23" spans="1:8" ht="14.1" customHeight="1">
      <c r="A23" s="328" t="s">
        <v>246</v>
      </c>
      <c r="B23" s="335">
        <v>1132.4000000000001</v>
      </c>
      <c r="C23" s="335">
        <v>0</v>
      </c>
      <c r="D23" s="336">
        <v>0</v>
      </c>
      <c r="E23" s="337">
        <v>0</v>
      </c>
      <c r="F23" s="335">
        <v>0</v>
      </c>
      <c r="G23" s="335">
        <v>0</v>
      </c>
      <c r="H23" s="335">
        <v>0</v>
      </c>
    </row>
    <row r="24" spans="1:8" ht="14.1" customHeight="1">
      <c r="A24" s="26" t="s">
        <v>247</v>
      </c>
      <c r="B24" s="79">
        <v>2877.4</v>
      </c>
      <c r="C24" s="79">
        <v>0</v>
      </c>
      <c r="D24" s="124">
        <v>270</v>
      </c>
      <c r="E24" s="125">
        <v>465</v>
      </c>
      <c r="F24" s="79">
        <v>0</v>
      </c>
      <c r="G24" s="79">
        <v>106</v>
      </c>
      <c r="H24" s="79">
        <v>63.5</v>
      </c>
    </row>
    <row r="25" spans="1:8" ht="14.1" customHeight="1">
      <c r="A25" s="328" t="s">
        <v>248</v>
      </c>
      <c r="B25" s="335">
        <v>9471.1</v>
      </c>
      <c r="C25" s="335">
        <v>0</v>
      </c>
      <c r="D25" s="336">
        <v>4073.4</v>
      </c>
      <c r="E25" s="337">
        <v>0</v>
      </c>
      <c r="F25" s="335">
        <v>8</v>
      </c>
      <c r="G25" s="335">
        <v>118.5</v>
      </c>
      <c r="H25" s="335">
        <v>0</v>
      </c>
    </row>
    <row r="26" spans="1:8" ht="14.1" customHeight="1">
      <c r="A26" s="26" t="s">
        <v>249</v>
      </c>
      <c r="B26" s="79">
        <v>2453</v>
      </c>
      <c r="C26" s="79">
        <v>0</v>
      </c>
      <c r="D26" s="124">
        <v>206</v>
      </c>
      <c r="E26" s="125">
        <v>202</v>
      </c>
      <c r="F26" s="79">
        <v>0</v>
      </c>
      <c r="G26" s="79">
        <v>35</v>
      </c>
      <c r="H26" s="79">
        <v>70</v>
      </c>
    </row>
    <row r="27" spans="1:8" ht="14.1" customHeight="1">
      <c r="A27" s="328" t="s">
        <v>250</v>
      </c>
      <c r="B27" s="335">
        <v>2324.4</v>
      </c>
      <c r="C27" s="335">
        <v>0</v>
      </c>
      <c r="D27" s="336">
        <v>0</v>
      </c>
      <c r="E27" s="337">
        <v>108</v>
      </c>
      <c r="F27" s="335">
        <v>0</v>
      </c>
      <c r="G27" s="335">
        <v>215.5</v>
      </c>
      <c r="H27" s="335">
        <v>0</v>
      </c>
    </row>
    <row r="28" spans="1:8" ht="14.1" customHeight="1">
      <c r="A28" s="26" t="s">
        <v>251</v>
      </c>
      <c r="B28" s="79">
        <v>2008.5</v>
      </c>
      <c r="C28" s="79">
        <v>0</v>
      </c>
      <c r="D28" s="124">
        <v>0</v>
      </c>
      <c r="E28" s="125">
        <v>0</v>
      </c>
      <c r="F28" s="79">
        <v>0</v>
      </c>
      <c r="G28" s="79">
        <v>0</v>
      </c>
      <c r="H28" s="79">
        <v>0</v>
      </c>
    </row>
    <row r="29" spans="1:8" ht="14.1" customHeight="1">
      <c r="A29" s="328" t="s">
        <v>252</v>
      </c>
      <c r="B29" s="335">
        <v>7516.6</v>
      </c>
      <c r="C29" s="335">
        <v>0</v>
      </c>
      <c r="D29" s="336">
        <v>1309.5</v>
      </c>
      <c r="E29" s="337">
        <v>2221.1</v>
      </c>
      <c r="F29" s="335">
        <v>0</v>
      </c>
      <c r="G29" s="335">
        <v>1155.5</v>
      </c>
      <c r="H29" s="335">
        <v>0</v>
      </c>
    </row>
    <row r="30" spans="1:8" ht="14.1" customHeight="1">
      <c r="A30" s="26" t="s">
        <v>253</v>
      </c>
      <c r="B30" s="79">
        <v>1036.4000000000001</v>
      </c>
      <c r="C30" s="79">
        <v>0</v>
      </c>
      <c r="D30" s="124">
        <v>0</v>
      </c>
      <c r="E30" s="125">
        <v>0</v>
      </c>
      <c r="F30" s="79">
        <v>0</v>
      </c>
      <c r="G30" s="79">
        <v>0</v>
      </c>
      <c r="H30" s="79">
        <v>0</v>
      </c>
    </row>
    <row r="31" spans="1:8" ht="14.1" customHeight="1">
      <c r="A31" s="328" t="s">
        <v>254</v>
      </c>
      <c r="B31" s="335">
        <v>2331.5</v>
      </c>
      <c r="C31" s="335">
        <v>0</v>
      </c>
      <c r="D31" s="336">
        <v>0</v>
      </c>
      <c r="E31" s="337">
        <v>496</v>
      </c>
      <c r="F31" s="335">
        <v>0</v>
      </c>
      <c r="G31" s="335">
        <v>268</v>
      </c>
      <c r="H31" s="335">
        <v>0</v>
      </c>
    </row>
    <row r="32" spans="1:8" ht="14.1" customHeight="1">
      <c r="A32" s="26" t="s">
        <v>255</v>
      </c>
      <c r="B32" s="79">
        <v>1655</v>
      </c>
      <c r="C32" s="79">
        <v>0</v>
      </c>
      <c r="D32" s="124">
        <v>100.5</v>
      </c>
      <c r="E32" s="125">
        <v>110</v>
      </c>
      <c r="F32" s="79">
        <v>0</v>
      </c>
      <c r="G32" s="79">
        <v>48</v>
      </c>
      <c r="H32" s="79">
        <v>0</v>
      </c>
    </row>
    <row r="33" spans="1:10" ht="14.1" customHeight="1">
      <c r="A33" s="328" t="s">
        <v>256</v>
      </c>
      <c r="B33" s="335">
        <v>1486.9</v>
      </c>
      <c r="C33" s="335">
        <v>0</v>
      </c>
      <c r="D33" s="336">
        <v>0</v>
      </c>
      <c r="E33" s="337">
        <v>250.5</v>
      </c>
      <c r="F33" s="335">
        <v>126</v>
      </c>
      <c r="G33" s="335">
        <v>77</v>
      </c>
      <c r="H33" s="335">
        <v>0</v>
      </c>
    </row>
    <row r="34" spans="1:10" ht="14.1" customHeight="1">
      <c r="A34" s="26" t="s">
        <v>257</v>
      </c>
      <c r="B34" s="79">
        <v>1617.2</v>
      </c>
      <c r="C34" s="79">
        <v>0</v>
      </c>
      <c r="D34" s="124">
        <v>189</v>
      </c>
      <c r="E34" s="125">
        <v>39</v>
      </c>
      <c r="F34" s="79">
        <v>102.5</v>
      </c>
      <c r="G34" s="79">
        <v>0</v>
      </c>
      <c r="H34" s="79">
        <v>0</v>
      </c>
    </row>
    <row r="35" spans="1:10" ht="14.1" customHeight="1">
      <c r="A35" s="328" t="s">
        <v>258</v>
      </c>
      <c r="B35" s="335">
        <v>8883.5</v>
      </c>
      <c r="C35" s="335">
        <v>0</v>
      </c>
      <c r="D35" s="336">
        <v>1115.5</v>
      </c>
      <c r="E35" s="337">
        <v>2651</v>
      </c>
      <c r="F35" s="335">
        <v>0</v>
      </c>
      <c r="G35" s="335">
        <v>1608</v>
      </c>
      <c r="H35" s="335">
        <v>429.5</v>
      </c>
    </row>
    <row r="36" spans="1:10" ht="14.1" customHeight="1">
      <c r="A36" s="26" t="s">
        <v>259</v>
      </c>
      <c r="B36" s="79">
        <v>1613.6</v>
      </c>
      <c r="C36" s="79">
        <v>0</v>
      </c>
      <c r="D36" s="124">
        <v>0</v>
      </c>
      <c r="E36" s="125">
        <v>0</v>
      </c>
      <c r="F36" s="79">
        <v>0</v>
      </c>
      <c r="G36" s="79">
        <v>0</v>
      </c>
      <c r="H36" s="79">
        <v>0</v>
      </c>
    </row>
    <row r="37" spans="1:10" ht="14.1" customHeight="1">
      <c r="A37" s="328" t="s">
        <v>260</v>
      </c>
      <c r="B37" s="335">
        <v>2021</v>
      </c>
      <c r="C37" s="335">
        <v>0</v>
      </c>
      <c r="D37" s="336">
        <v>686</v>
      </c>
      <c r="E37" s="337">
        <v>749.5</v>
      </c>
      <c r="F37" s="335">
        <v>0</v>
      </c>
      <c r="G37" s="335">
        <v>457</v>
      </c>
      <c r="H37" s="335">
        <v>0</v>
      </c>
    </row>
    <row r="38" spans="1:10" ht="14.1" customHeight="1">
      <c r="A38" s="26" t="s">
        <v>261</v>
      </c>
      <c r="B38" s="79">
        <v>5689.2</v>
      </c>
      <c r="C38" s="79">
        <v>0</v>
      </c>
      <c r="D38" s="124">
        <v>288.5</v>
      </c>
      <c r="E38" s="125">
        <v>3025.5</v>
      </c>
      <c r="F38" s="79">
        <v>0</v>
      </c>
      <c r="G38" s="79">
        <v>1157</v>
      </c>
      <c r="H38" s="79">
        <v>123</v>
      </c>
    </row>
    <row r="39" spans="1:10" ht="14.1" customHeight="1">
      <c r="A39" s="328" t="s">
        <v>262</v>
      </c>
      <c r="B39" s="335">
        <v>1528.5</v>
      </c>
      <c r="C39" s="335">
        <v>0</v>
      </c>
      <c r="D39" s="336">
        <v>0</v>
      </c>
      <c r="E39" s="337">
        <v>0</v>
      </c>
      <c r="F39" s="335">
        <v>0</v>
      </c>
      <c r="G39" s="335">
        <v>0</v>
      </c>
      <c r="H39" s="335">
        <v>0</v>
      </c>
    </row>
    <row r="40" spans="1:10" ht="14.1" customHeight="1">
      <c r="A40" s="26" t="s">
        <v>263</v>
      </c>
      <c r="B40" s="79">
        <v>5379.4</v>
      </c>
      <c r="C40" s="79">
        <v>0</v>
      </c>
      <c r="D40" s="124">
        <v>787</v>
      </c>
      <c r="E40" s="125">
        <v>981.1</v>
      </c>
      <c r="F40" s="79">
        <v>0</v>
      </c>
      <c r="G40" s="79">
        <v>528</v>
      </c>
      <c r="H40" s="79">
        <v>0</v>
      </c>
    </row>
    <row r="41" spans="1:10" ht="14.1" customHeight="1">
      <c r="A41" s="328" t="s">
        <v>264</v>
      </c>
      <c r="B41" s="335">
        <v>2108</v>
      </c>
      <c r="C41" s="335">
        <v>0</v>
      </c>
      <c r="D41" s="336">
        <v>0</v>
      </c>
      <c r="E41" s="337">
        <v>1582.5</v>
      </c>
      <c r="F41" s="335">
        <v>0</v>
      </c>
      <c r="G41" s="335">
        <v>650</v>
      </c>
      <c r="H41" s="335">
        <v>66.5</v>
      </c>
    </row>
    <row r="42" spans="1:10" ht="14.1" customHeight="1">
      <c r="A42" s="26" t="s">
        <v>265</v>
      </c>
      <c r="B42" s="79">
        <v>1054.0999999999999</v>
      </c>
      <c r="C42" s="79">
        <v>0</v>
      </c>
      <c r="D42" s="124">
        <v>0</v>
      </c>
      <c r="E42" s="125">
        <v>153</v>
      </c>
      <c r="F42" s="79">
        <v>0</v>
      </c>
      <c r="G42" s="79">
        <v>77.5</v>
      </c>
      <c r="H42" s="79">
        <v>0</v>
      </c>
    </row>
    <row r="43" spans="1:10" ht="14.1" customHeight="1">
      <c r="A43" s="328" t="s">
        <v>266</v>
      </c>
      <c r="B43" s="335">
        <v>939.8</v>
      </c>
      <c r="C43" s="335">
        <v>0</v>
      </c>
      <c r="D43" s="336">
        <v>0</v>
      </c>
      <c r="E43" s="337">
        <v>0</v>
      </c>
      <c r="F43" s="335">
        <v>0</v>
      </c>
      <c r="G43" s="335">
        <v>0</v>
      </c>
      <c r="H43" s="335">
        <v>0</v>
      </c>
    </row>
    <row r="44" spans="1:10" ht="14.1" customHeight="1">
      <c r="A44" s="26" t="s">
        <v>267</v>
      </c>
      <c r="B44" s="79">
        <v>662</v>
      </c>
      <c r="C44" s="79">
        <v>39.5</v>
      </c>
      <c r="D44" s="124">
        <v>0</v>
      </c>
      <c r="E44" s="125">
        <v>0</v>
      </c>
      <c r="F44" s="79">
        <v>0</v>
      </c>
      <c r="G44" s="79">
        <v>0</v>
      </c>
      <c r="H44" s="79">
        <v>0</v>
      </c>
    </row>
    <row r="45" spans="1:10" ht="14.1" customHeight="1">
      <c r="A45" s="328" t="s">
        <v>268</v>
      </c>
      <c r="B45" s="335">
        <v>663.7</v>
      </c>
      <c r="C45" s="335">
        <v>0</v>
      </c>
      <c r="D45" s="336">
        <v>0</v>
      </c>
      <c r="E45" s="337">
        <v>698</v>
      </c>
      <c r="F45" s="335">
        <v>0</v>
      </c>
      <c r="G45" s="335">
        <v>194.5</v>
      </c>
      <c r="H45" s="335">
        <v>0</v>
      </c>
    </row>
    <row r="46" spans="1:10" ht="14.1" customHeight="1">
      <c r="A46" s="26" t="s">
        <v>269</v>
      </c>
      <c r="B46" s="79">
        <v>21779.1</v>
      </c>
      <c r="C46" s="79">
        <v>0</v>
      </c>
      <c r="D46" s="124">
        <v>1188.5</v>
      </c>
      <c r="E46" s="125">
        <v>3734</v>
      </c>
      <c r="F46" s="79">
        <v>0</v>
      </c>
      <c r="G46" s="79">
        <v>2306</v>
      </c>
      <c r="H46" s="79">
        <v>179</v>
      </c>
    </row>
    <row r="47" spans="1:10" ht="5.0999999999999996" customHeight="1">
      <c r="A47"/>
      <c r="B47"/>
      <c r="C47"/>
      <c r="D47"/>
      <c r="E47"/>
      <c r="F47"/>
      <c r="G47"/>
      <c r="H47"/>
      <c r="I47"/>
      <c r="J47"/>
    </row>
    <row r="48" spans="1:10" ht="14.1" customHeight="1">
      <c r="A48" s="330" t="s">
        <v>270</v>
      </c>
      <c r="B48" s="338">
        <f t="shared" ref="B48:H48" si="0">SUM(B11:B46)</f>
        <v>121205.29999999999</v>
      </c>
      <c r="C48" s="338">
        <f t="shared" si="0"/>
        <v>5240.5</v>
      </c>
      <c r="D48" s="339">
        <f t="shared" si="0"/>
        <v>10527.4</v>
      </c>
      <c r="E48" s="340">
        <f t="shared" si="0"/>
        <v>19569.2</v>
      </c>
      <c r="F48" s="338">
        <f t="shared" si="0"/>
        <v>236.5</v>
      </c>
      <c r="G48" s="338">
        <f t="shared" si="0"/>
        <v>9718</v>
      </c>
      <c r="H48" s="338">
        <f t="shared" si="0"/>
        <v>931.5</v>
      </c>
    </row>
    <row r="49" spans="1:8" ht="5.0999999999999996" customHeight="1">
      <c r="A49" s="28" t="s">
        <v>16</v>
      </c>
      <c r="B49" s="80"/>
      <c r="C49" s="80"/>
      <c r="D49" s="80"/>
      <c r="E49" s="80"/>
      <c r="F49" s="80"/>
      <c r="G49" s="80"/>
      <c r="H49" s="80"/>
    </row>
    <row r="50" spans="1:8" ht="14.1" customHeight="1">
      <c r="A50" s="26" t="s">
        <v>271</v>
      </c>
      <c r="B50" s="79">
        <v>176.5</v>
      </c>
      <c r="C50" s="79">
        <v>0</v>
      </c>
      <c r="D50" s="124">
        <v>0</v>
      </c>
      <c r="E50" s="125">
        <v>0</v>
      </c>
      <c r="F50" s="79">
        <v>0</v>
      </c>
      <c r="G50" s="79">
        <v>0</v>
      </c>
      <c r="H50" s="79">
        <v>0</v>
      </c>
    </row>
    <row r="51" spans="1:8" ht="14.1" customHeight="1">
      <c r="A51" s="328" t="s">
        <v>272</v>
      </c>
      <c r="B51" s="335">
        <v>68.900000000000006</v>
      </c>
      <c r="C51" s="335">
        <v>0</v>
      </c>
      <c r="D51" s="336">
        <v>0</v>
      </c>
      <c r="E51" s="337">
        <v>0</v>
      </c>
      <c r="F51" s="335">
        <v>0</v>
      </c>
      <c r="G51" s="335">
        <v>0</v>
      </c>
      <c r="H51" s="335">
        <v>0</v>
      </c>
    </row>
    <row r="52" spans="1:8" ht="50.1" customHeight="1">
      <c r="A52" s="30"/>
      <c r="B52" s="126"/>
      <c r="C52" s="126"/>
      <c r="D52" s="126"/>
      <c r="E52" s="126"/>
      <c r="F52" s="126"/>
      <c r="G52" s="126"/>
      <c r="H52" s="126"/>
    </row>
    <row r="53" spans="1:8" ht="15" customHeight="1">
      <c r="A53" s="96" t="s">
        <v>602</v>
      </c>
      <c r="C53" s="96"/>
      <c r="D53" s="96"/>
      <c r="E53" s="96"/>
      <c r="F53" s="96"/>
      <c r="G53" s="96"/>
      <c r="H53" s="96"/>
    </row>
    <row r="54" spans="1:8" ht="12" customHeight="1">
      <c r="A54" s="96" t="s">
        <v>603</v>
      </c>
      <c r="C54" s="96"/>
      <c r="D54" s="96"/>
      <c r="E54" s="96"/>
      <c r="F54" s="96"/>
      <c r="G54" s="96"/>
      <c r="H54" s="96"/>
    </row>
  </sheetData>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sheetPr codeName="Sheet23"/>
  <dimension ref="A1:E58"/>
  <sheetViews>
    <sheetView showGridLines="0" showZeros="0" workbookViewId="0"/>
  </sheetViews>
  <sheetFormatPr defaultColWidth="15.83203125" defaultRowHeight="12"/>
  <cols>
    <col min="1" max="1" width="37.33203125" style="1" customWidth="1"/>
    <col min="2" max="2" width="23.6640625" style="1" customWidth="1"/>
    <col min="3" max="3" width="25.1640625" style="1" customWidth="1"/>
    <col min="4" max="4" width="22.6640625" style="1" customWidth="1"/>
    <col min="5" max="5" width="17.1640625" style="1" customWidth="1"/>
    <col min="6" max="16384" width="15.83203125" style="1"/>
  </cols>
  <sheetData>
    <row r="1" spans="1:5" ht="6.95" customHeight="1">
      <c r="A1" s="6"/>
    </row>
    <row r="2" spans="1:5" ht="14.1" customHeight="1">
      <c r="A2" s="71"/>
      <c r="B2" s="564" t="s">
        <v>353</v>
      </c>
      <c r="C2" s="237"/>
      <c r="D2" s="237"/>
      <c r="E2" s="238"/>
    </row>
    <row r="3" spans="1:5" ht="14.1" customHeight="1">
      <c r="A3" s="698"/>
      <c r="B3" s="30"/>
      <c r="C3" s="565" t="str">
        <f>"FOR THE YEAR ENDED JUNE 30, "&amp;SPRINGYR</f>
        <v>FOR THE YEAR ENDED JUNE 30, 2014</v>
      </c>
      <c r="D3" s="240"/>
      <c r="E3" s="241"/>
    </row>
    <row r="7" spans="1:5" ht="13.5">
      <c r="B7" s="355" t="s">
        <v>700</v>
      </c>
      <c r="C7" s="358"/>
      <c r="D7" s="358"/>
      <c r="E7" s="532" t="str">
        <f>"% OF "&amp;FALLYR&amp;"/"&amp;SPRINGYR</f>
        <v>% OF 2013/2014</v>
      </c>
    </row>
    <row r="8" spans="1:5">
      <c r="A8" s="75"/>
      <c r="B8" s="391"/>
      <c r="C8" s="436"/>
      <c r="D8" s="436"/>
      <c r="E8" s="506" t="s">
        <v>121</v>
      </c>
    </row>
    <row r="9" spans="1:5" ht="14.25">
      <c r="A9" s="42" t="s">
        <v>93</v>
      </c>
      <c r="B9" s="562" t="s">
        <v>694</v>
      </c>
      <c r="C9" s="562" t="s">
        <v>516</v>
      </c>
      <c r="D9" s="641" t="s">
        <v>67</v>
      </c>
      <c r="E9" s="531" t="s">
        <v>695</v>
      </c>
    </row>
    <row r="10" spans="1:5" ht="5.0999999999999996" customHeight="1">
      <c r="A10" s="5"/>
      <c r="B10" s="6"/>
      <c r="C10" s="6"/>
      <c r="D10" s="6"/>
      <c r="E10" s="6"/>
    </row>
    <row r="11" spans="1:5" ht="14.1" customHeight="1">
      <c r="A11" s="328" t="s">
        <v>235</v>
      </c>
      <c r="B11" s="329">
        <v>107727</v>
      </c>
      <c r="C11" s="329">
        <v>526804</v>
      </c>
      <c r="D11" s="329">
        <f>+B11+C11</f>
        <v>634531</v>
      </c>
      <c r="E11" s="335">
        <f>D11/'- 3 -'!$B11*100</f>
        <v>3.7891485163177725</v>
      </c>
    </row>
    <row r="12" spans="1:5" ht="14.1" customHeight="1">
      <c r="A12" s="26" t="s">
        <v>236</v>
      </c>
      <c r="B12" s="27">
        <v>1290653</v>
      </c>
      <c r="C12" s="27">
        <v>1522610</v>
      </c>
      <c r="D12" s="27">
        <f t="shared" ref="D12:D46" si="0">+B12+C12</f>
        <v>2813263</v>
      </c>
      <c r="E12" s="79">
        <f>D12/'- 3 -'!$B12*100</f>
        <v>9.3435719743489951</v>
      </c>
    </row>
    <row r="13" spans="1:5" ht="14.1" customHeight="1">
      <c r="A13" s="328" t="s">
        <v>237</v>
      </c>
      <c r="B13" s="329">
        <v>532198</v>
      </c>
      <c r="C13" s="329">
        <v>3616239</v>
      </c>
      <c r="D13" s="329">
        <f t="shared" si="0"/>
        <v>4148437</v>
      </c>
      <c r="E13" s="335">
        <f>D13/'- 3 -'!$B13*100</f>
        <v>4.9391183254752313</v>
      </c>
    </row>
    <row r="14" spans="1:5" ht="14.1" customHeight="1">
      <c r="A14" s="26" t="s">
        <v>636</v>
      </c>
      <c r="B14" s="27">
        <v>1724726</v>
      </c>
      <c r="C14" s="27">
        <v>2376437</v>
      </c>
      <c r="D14" s="27">
        <f t="shared" si="0"/>
        <v>4101163</v>
      </c>
      <c r="E14" s="79">
        <f>D14/'- 3 -'!$B14*100</f>
        <v>5.5970321323338563</v>
      </c>
    </row>
    <row r="15" spans="1:5" ht="14.1" customHeight="1">
      <c r="A15" s="328" t="s">
        <v>238</v>
      </c>
      <c r="B15" s="329">
        <v>950793</v>
      </c>
      <c r="C15" s="329">
        <v>239352</v>
      </c>
      <c r="D15" s="329">
        <f t="shared" si="0"/>
        <v>1190145</v>
      </c>
      <c r="E15" s="335">
        <f>D15/'- 3 -'!$B15*100</f>
        <v>6.2571027865214663</v>
      </c>
    </row>
    <row r="16" spans="1:5" ht="14.1" customHeight="1">
      <c r="A16" s="26" t="s">
        <v>239</v>
      </c>
      <c r="B16" s="27">
        <v>38481</v>
      </c>
      <c r="C16" s="27">
        <v>380693</v>
      </c>
      <c r="D16" s="27">
        <f t="shared" si="0"/>
        <v>419174</v>
      </c>
      <c r="E16" s="79">
        <f>D16/'- 3 -'!$B16*100</f>
        <v>3.2138130154773252</v>
      </c>
    </row>
    <row r="17" spans="1:5" ht="14.1" customHeight="1">
      <c r="A17" s="328" t="s">
        <v>240</v>
      </c>
      <c r="B17" s="329">
        <v>247073</v>
      </c>
      <c r="C17" s="329">
        <v>727710</v>
      </c>
      <c r="D17" s="329">
        <f t="shared" si="0"/>
        <v>974783</v>
      </c>
      <c r="E17" s="335">
        <f>D17/'- 3 -'!$B17*100</f>
        <v>5.8821197337576319</v>
      </c>
    </row>
    <row r="18" spans="1:5" ht="14.1" customHeight="1">
      <c r="A18" s="26" t="s">
        <v>241</v>
      </c>
      <c r="B18" s="27">
        <v>0</v>
      </c>
      <c r="C18" s="27">
        <v>4262398</v>
      </c>
      <c r="D18" s="27">
        <f t="shared" si="0"/>
        <v>4262398</v>
      </c>
      <c r="E18" s="79">
        <f>D18/'- 3 -'!$B18*100</f>
        <v>3.4529527434064282</v>
      </c>
    </row>
    <row r="19" spans="1:5" ht="14.1" customHeight="1">
      <c r="A19" s="328" t="s">
        <v>242</v>
      </c>
      <c r="B19" s="329">
        <v>250717</v>
      </c>
      <c r="C19" s="329">
        <v>823103</v>
      </c>
      <c r="D19" s="329">
        <f t="shared" si="0"/>
        <v>1073820</v>
      </c>
      <c r="E19" s="335">
        <f>D19/'- 3 -'!$B19*100</f>
        <v>2.457506672253511</v>
      </c>
    </row>
    <row r="20" spans="1:5" ht="14.1" customHeight="1">
      <c r="A20" s="26" t="s">
        <v>243</v>
      </c>
      <c r="B20" s="27">
        <v>0</v>
      </c>
      <c r="C20" s="27">
        <v>3454594</v>
      </c>
      <c r="D20" s="27">
        <f t="shared" si="0"/>
        <v>3454594</v>
      </c>
      <c r="E20" s="79">
        <f>D20/'- 3 -'!$B20*100</f>
        <v>4.8195928102477001</v>
      </c>
    </row>
    <row r="21" spans="1:5" ht="14.1" customHeight="1">
      <c r="A21" s="328" t="s">
        <v>244</v>
      </c>
      <c r="B21" s="329">
        <v>0</v>
      </c>
      <c r="C21" s="329">
        <v>1051068</v>
      </c>
      <c r="D21" s="329">
        <f t="shared" si="0"/>
        <v>1051068</v>
      </c>
      <c r="E21" s="335">
        <f>D21/'- 3 -'!$B21*100</f>
        <v>3.0058583850130218</v>
      </c>
    </row>
    <row r="22" spans="1:5" ht="14.1" customHeight="1">
      <c r="A22" s="26" t="s">
        <v>245</v>
      </c>
      <c r="B22" s="27">
        <v>0</v>
      </c>
      <c r="C22" s="27">
        <v>889656</v>
      </c>
      <c r="D22" s="27">
        <f t="shared" si="0"/>
        <v>889656</v>
      </c>
      <c r="E22" s="79">
        <f>D22/'- 3 -'!$B22*100</f>
        <v>4.6121881739347002</v>
      </c>
    </row>
    <row r="23" spans="1:5" ht="14.1" customHeight="1">
      <c r="A23" s="328" t="s">
        <v>246</v>
      </c>
      <c r="B23" s="329">
        <v>0</v>
      </c>
      <c r="C23" s="329">
        <v>626692</v>
      </c>
      <c r="D23" s="329">
        <f t="shared" si="0"/>
        <v>626692</v>
      </c>
      <c r="E23" s="335">
        <f>D23/'- 3 -'!$B23*100</f>
        <v>3.8491818833211906</v>
      </c>
    </row>
    <row r="24" spans="1:5" ht="14.1" customHeight="1">
      <c r="A24" s="26" t="s">
        <v>247</v>
      </c>
      <c r="B24" s="27">
        <v>1335625</v>
      </c>
      <c r="C24" s="27">
        <v>1957424</v>
      </c>
      <c r="D24" s="27">
        <f t="shared" si="0"/>
        <v>3293049</v>
      </c>
      <c r="E24" s="79">
        <f>D24/'- 3 -'!$B24*100</f>
        <v>6.275891837557027</v>
      </c>
    </row>
    <row r="25" spans="1:5" ht="14.1" customHeight="1">
      <c r="A25" s="328" t="s">
        <v>248</v>
      </c>
      <c r="B25" s="329">
        <v>860269</v>
      </c>
      <c r="C25" s="329">
        <v>6494457</v>
      </c>
      <c r="D25" s="329">
        <f t="shared" si="0"/>
        <v>7354726</v>
      </c>
      <c r="E25" s="335">
        <f>D25/'- 3 -'!$B25*100</f>
        <v>4.7326708394055448</v>
      </c>
    </row>
    <row r="26" spans="1:5" ht="14.1" customHeight="1">
      <c r="A26" s="26" t="s">
        <v>249</v>
      </c>
      <c r="B26" s="27">
        <v>0</v>
      </c>
      <c r="C26" s="27">
        <v>1661699</v>
      </c>
      <c r="D26" s="27">
        <f t="shared" si="0"/>
        <v>1661699</v>
      </c>
      <c r="E26" s="79">
        <f>D26/'- 3 -'!$B26*100</f>
        <v>4.4187941904614991</v>
      </c>
    </row>
    <row r="27" spans="1:5" ht="14.1" customHeight="1">
      <c r="A27" s="328" t="s">
        <v>250</v>
      </c>
      <c r="B27" s="329">
        <v>0</v>
      </c>
      <c r="C27" s="329">
        <v>4627912</v>
      </c>
      <c r="D27" s="329">
        <f t="shared" si="0"/>
        <v>4627912</v>
      </c>
      <c r="E27" s="335">
        <f>D27/'- 3 -'!$B27*100</f>
        <v>12.577288404093023</v>
      </c>
    </row>
    <row r="28" spans="1:5" ht="14.1" customHeight="1">
      <c r="A28" s="26" t="s">
        <v>251</v>
      </c>
      <c r="B28" s="27">
        <v>151302</v>
      </c>
      <c r="C28" s="27">
        <v>371434</v>
      </c>
      <c r="D28" s="27">
        <f t="shared" si="0"/>
        <v>522736</v>
      </c>
      <c r="E28" s="79">
        <f>D28/'- 3 -'!$B28*100</f>
        <v>1.9276098314384971</v>
      </c>
    </row>
    <row r="29" spans="1:5" ht="14.1" customHeight="1">
      <c r="A29" s="328" t="s">
        <v>252</v>
      </c>
      <c r="B29" s="329">
        <v>1376803</v>
      </c>
      <c r="C29" s="329">
        <v>5644184</v>
      </c>
      <c r="D29" s="329">
        <f t="shared" si="0"/>
        <v>7020987</v>
      </c>
      <c r="E29" s="335">
        <f>D29/'- 3 -'!$B29*100</f>
        <v>4.9168968313451051</v>
      </c>
    </row>
    <row r="30" spans="1:5" ht="14.1" customHeight="1">
      <c r="A30" s="26" t="s">
        <v>253</v>
      </c>
      <c r="B30" s="27">
        <v>11036</v>
      </c>
      <c r="C30" s="27">
        <v>715146</v>
      </c>
      <c r="D30" s="27">
        <f t="shared" si="0"/>
        <v>726182</v>
      </c>
      <c r="E30" s="79">
        <f>D30/'- 3 -'!$B30*100</f>
        <v>5.3839427600485834</v>
      </c>
    </row>
    <row r="31" spans="1:5" ht="14.1" customHeight="1">
      <c r="A31" s="328" t="s">
        <v>254</v>
      </c>
      <c r="B31" s="329">
        <v>0</v>
      </c>
      <c r="C31" s="329">
        <v>1380732</v>
      </c>
      <c r="D31" s="329">
        <f t="shared" si="0"/>
        <v>1380732</v>
      </c>
      <c r="E31" s="335">
        <f>D31/'- 3 -'!$B31*100</f>
        <v>4.0906897975044378</v>
      </c>
    </row>
    <row r="32" spans="1:5" ht="14.1" customHeight="1">
      <c r="A32" s="26" t="s">
        <v>255</v>
      </c>
      <c r="B32" s="27">
        <v>0</v>
      </c>
      <c r="C32" s="27">
        <v>707073</v>
      </c>
      <c r="D32" s="27">
        <f t="shared" si="0"/>
        <v>707073</v>
      </c>
      <c r="E32" s="79">
        <f>D32/'- 3 -'!$B32*100</f>
        <v>2.6927164209229506</v>
      </c>
    </row>
    <row r="33" spans="1:5" ht="14.1" customHeight="1">
      <c r="A33" s="328" t="s">
        <v>256</v>
      </c>
      <c r="B33" s="329">
        <v>0</v>
      </c>
      <c r="C33" s="329">
        <v>1201848</v>
      </c>
      <c r="D33" s="329">
        <f t="shared" si="0"/>
        <v>1201848</v>
      </c>
      <c r="E33" s="335">
        <f>D33/'- 3 -'!$B33*100</f>
        <v>4.5721497733532308</v>
      </c>
    </row>
    <row r="34" spans="1:5" ht="14.1" customHeight="1">
      <c r="A34" s="26" t="s">
        <v>257</v>
      </c>
      <c r="B34" s="27">
        <v>617010</v>
      </c>
      <c r="C34" s="27">
        <v>585290</v>
      </c>
      <c r="D34" s="27">
        <f t="shared" si="0"/>
        <v>1202300</v>
      </c>
      <c r="E34" s="79">
        <f>D34/'- 3 -'!$B34*100</f>
        <v>4.6897737850187884</v>
      </c>
    </row>
    <row r="35" spans="1:5" ht="14.1" customHeight="1">
      <c r="A35" s="328" t="s">
        <v>258</v>
      </c>
      <c r="B35" s="329">
        <v>3925308</v>
      </c>
      <c r="C35" s="329">
        <v>4006194</v>
      </c>
      <c r="D35" s="329">
        <f t="shared" si="0"/>
        <v>7931502</v>
      </c>
      <c r="E35" s="335">
        <f>D35/'- 3 -'!$B35*100</f>
        <v>4.6138183262679178</v>
      </c>
    </row>
    <row r="36" spans="1:5" ht="14.1" customHeight="1">
      <c r="A36" s="26" t="s">
        <v>259</v>
      </c>
      <c r="B36" s="27">
        <v>0</v>
      </c>
      <c r="C36" s="27">
        <v>764528</v>
      </c>
      <c r="D36" s="27">
        <f t="shared" si="0"/>
        <v>764528</v>
      </c>
      <c r="E36" s="79">
        <f>D36/'- 3 -'!$B36*100</f>
        <v>3.5343533965071048</v>
      </c>
    </row>
    <row r="37" spans="1:5" ht="14.1" customHeight="1">
      <c r="A37" s="328" t="s">
        <v>260</v>
      </c>
      <c r="B37" s="329">
        <v>214922</v>
      </c>
      <c r="C37" s="329">
        <v>1424811</v>
      </c>
      <c r="D37" s="329">
        <f t="shared" si="0"/>
        <v>1639733</v>
      </c>
      <c r="E37" s="335">
        <f>D37/'- 3 -'!$B37*100</f>
        <v>3.8112394785979746</v>
      </c>
    </row>
    <row r="38" spans="1:5" ht="14.1" customHeight="1">
      <c r="A38" s="26" t="s">
        <v>261</v>
      </c>
      <c r="B38" s="27">
        <v>4452062</v>
      </c>
      <c r="C38" s="27">
        <v>170</v>
      </c>
      <c r="D38" s="27">
        <f t="shared" si="0"/>
        <v>4452232</v>
      </c>
      <c r="E38" s="79">
        <f>D38/'- 3 -'!$B38*100</f>
        <v>3.8284914540734252</v>
      </c>
    </row>
    <row r="39" spans="1:5" ht="14.1" customHeight="1">
      <c r="A39" s="328" t="s">
        <v>262</v>
      </c>
      <c r="B39" s="329">
        <v>0</v>
      </c>
      <c r="C39" s="329">
        <v>794258</v>
      </c>
      <c r="D39" s="329">
        <f t="shared" si="0"/>
        <v>794258</v>
      </c>
      <c r="E39" s="335">
        <f>D39/'- 3 -'!$B39*100</f>
        <v>3.8944354581724685</v>
      </c>
    </row>
    <row r="40" spans="1:5" ht="14.1" customHeight="1">
      <c r="A40" s="26" t="s">
        <v>263</v>
      </c>
      <c r="B40" s="27">
        <v>1772714</v>
      </c>
      <c r="C40" s="27">
        <v>3615306</v>
      </c>
      <c r="D40" s="27">
        <f t="shared" si="0"/>
        <v>5388020</v>
      </c>
      <c r="E40" s="79">
        <f>D40/'- 3 -'!$B40*100</f>
        <v>5.6349330752735991</v>
      </c>
    </row>
    <row r="41" spans="1:5" ht="14.1" customHeight="1">
      <c r="A41" s="328" t="s">
        <v>264</v>
      </c>
      <c r="B41" s="329">
        <v>0</v>
      </c>
      <c r="C41" s="329">
        <v>1666375</v>
      </c>
      <c r="D41" s="329">
        <f t="shared" si="0"/>
        <v>1666375</v>
      </c>
      <c r="E41" s="335">
        <f>D41/'- 3 -'!$B41*100</f>
        <v>2.807160840516052</v>
      </c>
    </row>
    <row r="42" spans="1:5" ht="14.1" customHeight="1">
      <c r="A42" s="26" t="s">
        <v>265</v>
      </c>
      <c r="B42" s="27">
        <v>0</v>
      </c>
      <c r="C42" s="27">
        <v>643200</v>
      </c>
      <c r="D42" s="27">
        <f t="shared" si="0"/>
        <v>643200</v>
      </c>
      <c r="E42" s="79">
        <f>D42/'- 3 -'!$B42*100</f>
        <v>3.1923252371921973</v>
      </c>
    </row>
    <row r="43" spans="1:5" ht="14.1" customHeight="1">
      <c r="A43" s="328" t="s">
        <v>266</v>
      </c>
      <c r="B43" s="329">
        <v>734829</v>
      </c>
      <c r="C43" s="329">
        <v>186296</v>
      </c>
      <c r="D43" s="329">
        <f t="shared" si="0"/>
        <v>921125</v>
      </c>
      <c r="E43" s="335">
        <f>D43/'- 3 -'!$B43*100</f>
        <v>7.4523759901981794</v>
      </c>
    </row>
    <row r="44" spans="1:5" ht="14.1" customHeight="1">
      <c r="A44" s="26" t="s">
        <v>267</v>
      </c>
      <c r="B44" s="27">
        <v>0</v>
      </c>
      <c r="C44" s="27">
        <v>391662</v>
      </c>
      <c r="D44" s="27">
        <f t="shared" si="0"/>
        <v>391662</v>
      </c>
      <c r="E44" s="79">
        <f>D44/'- 3 -'!$B44*100</f>
        <v>3.7404843332324189</v>
      </c>
    </row>
    <row r="45" spans="1:5" ht="14.1" customHeight="1">
      <c r="A45" s="328" t="s">
        <v>268</v>
      </c>
      <c r="B45" s="329">
        <v>0</v>
      </c>
      <c r="C45" s="329">
        <v>762681</v>
      </c>
      <c r="D45" s="329">
        <f t="shared" si="0"/>
        <v>762681</v>
      </c>
      <c r="E45" s="335">
        <f>D45/'- 3 -'!$B45*100</f>
        <v>4.451941388413398</v>
      </c>
    </row>
    <row r="46" spans="1:5" ht="14.1" customHeight="1">
      <c r="A46" s="26" t="s">
        <v>269</v>
      </c>
      <c r="B46" s="27">
        <v>4778045</v>
      </c>
      <c r="C46" s="27">
        <v>12599305</v>
      </c>
      <c r="D46" s="27">
        <f t="shared" si="0"/>
        <v>17377350</v>
      </c>
      <c r="E46" s="79">
        <f>D46/'- 3 -'!$B46*100</f>
        <v>4.8493555451538661</v>
      </c>
    </row>
    <row r="47" spans="1:5" ht="5.0999999999999996" customHeight="1">
      <c r="A47" s="28"/>
      <c r="B47" s="29"/>
      <c r="C47" s="29"/>
      <c r="D47" s="29"/>
      <c r="E47"/>
    </row>
    <row r="48" spans="1:5" ht="14.1" customHeight="1">
      <c r="A48" s="330" t="s">
        <v>270</v>
      </c>
      <c r="B48" s="331">
        <f>SUM(B11:B46)</f>
        <v>25372293</v>
      </c>
      <c r="C48" s="331">
        <f>SUM(C11:C46)</f>
        <v>72699341</v>
      </c>
      <c r="D48" s="331">
        <f>SUM(D11:D46)</f>
        <v>98071634</v>
      </c>
      <c r="E48" s="338">
        <f>D48/'- 3 -'!$B48*100</f>
        <v>4.7005136600946607</v>
      </c>
    </row>
    <row r="49" spans="1:5" ht="5.0999999999999996" customHeight="1">
      <c r="A49" s="28" t="s">
        <v>16</v>
      </c>
      <c r="B49" s="29"/>
      <c r="C49" s="29"/>
      <c r="D49" s="29"/>
      <c r="E49"/>
    </row>
    <row r="50" spans="1:5" ht="14.1" customHeight="1">
      <c r="A50" s="26" t="s">
        <v>271</v>
      </c>
      <c r="B50" s="27">
        <v>0</v>
      </c>
      <c r="C50" s="27">
        <v>367715</v>
      </c>
      <c r="D50" s="27">
        <f t="shared" ref="D50:D51" si="1">+B50+C50</f>
        <v>367715</v>
      </c>
      <c r="E50" s="79">
        <f>D50/'- 3 -'!$B50*100</f>
        <v>11.529494171525036</v>
      </c>
    </row>
    <row r="51" spans="1:5" ht="14.1" customHeight="1">
      <c r="A51" s="328" t="s">
        <v>272</v>
      </c>
      <c r="B51" s="329">
        <v>2007667</v>
      </c>
      <c r="C51" s="329">
        <v>32608</v>
      </c>
      <c r="D51" s="329">
        <f t="shared" si="1"/>
        <v>2040275</v>
      </c>
      <c r="E51" s="335">
        <f>D51/'- 3 -'!$B51*100</f>
        <v>10.128734752972109</v>
      </c>
    </row>
    <row r="52" spans="1:5" ht="50.1" customHeight="1">
      <c r="A52" s="30"/>
      <c r="B52" s="30"/>
      <c r="C52" s="30"/>
      <c r="D52" s="30"/>
      <c r="E52" s="30"/>
    </row>
    <row r="53" spans="1:5">
      <c r="A53" s="45" t="s">
        <v>697</v>
      </c>
      <c r="B53" s="206"/>
      <c r="C53" s="206"/>
      <c r="D53" s="206"/>
      <c r="E53" s="206"/>
    </row>
    <row r="54" spans="1:5">
      <c r="A54" s="45" t="s">
        <v>692</v>
      </c>
    </row>
    <row r="55" spans="1:5" ht="12" customHeight="1">
      <c r="A55" s="1" t="s">
        <v>581</v>
      </c>
    </row>
    <row r="56" spans="1:5" ht="12" customHeight="1">
      <c r="A56" s="151" t="s">
        <v>693</v>
      </c>
    </row>
    <row r="57" spans="1:5" ht="12" customHeight="1">
      <c r="A57" s="45" t="s">
        <v>582</v>
      </c>
    </row>
    <row r="58" spans="1:5" ht="15">
      <c r="A58" s="672"/>
    </row>
  </sheetData>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sheetPr codeName="Sheet40">
    <pageSetUpPr fitToPage="1"/>
  </sheetPr>
  <dimension ref="A1:F56"/>
  <sheetViews>
    <sheetView showGridLines="0" showZeros="0" workbookViewId="0"/>
  </sheetViews>
  <sheetFormatPr defaultColWidth="19.83203125" defaultRowHeight="12"/>
  <cols>
    <col min="1" max="1" width="34.83203125" style="1" customWidth="1"/>
    <col min="2" max="2" width="19.83203125" style="1" customWidth="1"/>
    <col min="3" max="4" width="19.33203125" style="1" customWidth="1"/>
    <col min="5" max="16384" width="19.83203125" style="1"/>
  </cols>
  <sheetData>
    <row r="1" spans="1:6" ht="6.95" customHeight="1">
      <c r="A1" s="6"/>
    </row>
    <row r="2" spans="1:6" ht="15.95" customHeight="1">
      <c r="A2" s="152"/>
      <c r="B2" s="723" t="str">
        <f>'- 47 -'!B2:C3</f>
        <v>CAPITAL FUND 2013/2014 ACTUAL</v>
      </c>
      <c r="C2" s="723"/>
      <c r="D2" s="723"/>
      <c r="E2" s="723"/>
      <c r="F2" s="263" t="s">
        <v>466</v>
      </c>
    </row>
    <row r="3" spans="1:6" ht="15.95" customHeight="1">
      <c r="A3" s="697"/>
      <c r="B3" s="724" t="s">
        <v>276</v>
      </c>
      <c r="C3" s="724"/>
      <c r="D3" s="724"/>
      <c r="E3" s="724"/>
      <c r="F3" s="258"/>
    </row>
    <row r="4" spans="1:6" ht="15.95" customHeight="1">
      <c r="B4" s="7"/>
      <c r="C4" s="7"/>
      <c r="D4" s="7"/>
      <c r="E4" s="7"/>
    </row>
    <row r="5" spans="1:6" ht="15.95" customHeight="1">
      <c r="B5" s="7"/>
      <c r="C5" s="7"/>
      <c r="D5" s="7"/>
      <c r="E5" s="7"/>
    </row>
    <row r="6" spans="1:6" ht="15.95" customHeight="1">
      <c r="B6" s="504" t="s">
        <v>1</v>
      </c>
      <c r="C6" s="194"/>
      <c r="D6" s="561"/>
      <c r="E6" s="195"/>
    </row>
    <row r="7" spans="1:6" ht="15.95" customHeight="1">
      <c r="B7" s="505"/>
      <c r="C7" s="505"/>
      <c r="D7" s="505" t="s">
        <v>57</v>
      </c>
      <c r="E7" s="505"/>
    </row>
    <row r="8" spans="1:6" ht="15.95" customHeight="1">
      <c r="A8" s="502"/>
      <c r="B8" s="506"/>
      <c r="C8" s="506" t="s">
        <v>143</v>
      </c>
      <c r="D8" s="506" t="s">
        <v>144</v>
      </c>
      <c r="E8" s="506" t="s">
        <v>67</v>
      </c>
    </row>
    <row r="9" spans="1:6" ht="15.95" customHeight="1">
      <c r="A9" s="503" t="s">
        <v>93</v>
      </c>
      <c r="B9" s="539" t="s">
        <v>499</v>
      </c>
      <c r="C9" s="539" t="s">
        <v>500</v>
      </c>
      <c r="D9" s="539" t="s">
        <v>529</v>
      </c>
      <c r="E9" s="507" t="s">
        <v>276</v>
      </c>
    </row>
    <row r="10" spans="1:6" ht="5.0999999999999996" customHeight="1">
      <c r="A10" s="5"/>
      <c r="B10" s="236"/>
      <c r="C10" s="236"/>
      <c r="D10" s="236"/>
      <c r="E10" s="236"/>
    </row>
    <row r="11" spans="1:6" ht="14.1" customHeight="1">
      <c r="A11" s="328" t="s">
        <v>235</v>
      </c>
      <c r="B11" s="329">
        <v>1153780</v>
      </c>
      <c r="C11" s="329">
        <v>1000790</v>
      </c>
      <c r="D11" s="329">
        <v>5502</v>
      </c>
      <c r="E11" s="329">
        <f t="shared" ref="E11:E46" si="0">SUM(B11:D11)</f>
        <v>2160072</v>
      </c>
    </row>
    <row r="12" spans="1:6" ht="14.1" customHeight="1">
      <c r="A12" s="26" t="s">
        <v>236</v>
      </c>
      <c r="B12" s="27">
        <v>1458693</v>
      </c>
      <c r="C12" s="27">
        <v>522328</v>
      </c>
      <c r="D12" s="27">
        <v>18475</v>
      </c>
      <c r="E12" s="27">
        <f t="shared" si="0"/>
        <v>1999496</v>
      </c>
    </row>
    <row r="13" spans="1:6" ht="14.1" customHeight="1">
      <c r="A13" s="328" t="s">
        <v>237</v>
      </c>
      <c r="B13" s="329">
        <v>1979188</v>
      </c>
      <c r="C13" s="329">
        <v>793665</v>
      </c>
      <c r="D13" s="329">
        <v>8260</v>
      </c>
      <c r="E13" s="329">
        <f t="shared" si="0"/>
        <v>2781113</v>
      </c>
    </row>
    <row r="14" spans="1:6" ht="14.1" customHeight="1">
      <c r="A14" s="26" t="s">
        <v>636</v>
      </c>
      <c r="B14" s="27">
        <v>2149484</v>
      </c>
      <c r="C14" s="27">
        <v>1800570</v>
      </c>
      <c r="D14" s="27">
        <v>9504</v>
      </c>
      <c r="E14" s="27">
        <f t="shared" si="0"/>
        <v>3959558</v>
      </c>
    </row>
    <row r="15" spans="1:6" ht="14.1" customHeight="1">
      <c r="A15" s="328" t="s">
        <v>238</v>
      </c>
      <c r="B15" s="329">
        <v>1389759</v>
      </c>
      <c r="C15" s="329">
        <v>864527</v>
      </c>
      <c r="D15" s="329">
        <v>0</v>
      </c>
      <c r="E15" s="329">
        <f t="shared" si="0"/>
        <v>2254286</v>
      </c>
    </row>
    <row r="16" spans="1:6" ht="14.1" customHeight="1">
      <c r="A16" s="26" t="s">
        <v>239</v>
      </c>
      <c r="B16" s="27">
        <v>280735</v>
      </c>
      <c r="C16" s="27">
        <v>103205</v>
      </c>
      <c r="D16" s="27">
        <v>-15942</v>
      </c>
      <c r="E16" s="27">
        <f t="shared" si="0"/>
        <v>367998</v>
      </c>
    </row>
    <row r="17" spans="1:5" ht="14.1" customHeight="1">
      <c r="A17" s="328" t="s">
        <v>240</v>
      </c>
      <c r="B17" s="329">
        <v>935917</v>
      </c>
      <c r="C17" s="329">
        <v>498736</v>
      </c>
      <c r="D17" s="329">
        <v>979</v>
      </c>
      <c r="E17" s="329">
        <f t="shared" si="0"/>
        <v>1435632</v>
      </c>
    </row>
    <row r="18" spans="1:5" ht="14.1" customHeight="1">
      <c r="A18" s="26" t="s">
        <v>241</v>
      </c>
      <c r="B18" s="27">
        <v>2749712</v>
      </c>
      <c r="C18" s="27">
        <v>1713418</v>
      </c>
      <c r="D18" s="27">
        <v>0</v>
      </c>
      <c r="E18" s="27">
        <f t="shared" si="0"/>
        <v>4463130</v>
      </c>
    </row>
    <row r="19" spans="1:5" ht="14.1" customHeight="1">
      <c r="A19" s="328" t="s">
        <v>242</v>
      </c>
      <c r="B19" s="329">
        <v>3196690</v>
      </c>
      <c r="C19" s="329">
        <v>3159773</v>
      </c>
      <c r="D19" s="329">
        <v>0</v>
      </c>
      <c r="E19" s="329">
        <f t="shared" si="0"/>
        <v>6356463</v>
      </c>
    </row>
    <row r="20" spans="1:5" ht="14.1" customHeight="1">
      <c r="A20" s="26" t="s">
        <v>243</v>
      </c>
      <c r="B20" s="27">
        <v>3127694</v>
      </c>
      <c r="C20" s="27">
        <v>3087771</v>
      </c>
      <c r="D20" s="27">
        <v>482162</v>
      </c>
      <c r="E20" s="27">
        <f t="shared" si="0"/>
        <v>6697627</v>
      </c>
    </row>
    <row r="21" spans="1:5" ht="14.1" customHeight="1">
      <c r="A21" s="328" t="s">
        <v>244</v>
      </c>
      <c r="B21" s="329">
        <v>1135487</v>
      </c>
      <c r="C21" s="329">
        <v>565915</v>
      </c>
      <c r="D21" s="329">
        <v>127500</v>
      </c>
      <c r="E21" s="329">
        <f t="shared" si="0"/>
        <v>1828902</v>
      </c>
    </row>
    <row r="22" spans="1:5" ht="14.1" customHeight="1">
      <c r="A22" s="26" t="s">
        <v>245</v>
      </c>
      <c r="B22" s="27">
        <v>332370</v>
      </c>
      <c r="C22" s="27">
        <v>689438</v>
      </c>
      <c r="D22" s="27">
        <v>41013</v>
      </c>
      <c r="E22" s="27">
        <f t="shared" si="0"/>
        <v>1062821</v>
      </c>
    </row>
    <row r="23" spans="1:5" ht="14.1" customHeight="1">
      <c r="A23" s="328" t="s">
        <v>246</v>
      </c>
      <c r="B23" s="329">
        <v>902168</v>
      </c>
      <c r="C23" s="329">
        <v>643367</v>
      </c>
      <c r="D23" s="329">
        <v>48734</v>
      </c>
      <c r="E23" s="329">
        <f t="shared" si="0"/>
        <v>1594269</v>
      </c>
    </row>
    <row r="24" spans="1:5" ht="14.1" customHeight="1">
      <c r="A24" s="26" t="s">
        <v>247</v>
      </c>
      <c r="B24" s="27">
        <v>2232526</v>
      </c>
      <c r="C24" s="27">
        <v>1113662</v>
      </c>
      <c r="D24" s="27">
        <v>48983</v>
      </c>
      <c r="E24" s="27">
        <f t="shared" si="0"/>
        <v>3395171</v>
      </c>
    </row>
    <row r="25" spans="1:5" ht="14.1" customHeight="1">
      <c r="A25" s="328" t="s">
        <v>248</v>
      </c>
      <c r="B25" s="329">
        <v>3762044</v>
      </c>
      <c r="C25" s="329">
        <v>1193382</v>
      </c>
      <c r="D25" s="329">
        <v>0</v>
      </c>
      <c r="E25" s="329">
        <f t="shared" si="0"/>
        <v>4955426</v>
      </c>
    </row>
    <row r="26" spans="1:5" ht="14.1" customHeight="1">
      <c r="A26" s="26" t="s">
        <v>249</v>
      </c>
      <c r="B26" s="27">
        <v>1406248</v>
      </c>
      <c r="C26" s="27">
        <v>812846</v>
      </c>
      <c r="D26" s="27">
        <v>0</v>
      </c>
      <c r="E26" s="27">
        <f t="shared" si="0"/>
        <v>2219094</v>
      </c>
    </row>
    <row r="27" spans="1:5" ht="14.1" customHeight="1">
      <c r="A27" s="328" t="s">
        <v>250</v>
      </c>
      <c r="B27" s="329">
        <v>821266</v>
      </c>
      <c r="C27" s="329">
        <v>400690</v>
      </c>
      <c r="D27" s="329">
        <v>0</v>
      </c>
      <c r="E27" s="329">
        <f t="shared" si="0"/>
        <v>1221956</v>
      </c>
    </row>
    <row r="28" spans="1:5" ht="14.1" customHeight="1">
      <c r="A28" s="26" t="s">
        <v>251</v>
      </c>
      <c r="B28" s="27">
        <v>792950</v>
      </c>
      <c r="C28" s="27">
        <v>385062</v>
      </c>
      <c r="D28" s="27">
        <v>0</v>
      </c>
      <c r="E28" s="27">
        <f t="shared" si="0"/>
        <v>1178012</v>
      </c>
    </row>
    <row r="29" spans="1:5" ht="14.1" customHeight="1">
      <c r="A29" s="328" t="s">
        <v>252</v>
      </c>
      <c r="B29" s="329">
        <v>3312082</v>
      </c>
      <c r="C29" s="329">
        <v>1427533</v>
      </c>
      <c r="D29" s="329">
        <v>0</v>
      </c>
      <c r="E29" s="329">
        <f t="shared" si="0"/>
        <v>4739615</v>
      </c>
    </row>
    <row r="30" spans="1:5" ht="14.1" customHeight="1">
      <c r="A30" s="26" t="s">
        <v>253</v>
      </c>
      <c r="B30" s="27">
        <v>547507</v>
      </c>
      <c r="C30" s="27">
        <v>164274</v>
      </c>
      <c r="D30" s="27">
        <v>0</v>
      </c>
      <c r="E30" s="27">
        <f t="shared" si="0"/>
        <v>711781</v>
      </c>
    </row>
    <row r="31" spans="1:5" ht="14.1" customHeight="1">
      <c r="A31" s="328" t="s">
        <v>254</v>
      </c>
      <c r="B31" s="329">
        <v>1305709</v>
      </c>
      <c r="C31" s="329">
        <v>522419</v>
      </c>
      <c r="D31" s="329">
        <v>0</v>
      </c>
      <c r="E31" s="329">
        <f t="shared" si="0"/>
        <v>1828128</v>
      </c>
    </row>
    <row r="32" spans="1:5" ht="14.1" customHeight="1">
      <c r="A32" s="26" t="s">
        <v>255</v>
      </c>
      <c r="B32" s="27">
        <v>986004</v>
      </c>
      <c r="C32" s="27">
        <v>386475</v>
      </c>
      <c r="D32" s="27">
        <v>0</v>
      </c>
      <c r="E32" s="27">
        <f t="shared" si="0"/>
        <v>1372479</v>
      </c>
    </row>
    <row r="33" spans="1:5" ht="14.1" customHeight="1">
      <c r="A33" s="328" t="s">
        <v>256</v>
      </c>
      <c r="B33" s="329">
        <v>1372285</v>
      </c>
      <c r="C33" s="329">
        <v>418652</v>
      </c>
      <c r="D33" s="329">
        <v>0</v>
      </c>
      <c r="E33" s="329">
        <f t="shared" si="0"/>
        <v>1790937</v>
      </c>
    </row>
    <row r="34" spans="1:5" ht="14.1" customHeight="1">
      <c r="A34" s="26" t="s">
        <v>257</v>
      </c>
      <c r="B34" s="27">
        <v>1179521</v>
      </c>
      <c r="C34" s="27">
        <v>609579</v>
      </c>
      <c r="D34" s="27">
        <v>54402</v>
      </c>
      <c r="E34" s="27">
        <f t="shared" si="0"/>
        <v>1843502</v>
      </c>
    </row>
    <row r="35" spans="1:5" ht="14.1" customHeight="1">
      <c r="A35" s="328" t="s">
        <v>258</v>
      </c>
      <c r="B35" s="329">
        <v>6302933</v>
      </c>
      <c r="C35" s="329">
        <v>2159004</v>
      </c>
      <c r="D35" s="329">
        <v>469618</v>
      </c>
      <c r="E35" s="329">
        <f t="shared" si="0"/>
        <v>8931555</v>
      </c>
    </row>
    <row r="36" spans="1:5" ht="14.1" customHeight="1">
      <c r="A36" s="26" t="s">
        <v>259</v>
      </c>
      <c r="B36" s="27">
        <v>847011</v>
      </c>
      <c r="C36" s="27">
        <v>354824</v>
      </c>
      <c r="D36" s="27">
        <v>24760</v>
      </c>
      <c r="E36" s="27">
        <f t="shared" si="0"/>
        <v>1226595</v>
      </c>
    </row>
    <row r="37" spans="1:5" ht="14.1" customHeight="1">
      <c r="A37" s="328" t="s">
        <v>260</v>
      </c>
      <c r="B37" s="329">
        <v>1906023</v>
      </c>
      <c r="C37" s="329">
        <v>1376645</v>
      </c>
      <c r="D37" s="329">
        <v>0</v>
      </c>
      <c r="E37" s="329">
        <f t="shared" si="0"/>
        <v>3282668</v>
      </c>
    </row>
    <row r="38" spans="1:5" ht="14.1" customHeight="1">
      <c r="A38" s="26" t="s">
        <v>261</v>
      </c>
      <c r="B38" s="27">
        <v>3964266</v>
      </c>
      <c r="C38" s="27">
        <v>2845168</v>
      </c>
      <c r="D38" s="27">
        <v>51054</v>
      </c>
      <c r="E38" s="27">
        <f t="shared" si="0"/>
        <v>6860488</v>
      </c>
    </row>
    <row r="39" spans="1:5" ht="14.1" customHeight="1">
      <c r="A39" s="328" t="s">
        <v>262</v>
      </c>
      <c r="B39" s="329">
        <v>1229402</v>
      </c>
      <c r="C39" s="329">
        <v>830850</v>
      </c>
      <c r="D39" s="329">
        <v>0</v>
      </c>
      <c r="E39" s="329">
        <f t="shared" si="0"/>
        <v>2060252</v>
      </c>
    </row>
    <row r="40" spans="1:5" ht="14.1" customHeight="1">
      <c r="A40" s="26" t="s">
        <v>263</v>
      </c>
      <c r="B40" s="27">
        <v>3033237</v>
      </c>
      <c r="C40" s="27">
        <v>812524</v>
      </c>
      <c r="D40" s="27">
        <v>84467</v>
      </c>
      <c r="E40" s="27">
        <f t="shared" si="0"/>
        <v>3930228</v>
      </c>
    </row>
    <row r="41" spans="1:5" ht="14.1" customHeight="1">
      <c r="A41" s="328" t="s">
        <v>264</v>
      </c>
      <c r="B41" s="329">
        <v>2530538</v>
      </c>
      <c r="C41" s="329">
        <v>1077026</v>
      </c>
      <c r="D41" s="329">
        <v>25107</v>
      </c>
      <c r="E41" s="329">
        <f t="shared" si="0"/>
        <v>3632671</v>
      </c>
    </row>
    <row r="42" spans="1:5" ht="14.1" customHeight="1">
      <c r="A42" s="26" t="s">
        <v>265</v>
      </c>
      <c r="B42" s="27">
        <v>1002442</v>
      </c>
      <c r="C42" s="27">
        <v>469989</v>
      </c>
      <c r="D42" s="27">
        <v>104197</v>
      </c>
      <c r="E42" s="27">
        <f t="shared" si="0"/>
        <v>1576628</v>
      </c>
    </row>
    <row r="43" spans="1:5" ht="14.1" customHeight="1">
      <c r="A43" s="328" t="s">
        <v>266</v>
      </c>
      <c r="B43" s="329">
        <v>416976</v>
      </c>
      <c r="C43" s="329">
        <v>193566</v>
      </c>
      <c r="D43" s="329">
        <v>61177</v>
      </c>
      <c r="E43" s="329">
        <f t="shared" si="0"/>
        <v>671719</v>
      </c>
    </row>
    <row r="44" spans="1:5" ht="14.1" customHeight="1">
      <c r="A44" s="26" t="s">
        <v>267</v>
      </c>
      <c r="B44" s="27">
        <v>482228</v>
      </c>
      <c r="C44" s="27">
        <v>142934</v>
      </c>
      <c r="D44" s="27">
        <v>0</v>
      </c>
      <c r="E44" s="27">
        <f t="shared" si="0"/>
        <v>625162</v>
      </c>
    </row>
    <row r="45" spans="1:5" ht="14.1" customHeight="1">
      <c r="A45" s="328" t="s">
        <v>268</v>
      </c>
      <c r="B45" s="329">
        <v>728905</v>
      </c>
      <c r="C45" s="329">
        <v>321854</v>
      </c>
      <c r="D45" s="329">
        <v>0</v>
      </c>
      <c r="E45" s="329">
        <f t="shared" si="0"/>
        <v>1050759</v>
      </c>
    </row>
    <row r="46" spans="1:5" ht="14.1" customHeight="1">
      <c r="A46" s="26" t="s">
        <v>269</v>
      </c>
      <c r="B46" s="27">
        <v>7825138</v>
      </c>
      <c r="C46" s="27">
        <v>4730976</v>
      </c>
      <c r="D46" s="27">
        <v>316232</v>
      </c>
      <c r="E46" s="27">
        <f t="shared" si="0"/>
        <v>12872346</v>
      </c>
    </row>
    <row r="47" spans="1:5" ht="5.0999999999999996" customHeight="1">
      <c r="A47" s="28"/>
      <c r="B47" s="29"/>
      <c r="C47" s="29"/>
      <c r="D47" s="29"/>
      <c r="E47" s="29"/>
    </row>
    <row r="48" spans="1:5" ht="14.1" customHeight="1">
      <c r="A48" s="330" t="s">
        <v>270</v>
      </c>
      <c r="B48" s="331">
        <f>SUM(B11:B46)</f>
        <v>68778918</v>
      </c>
      <c r="C48" s="331">
        <f>SUM(C11:C46)</f>
        <v>38193437</v>
      </c>
      <c r="D48" s="331">
        <f>SUM(D11:D46)</f>
        <v>1966184</v>
      </c>
      <c r="E48" s="331">
        <f>SUM(E11:E46)</f>
        <v>108938539</v>
      </c>
    </row>
    <row r="49" spans="1:6" ht="5.0999999999999996" customHeight="1">
      <c r="A49" s="28" t="s">
        <v>16</v>
      </c>
      <c r="B49" s="29"/>
      <c r="C49" s="29"/>
      <c r="D49" s="29"/>
      <c r="E49" s="29"/>
    </row>
    <row r="50" spans="1:6" ht="14.1" customHeight="1">
      <c r="A50" s="26" t="s">
        <v>271</v>
      </c>
      <c r="B50" s="27">
        <v>99509</v>
      </c>
      <c r="C50" s="27">
        <v>6920</v>
      </c>
      <c r="D50" s="27">
        <v>0</v>
      </c>
      <c r="E50" s="27">
        <f>SUM(B50:D50)</f>
        <v>106429</v>
      </c>
    </row>
    <row r="51" spans="1:6" ht="14.1" customHeight="1">
      <c r="A51" s="328" t="s">
        <v>272</v>
      </c>
      <c r="B51" s="329">
        <v>613774</v>
      </c>
      <c r="C51" s="329">
        <v>219216</v>
      </c>
      <c r="D51" s="329">
        <v>0</v>
      </c>
      <c r="E51" s="329">
        <f>SUM(B51:D51)</f>
        <v>832990</v>
      </c>
    </row>
    <row r="52" spans="1:6" ht="50.1" customHeight="1">
      <c r="A52" s="30"/>
      <c r="B52" s="30"/>
      <c r="C52" s="30"/>
      <c r="D52" s="30"/>
      <c r="E52" s="30"/>
      <c r="F52" s="30"/>
    </row>
    <row r="53" spans="1:6">
      <c r="A53" s="546" t="s">
        <v>622</v>
      </c>
      <c r="B53" s="206"/>
      <c r="C53" s="206"/>
      <c r="D53" s="206"/>
      <c r="E53" s="206"/>
    </row>
    <row r="54" spans="1:6">
      <c r="A54" s="556" t="s">
        <v>647</v>
      </c>
      <c r="B54" s="206"/>
      <c r="C54" s="206"/>
      <c r="D54" s="206"/>
      <c r="E54" s="206"/>
    </row>
    <row r="55" spans="1:6">
      <c r="A55" s="546" t="s">
        <v>723</v>
      </c>
    </row>
    <row r="56" spans="1:6">
      <c r="A56" s="546"/>
    </row>
  </sheetData>
  <mergeCells count="2">
    <mergeCell ref="B2:E2"/>
    <mergeCell ref="B3:E3"/>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sheetPr codeName="Sheet39">
    <pageSetUpPr fitToPage="1"/>
  </sheetPr>
  <dimension ref="A1:F54"/>
  <sheetViews>
    <sheetView showGridLines="0" showZeros="0" workbookViewId="0"/>
  </sheetViews>
  <sheetFormatPr defaultColWidth="15.83203125" defaultRowHeight="12"/>
  <cols>
    <col min="1" max="1" width="34.83203125" style="1" customWidth="1"/>
    <col min="2" max="4" width="22.83203125" style="1" customWidth="1"/>
    <col min="5" max="5" width="4.83203125" style="1" customWidth="1"/>
    <col min="6" max="6" width="25.83203125" style="1" customWidth="1"/>
    <col min="7" max="16384" width="15.83203125" style="1"/>
  </cols>
  <sheetData>
    <row r="1" spans="1:6" ht="6.95" customHeight="1">
      <c r="A1" s="6"/>
      <c r="E1"/>
    </row>
    <row r="2" spans="1:6" ht="15.95" customHeight="1">
      <c r="A2" s="152"/>
      <c r="B2" s="725" t="str">
        <f>"CAPITAL FUND "&amp;FALLYR&amp;"/"&amp;SPRINGYR&amp;" ACTUAL"</f>
        <v>CAPITAL FUND 2013/2014 ACTUAL</v>
      </c>
      <c r="C2" s="725"/>
      <c r="D2" s="725"/>
      <c r="E2" s="725"/>
      <c r="F2" s="263" t="s">
        <v>468</v>
      </c>
    </row>
    <row r="3" spans="1:6" ht="15.95" customHeight="1">
      <c r="A3" s="697"/>
      <c r="B3" s="724" t="s">
        <v>0</v>
      </c>
      <c r="C3" s="726"/>
      <c r="D3" s="726"/>
      <c r="E3" s="726"/>
      <c r="F3" s="258"/>
    </row>
    <row r="4" spans="1:6" ht="15.95" customHeight="1">
      <c r="B4" s="7"/>
      <c r="C4" s="7"/>
      <c r="D4" s="7"/>
      <c r="E4"/>
    </row>
    <row r="5" spans="1:6" ht="15.95" customHeight="1">
      <c r="B5" s="7"/>
      <c r="C5" s="7"/>
      <c r="D5" s="7"/>
      <c r="E5" s="553"/>
    </row>
    <row r="6" spans="1:6" ht="15.95" customHeight="1">
      <c r="B6" s="510" t="s">
        <v>2</v>
      </c>
      <c r="C6" s="547"/>
      <c r="D6" s="548"/>
      <c r="E6" s="553"/>
      <c r="F6" s="552" t="s">
        <v>107</v>
      </c>
    </row>
    <row r="7" spans="1:6" ht="15.95" customHeight="1">
      <c r="B7" s="406"/>
      <c r="C7" s="406"/>
      <c r="D7" s="435"/>
      <c r="E7" s="553"/>
      <c r="F7" s="415" t="s">
        <v>506</v>
      </c>
    </row>
    <row r="8" spans="1:6" ht="15.95" customHeight="1">
      <c r="A8" s="75"/>
      <c r="B8" s="392" t="s">
        <v>133</v>
      </c>
      <c r="C8" s="406" t="s">
        <v>57</v>
      </c>
      <c r="D8" s="406" t="s">
        <v>67</v>
      </c>
      <c r="E8" s="553"/>
      <c r="F8" s="415" t="s">
        <v>511</v>
      </c>
    </row>
    <row r="9" spans="1:6" ht="15.95" customHeight="1">
      <c r="A9" s="42" t="s">
        <v>93</v>
      </c>
      <c r="B9" s="344" t="s">
        <v>493</v>
      </c>
      <c r="C9" s="344" t="s">
        <v>494</v>
      </c>
      <c r="D9" s="353" t="s">
        <v>139</v>
      </c>
      <c r="E9"/>
      <c r="F9" s="345" t="s">
        <v>144</v>
      </c>
    </row>
    <row r="10" spans="1:6" ht="5.0999999999999996" customHeight="1">
      <c r="A10" s="5"/>
      <c r="B10" s="236"/>
      <c r="C10" s="236"/>
      <c r="D10" s="236"/>
      <c r="E10"/>
      <c r="F10" s="236"/>
    </row>
    <row r="11" spans="1:6" ht="14.1" customHeight="1">
      <c r="A11" s="328" t="s">
        <v>235</v>
      </c>
      <c r="B11" s="329">
        <v>2259411</v>
      </c>
      <c r="C11" s="329">
        <v>818</v>
      </c>
      <c r="D11" s="329">
        <f t="shared" ref="D11:D46" si="0">SUM(B11:C11)</f>
        <v>2260229</v>
      </c>
      <c r="E11"/>
      <c r="F11" s="329">
        <v>197969</v>
      </c>
    </row>
    <row r="12" spans="1:6" ht="14.1" customHeight="1">
      <c r="A12" s="26" t="s">
        <v>236</v>
      </c>
      <c r="B12" s="27">
        <v>1166940</v>
      </c>
      <c r="C12" s="27">
        <v>84258</v>
      </c>
      <c r="D12" s="27">
        <f t="shared" si="0"/>
        <v>1251198</v>
      </c>
      <c r="E12"/>
      <c r="F12" s="27">
        <v>657783</v>
      </c>
    </row>
    <row r="13" spans="1:6" ht="14.1" customHeight="1">
      <c r="A13" s="328" t="s">
        <v>237</v>
      </c>
      <c r="B13" s="329">
        <v>1856599</v>
      </c>
      <c r="C13" s="329">
        <v>0</v>
      </c>
      <c r="D13" s="329">
        <f t="shared" si="0"/>
        <v>1856599</v>
      </c>
      <c r="E13"/>
      <c r="F13" s="329">
        <v>512160</v>
      </c>
    </row>
    <row r="14" spans="1:6" ht="14.1" customHeight="1">
      <c r="A14" s="26" t="s">
        <v>636</v>
      </c>
      <c r="B14" s="27">
        <v>3758387</v>
      </c>
      <c r="C14" s="27">
        <v>815472</v>
      </c>
      <c r="D14" s="27">
        <f t="shared" si="0"/>
        <v>4573859</v>
      </c>
      <c r="E14"/>
      <c r="F14" s="27">
        <v>1241000</v>
      </c>
    </row>
    <row r="15" spans="1:6" ht="14.1" customHeight="1">
      <c r="A15" s="328" t="s">
        <v>238</v>
      </c>
      <c r="B15" s="329">
        <v>1791474</v>
      </c>
      <c r="C15" s="329">
        <v>668600</v>
      </c>
      <c r="D15" s="329">
        <f t="shared" si="0"/>
        <v>2460074</v>
      </c>
      <c r="E15"/>
      <c r="F15" s="329">
        <v>1000709</v>
      </c>
    </row>
    <row r="16" spans="1:6" ht="14.1" customHeight="1">
      <c r="A16" s="26" t="s">
        <v>239</v>
      </c>
      <c r="B16" s="27">
        <v>215158</v>
      </c>
      <c r="C16" s="27">
        <v>0</v>
      </c>
      <c r="D16" s="27">
        <f t="shared" si="0"/>
        <v>215158</v>
      </c>
      <c r="E16"/>
      <c r="F16" s="27">
        <v>190945</v>
      </c>
    </row>
    <row r="17" spans="1:6" ht="14.1" customHeight="1">
      <c r="A17" s="328" t="s">
        <v>240</v>
      </c>
      <c r="B17" s="329">
        <v>1063688</v>
      </c>
      <c r="C17" s="329">
        <v>24873</v>
      </c>
      <c r="D17" s="329">
        <f t="shared" si="0"/>
        <v>1088561</v>
      </c>
      <c r="E17"/>
      <c r="F17" s="329">
        <v>405969</v>
      </c>
    </row>
    <row r="18" spans="1:6" ht="14.1" customHeight="1">
      <c r="A18" s="26" t="s">
        <v>241</v>
      </c>
      <c r="B18" s="27">
        <v>3855118</v>
      </c>
      <c r="C18" s="27">
        <v>659558</v>
      </c>
      <c r="D18" s="27">
        <f t="shared" si="0"/>
        <v>4514676</v>
      </c>
      <c r="E18"/>
      <c r="F18" s="27">
        <v>3000000</v>
      </c>
    </row>
    <row r="19" spans="1:6" ht="14.1" customHeight="1">
      <c r="A19" s="328" t="s">
        <v>242</v>
      </c>
      <c r="B19" s="329">
        <v>5872705</v>
      </c>
      <c r="C19" s="329">
        <v>9470</v>
      </c>
      <c r="D19" s="329">
        <f t="shared" si="0"/>
        <v>5882175</v>
      </c>
      <c r="E19"/>
      <c r="F19" s="329">
        <v>988579</v>
      </c>
    </row>
    <row r="20" spans="1:6" ht="14.1" customHeight="1">
      <c r="A20" s="26" t="s">
        <v>243</v>
      </c>
      <c r="B20" s="27">
        <v>6405091</v>
      </c>
      <c r="C20" s="27">
        <v>35278</v>
      </c>
      <c r="D20" s="27">
        <f t="shared" si="0"/>
        <v>6440369</v>
      </c>
      <c r="E20"/>
      <c r="F20" s="27">
        <v>2292458</v>
      </c>
    </row>
    <row r="21" spans="1:6" ht="14.1" customHeight="1">
      <c r="A21" s="328" t="s">
        <v>244</v>
      </c>
      <c r="B21" s="329">
        <v>1300440</v>
      </c>
      <c r="C21" s="329">
        <v>-492</v>
      </c>
      <c r="D21" s="329">
        <f t="shared" si="0"/>
        <v>1299948</v>
      </c>
      <c r="E21"/>
      <c r="F21" s="329">
        <v>234052</v>
      </c>
    </row>
    <row r="22" spans="1:6" ht="14.1" customHeight="1">
      <c r="A22" s="26" t="s">
        <v>245</v>
      </c>
      <c r="B22" s="27">
        <v>1418735</v>
      </c>
      <c r="C22" s="27">
        <v>0</v>
      </c>
      <c r="D22" s="27">
        <f t="shared" si="0"/>
        <v>1418735</v>
      </c>
      <c r="E22"/>
      <c r="F22" s="27">
        <v>52963</v>
      </c>
    </row>
    <row r="23" spans="1:6" ht="14.1" customHeight="1">
      <c r="A23" s="328" t="s">
        <v>246</v>
      </c>
      <c r="B23" s="329">
        <v>1333294</v>
      </c>
      <c r="C23" s="329">
        <v>41328</v>
      </c>
      <c r="D23" s="329">
        <f t="shared" si="0"/>
        <v>1374622</v>
      </c>
      <c r="E23"/>
      <c r="F23" s="329">
        <v>554812</v>
      </c>
    </row>
    <row r="24" spans="1:6" ht="14.1" customHeight="1">
      <c r="A24" s="26" t="s">
        <v>247</v>
      </c>
      <c r="B24" s="27">
        <v>2267680</v>
      </c>
      <c r="C24" s="27">
        <v>116048</v>
      </c>
      <c r="D24" s="27">
        <f t="shared" si="0"/>
        <v>2383728</v>
      </c>
      <c r="E24"/>
      <c r="F24" s="27">
        <v>958790</v>
      </c>
    </row>
    <row r="25" spans="1:6" ht="14.1" customHeight="1">
      <c r="A25" s="328" t="s">
        <v>248</v>
      </c>
      <c r="B25" s="329">
        <v>3058769</v>
      </c>
      <c r="C25" s="329">
        <v>54508</v>
      </c>
      <c r="D25" s="329">
        <f t="shared" si="0"/>
        <v>3113277</v>
      </c>
      <c r="E25"/>
      <c r="F25" s="329">
        <v>2180707</v>
      </c>
    </row>
    <row r="26" spans="1:6" ht="14.1" customHeight="1">
      <c r="A26" s="26" t="s">
        <v>249</v>
      </c>
      <c r="B26" s="27">
        <v>1580141</v>
      </c>
      <c r="C26" s="27">
        <v>36461</v>
      </c>
      <c r="D26" s="27">
        <f t="shared" si="0"/>
        <v>1616602</v>
      </c>
      <c r="E26"/>
      <c r="F26" s="27">
        <v>589908</v>
      </c>
    </row>
    <row r="27" spans="1:6" ht="14.1" customHeight="1">
      <c r="A27" s="328" t="s">
        <v>250</v>
      </c>
      <c r="B27" s="329">
        <v>945062</v>
      </c>
      <c r="C27" s="329">
        <v>42438</v>
      </c>
      <c r="D27" s="329">
        <f t="shared" si="0"/>
        <v>987500</v>
      </c>
      <c r="E27"/>
      <c r="F27" s="329">
        <v>781078</v>
      </c>
    </row>
    <row r="28" spans="1:6" ht="14.1" customHeight="1">
      <c r="A28" s="26" t="s">
        <v>251</v>
      </c>
      <c r="B28" s="27">
        <v>903646</v>
      </c>
      <c r="C28" s="27">
        <v>-29179</v>
      </c>
      <c r="D28" s="27">
        <f t="shared" si="0"/>
        <v>874467</v>
      </c>
      <c r="E28"/>
      <c r="F28" s="27">
        <v>42416</v>
      </c>
    </row>
    <row r="29" spans="1:6" ht="14.1" customHeight="1">
      <c r="A29" s="328" t="s">
        <v>252</v>
      </c>
      <c r="B29" s="329">
        <v>3234076</v>
      </c>
      <c r="C29" s="329">
        <v>161021</v>
      </c>
      <c r="D29" s="329">
        <f t="shared" si="0"/>
        <v>3395097</v>
      </c>
      <c r="E29"/>
      <c r="F29" s="329">
        <v>1508744</v>
      </c>
    </row>
    <row r="30" spans="1:6" ht="14.1" customHeight="1">
      <c r="A30" s="26" t="s">
        <v>253</v>
      </c>
      <c r="B30" s="27">
        <v>357417</v>
      </c>
      <c r="C30" s="27">
        <v>20108</v>
      </c>
      <c r="D30" s="27">
        <f t="shared" si="0"/>
        <v>377525</v>
      </c>
      <c r="E30"/>
      <c r="F30" s="27">
        <v>399075</v>
      </c>
    </row>
    <row r="31" spans="1:6" ht="14.1" customHeight="1">
      <c r="A31" s="328" t="s">
        <v>254</v>
      </c>
      <c r="B31" s="329">
        <v>882091</v>
      </c>
      <c r="C31" s="329">
        <v>17237</v>
      </c>
      <c r="D31" s="329">
        <f t="shared" si="0"/>
        <v>899328</v>
      </c>
      <c r="E31"/>
      <c r="F31" s="329">
        <v>292368</v>
      </c>
    </row>
    <row r="32" spans="1:6" ht="14.1" customHeight="1">
      <c r="A32" s="26" t="s">
        <v>255</v>
      </c>
      <c r="B32" s="27">
        <v>988634</v>
      </c>
      <c r="C32" s="27">
        <v>286852</v>
      </c>
      <c r="D32" s="27">
        <f t="shared" si="0"/>
        <v>1275486</v>
      </c>
      <c r="E32"/>
      <c r="F32" s="27">
        <v>291959</v>
      </c>
    </row>
    <row r="33" spans="1:6" ht="14.1" customHeight="1">
      <c r="A33" s="328" t="s">
        <v>256</v>
      </c>
      <c r="B33" s="329">
        <v>979084</v>
      </c>
      <c r="C33" s="329">
        <v>162317</v>
      </c>
      <c r="D33" s="329">
        <f t="shared" si="0"/>
        <v>1141401</v>
      </c>
      <c r="E33"/>
      <c r="F33" s="329">
        <v>1148456</v>
      </c>
    </row>
    <row r="34" spans="1:6" ht="14.1" customHeight="1">
      <c r="A34" s="26" t="s">
        <v>257</v>
      </c>
      <c r="B34" s="27">
        <v>1468682</v>
      </c>
      <c r="C34" s="27">
        <v>23823</v>
      </c>
      <c r="D34" s="27">
        <f t="shared" si="0"/>
        <v>1492505</v>
      </c>
      <c r="E34"/>
      <c r="F34" s="27">
        <v>832173</v>
      </c>
    </row>
    <row r="35" spans="1:6" ht="14.1" customHeight="1">
      <c r="A35" s="328" t="s">
        <v>258</v>
      </c>
      <c r="B35" s="329">
        <v>4731825</v>
      </c>
      <c r="C35" s="329">
        <v>156523</v>
      </c>
      <c r="D35" s="329">
        <f t="shared" si="0"/>
        <v>4888348</v>
      </c>
      <c r="E35"/>
      <c r="F35" s="329">
        <v>4570177</v>
      </c>
    </row>
    <row r="36" spans="1:6" ht="14.1" customHeight="1">
      <c r="A36" s="26" t="s">
        <v>259</v>
      </c>
      <c r="B36" s="27">
        <v>971547</v>
      </c>
      <c r="C36" s="27">
        <v>0</v>
      </c>
      <c r="D36" s="27">
        <f t="shared" si="0"/>
        <v>971547</v>
      </c>
      <c r="E36"/>
      <c r="F36" s="27">
        <v>1250104</v>
      </c>
    </row>
    <row r="37" spans="1:6" ht="14.1" customHeight="1">
      <c r="A37" s="328" t="s">
        <v>260</v>
      </c>
      <c r="B37" s="329">
        <v>3261366</v>
      </c>
      <c r="C37" s="329">
        <v>8400</v>
      </c>
      <c r="D37" s="329">
        <f t="shared" si="0"/>
        <v>3269766</v>
      </c>
      <c r="E37"/>
      <c r="F37" s="329">
        <v>637107</v>
      </c>
    </row>
    <row r="38" spans="1:6" ht="14.1" customHeight="1">
      <c r="A38" s="26" t="s">
        <v>261</v>
      </c>
      <c r="B38" s="27">
        <v>4874724</v>
      </c>
      <c r="C38" s="27">
        <v>178490</v>
      </c>
      <c r="D38" s="27">
        <f t="shared" si="0"/>
        <v>5053214</v>
      </c>
      <c r="E38"/>
      <c r="F38" s="27">
        <v>4440721</v>
      </c>
    </row>
    <row r="39" spans="1:6" ht="14.1" customHeight="1">
      <c r="A39" s="328" t="s">
        <v>262</v>
      </c>
      <c r="B39" s="329">
        <v>1795544</v>
      </c>
      <c r="C39" s="329">
        <v>5168</v>
      </c>
      <c r="D39" s="329">
        <f t="shared" si="0"/>
        <v>1800712</v>
      </c>
      <c r="E39"/>
      <c r="F39" s="329">
        <v>662115</v>
      </c>
    </row>
    <row r="40" spans="1:6" ht="14.1" customHeight="1">
      <c r="A40" s="26" t="s">
        <v>263</v>
      </c>
      <c r="B40" s="27">
        <v>1658044</v>
      </c>
      <c r="C40" s="27">
        <v>29288</v>
      </c>
      <c r="D40" s="27">
        <f t="shared" si="0"/>
        <v>1687332</v>
      </c>
      <c r="E40"/>
      <c r="F40" s="27">
        <v>1722581</v>
      </c>
    </row>
    <row r="41" spans="1:6" ht="14.1" customHeight="1">
      <c r="A41" s="328" t="s">
        <v>264</v>
      </c>
      <c r="B41" s="329">
        <v>2377215</v>
      </c>
      <c r="C41" s="329">
        <v>36748</v>
      </c>
      <c r="D41" s="329">
        <f t="shared" si="0"/>
        <v>2413963</v>
      </c>
      <c r="E41"/>
      <c r="F41" s="329">
        <v>1350873</v>
      </c>
    </row>
    <row r="42" spans="1:6" ht="14.1" customHeight="1">
      <c r="A42" s="26" t="s">
        <v>265</v>
      </c>
      <c r="B42" s="27">
        <v>908961</v>
      </c>
      <c r="C42" s="27">
        <v>58404</v>
      </c>
      <c r="D42" s="27">
        <f t="shared" si="0"/>
        <v>967365</v>
      </c>
      <c r="E42"/>
      <c r="F42" s="27">
        <v>736173</v>
      </c>
    </row>
    <row r="43" spans="1:6" ht="14.1" customHeight="1">
      <c r="A43" s="328" t="s">
        <v>266</v>
      </c>
      <c r="B43" s="329">
        <v>474290</v>
      </c>
      <c r="C43" s="329">
        <v>21543</v>
      </c>
      <c r="D43" s="329">
        <f t="shared" si="0"/>
        <v>495833</v>
      </c>
      <c r="E43"/>
      <c r="F43" s="329">
        <v>-215528</v>
      </c>
    </row>
    <row r="44" spans="1:6" ht="14.1" customHeight="1">
      <c r="A44" s="26" t="s">
        <v>267</v>
      </c>
      <c r="B44" s="27">
        <v>331433</v>
      </c>
      <c r="C44" s="27">
        <v>0</v>
      </c>
      <c r="D44" s="27">
        <f t="shared" si="0"/>
        <v>331433</v>
      </c>
      <c r="E44"/>
      <c r="F44" s="27">
        <v>488786</v>
      </c>
    </row>
    <row r="45" spans="1:6" ht="14.1" customHeight="1">
      <c r="A45" s="328" t="s">
        <v>268</v>
      </c>
      <c r="B45" s="329">
        <v>738024</v>
      </c>
      <c r="C45" s="329">
        <v>200</v>
      </c>
      <c r="D45" s="329">
        <f t="shared" si="0"/>
        <v>738224</v>
      </c>
      <c r="E45"/>
      <c r="F45" s="329">
        <v>513135</v>
      </c>
    </row>
    <row r="46" spans="1:6" ht="14.1" customHeight="1">
      <c r="A46" s="26" t="s">
        <v>269</v>
      </c>
      <c r="B46" s="27">
        <v>11078577</v>
      </c>
      <c r="C46" s="27">
        <v>3121411</v>
      </c>
      <c r="D46" s="27">
        <f t="shared" si="0"/>
        <v>14199988</v>
      </c>
      <c r="E46"/>
      <c r="F46" s="27">
        <v>2233550</v>
      </c>
    </row>
    <row r="47" spans="1:6" ht="5.0999999999999996" customHeight="1">
      <c r="A47" s="28"/>
      <c r="B47" s="29"/>
      <c r="C47" s="29"/>
      <c r="D47" s="29"/>
      <c r="E47"/>
      <c r="F47" s="29"/>
    </row>
    <row r="48" spans="1:6" ht="14.1" customHeight="1">
      <c r="A48" s="330" t="s">
        <v>270</v>
      </c>
      <c r="B48" s="331">
        <f>SUM(B11:B46)</f>
        <v>82163872</v>
      </c>
      <c r="C48" s="331">
        <f>SUM(C11:C46)</f>
        <v>6846972</v>
      </c>
      <c r="D48" s="331">
        <f>SUM(D11:D46)</f>
        <v>89010844</v>
      </c>
      <c r="E48"/>
      <c r="F48" s="331">
        <f>SUM(F11:F46)</f>
        <v>38744867</v>
      </c>
    </row>
    <row r="49" spans="1:6" ht="5.0999999999999996" customHeight="1">
      <c r="A49" s="28" t="s">
        <v>16</v>
      </c>
      <c r="B49" s="29"/>
      <c r="C49" s="29"/>
      <c r="D49" s="29"/>
      <c r="E49"/>
      <c r="F49" s="29"/>
    </row>
    <row r="50" spans="1:6" ht="14.1" customHeight="1">
      <c r="A50" s="26" t="s">
        <v>271</v>
      </c>
      <c r="B50" s="27">
        <v>0</v>
      </c>
      <c r="C50" s="27">
        <v>34903</v>
      </c>
      <c r="D50" s="27">
        <f>SUM(B50:C50)</f>
        <v>34903</v>
      </c>
      <c r="E50"/>
      <c r="F50" s="27">
        <v>50471</v>
      </c>
    </row>
    <row r="51" spans="1:6" ht="14.1" customHeight="1">
      <c r="A51" s="328" t="s">
        <v>272</v>
      </c>
      <c r="B51" s="329">
        <v>121187</v>
      </c>
      <c r="C51" s="329">
        <v>1942</v>
      </c>
      <c r="D51" s="329">
        <f>SUM(B51:C51)</f>
        <v>123129</v>
      </c>
      <c r="E51"/>
      <c r="F51" s="329">
        <v>1013057</v>
      </c>
    </row>
    <row r="52" spans="1:6" ht="50.1" customHeight="1">
      <c r="A52" s="30"/>
      <c r="B52" s="30"/>
      <c r="C52" s="30"/>
      <c r="D52" s="30"/>
      <c r="E52" s="30"/>
      <c r="F52" s="30"/>
    </row>
    <row r="53" spans="1:6" ht="13.5" customHeight="1">
      <c r="A53" s="515" t="s">
        <v>623</v>
      </c>
      <c r="B53" s="206"/>
      <c r="C53" s="206"/>
      <c r="D53" s="206"/>
      <c r="E53" s="206"/>
    </row>
    <row r="54" spans="1:6">
      <c r="A54" s="515" t="s">
        <v>624</v>
      </c>
    </row>
  </sheetData>
  <mergeCells count="2">
    <mergeCell ref="B2:E2"/>
    <mergeCell ref="B3:E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sheetPr codeName="Sheet41">
    <pageSetUpPr fitToPage="1"/>
  </sheetPr>
  <dimension ref="A1:E55"/>
  <sheetViews>
    <sheetView showGridLines="0" showZeros="0" workbookViewId="0"/>
  </sheetViews>
  <sheetFormatPr defaultColWidth="19.83203125" defaultRowHeight="12"/>
  <cols>
    <col min="1" max="1" width="32.83203125" style="1" customWidth="1"/>
    <col min="2" max="4" width="18.83203125" style="1" customWidth="1"/>
    <col min="5" max="5" width="44.83203125" style="1" customWidth="1"/>
    <col min="6" max="16384" width="19.83203125" style="1"/>
  </cols>
  <sheetData>
    <row r="1" spans="1:5" ht="6.95" customHeight="1">
      <c r="A1" s="6"/>
      <c r="B1" s="6"/>
    </row>
    <row r="2" spans="1:5" ht="15.95" customHeight="1">
      <c r="A2" s="152"/>
      <c r="B2" s="725" t="str">
        <f>"CAPITAL FUND "&amp;FALLYR&amp;"/"&amp;SPRINGYR&amp;" ACTUAL"</f>
        <v>CAPITAL FUND 2013/2014 ACTUAL</v>
      </c>
      <c r="C2" s="725"/>
      <c r="D2" s="725"/>
      <c r="E2" s="263" t="s">
        <v>467</v>
      </c>
    </row>
    <row r="3" spans="1:5" ht="15.95" customHeight="1">
      <c r="A3" s="697"/>
      <c r="B3" s="724" t="s">
        <v>498</v>
      </c>
      <c r="C3" s="724"/>
      <c r="D3" s="724"/>
      <c r="E3" s="258"/>
    </row>
    <row r="4" spans="1:5" ht="15.95" customHeight="1">
      <c r="C4" s="7"/>
      <c r="D4" s="7"/>
    </row>
    <row r="5" spans="1:5" ht="15.95" customHeight="1">
      <c r="B5" s="554"/>
      <c r="C5" s="555"/>
      <c r="D5" s="555"/>
    </row>
    <row r="6" spans="1:5" ht="15.95" customHeight="1">
      <c r="B6" s="520" t="s">
        <v>463</v>
      </c>
      <c r="C6" s="727" t="s">
        <v>484</v>
      </c>
      <c r="D6" s="728"/>
    </row>
    <row r="7" spans="1:5" ht="15.95" customHeight="1">
      <c r="B7" s="521" t="s">
        <v>462</v>
      </c>
      <c r="C7" s="519" t="s">
        <v>485</v>
      </c>
      <c r="D7" s="508"/>
    </row>
    <row r="8" spans="1:5" ht="15.95" customHeight="1">
      <c r="A8" s="502"/>
      <c r="B8" s="521" t="s">
        <v>464</v>
      </c>
      <c r="C8" s="519" t="s">
        <v>486</v>
      </c>
      <c r="D8" s="519" t="s">
        <v>483</v>
      </c>
    </row>
    <row r="9" spans="1:5" ht="15.95" customHeight="1">
      <c r="A9" s="503" t="s">
        <v>93</v>
      </c>
      <c r="B9" s="522" t="s">
        <v>465</v>
      </c>
      <c r="C9" s="537" t="s">
        <v>496</v>
      </c>
      <c r="D9" s="537" t="s">
        <v>497</v>
      </c>
    </row>
    <row r="10" spans="1:5" ht="5.0999999999999996" customHeight="1">
      <c r="A10" s="5"/>
      <c r="B10" s="236"/>
      <c r="C10" s="236"/>
    </row>
    <row r="11" spans="1:5" ht="14.1" customHeight="1">
      <c r="A11" s="328" t="s">
        <v>235</v>
      </c>
      <c r="B11" s="525">
        <v>3406733</v>
      </c>
      <c r="C11" s="523">
        <v>2590039</v>
      </c>
      <c r="D11" s="329">
        <v>816694</v>
      </c>
    </row>
    <row r="12" spans="1:5" ht="14.1" customHeight="1">
      <c r="A12" s="26" t="s">
        <v>236</v>
      </c>
      <c r="B12" s="526">
        <v>8807241</v>
      </c>
      <c r="C12" s="524">
        <v>4718852</v>
      </c>
      <c r="D12" s="27">
        <v>4088389</v>
      </c>
    </row>
    <row r="13" spans="1:5" ht="14.1" customHeight="1">
      <c r="A13" s="328" t="s">
        <v>237</v>
      </c>
      <c r="B13" s="525">
        <v>9856679</v>
      </c>
      <c r="C13" s="523">
        <v>8932171</v>
      </c>
      <c r="D13" s="329">
        <v>924508</v>
      </c>
    </row>
    <row r="14" spans="1:5" ht="14.1" customHeight="1">
      <c r="A14" s="26" t="s">
        <v>636</v>
      </c>
      <c r="B14" s="526">
        <v>25828981</v>
      </c>
      <c r="C14" s="524">
        <v>25263981</v>
      </c>
      <c r="D14" s="27">
        <v>565000</v>
      </c>
    </row>
    <row r="15" spans="1:5" ht="14.1" customHeight="1">
      <c r="A15" s="328" t="s">
        <v>238</v>
      </c>
      <c r="B15" s="525">
        <v>5836082</v>
      </c>
      <c r="C15" s="523">
        <v>4195614</v>
      </c>
      <c r="D15" s="329">
        <v>1640468</v>
      </c>
    </row>
    <row r="16" spans="1:5" ht="14.1" customHeight="1">
      <c r="A16" s="26" t="s">
        <v>239</v>
      </c>
      <c r="B16" s="526">
        <v>1586101</v>
      </c>
      <c r="C16" s="524">
        <v>1451988</v>
      </c>
      <c r="D16" s="27">
        <v>134113</v>
      </c>
    </row>
    <row r="17" spans="1:4" ht="14.1" customHeight="1">
      <c r="A17" s="328" t="s">
        <v>240</v>
      </c>
      <c r="B17" s="525">
        <v>4407817</v>
      </c>
      <c r="C17" s="523">
        <v>3671140</v>
      </c>
      <c r="D17" s="329">
        <v>736677</v>
      </c>
    </row>
    <row r="18" spans="1:4" ht="14.1" customHeight="1">
      <c r="A18" s="26" t="s">
        <v>241</v>
      </c>
      <c r="B18" s="526">
        <v>19055306</v>
      </c>
      <c r="C18" s="524">
        <v>14590001</v>
      </c>
      <c r="D18" s="27">
        <v>4465305</v>
      </c>
    </row>
    <row r="19" spans="1:4" ht="14.1" customHeight="1">
      <c r="A19" s="328" t="s">
        <v>242</v>
      </c>
      <c r="B19" s="525">
        <v>17197484</v>
      </c>
      <c r="C19" s="523">
        <v>16306254</v>
      </c>
      <c r="D19" s="329">
        <v>891230</v>
      </c>
    </row>
    <row r="20" spans="1:4" ht="14.1" customHeight="1">
      <c r="A20" s="26" t="s">
        <v>243</v>
      </c>
      <c r="B20" s="526">
        <v>14330039</v>
      </c>
      <c r="C20" s="524">
        <v>14144945</v>
      </c>
      <c r="D20" s="44">
        <v>185094</v>
      </c>
    </row>
    <row r="21" spans="1:4" ht="14.1" customHeight="1">
      <c r="A21" s="328" t="s">
        <v>244</v>
      </c>
      <c r="B21" s="525">
        <v>2927475</v>
      </c>
      <c r="C21" s="523">
        <v>2927475</v>
      </c>
      <c r="D21" s="329">
        <v>0</v>
      </c>
    </row>
    <row r="22" spans="1:4" ht="14.1" customHeight="1">
      <c r="A22" s="26" t="s">
        <v>245</v>
      </c>
      <c r="B22" s="526">
        <v>1028562</v>
      </c>
      <c r="C22" s="524">
        <v>1028562</v>
      </c>
      <c r="D22" s="27">
        <v>0</v>
      </c>
    </row>
    <row r="23" spans="1:4" ht="14.1" customHeight="1">
      <c r="A23" s="328" t="s">
        <v>246</v>
      </c>
      <c r="B23" s="525">
        <v>3105155</v>
      </c>
      <c r="C23" s="523">
        <v>2395596</v>
      </c>
      <c r="D23" s="329">
        <v>709559</v>
      </c>
    </row>
    <row r="24" spans="1:4" ht="14.1" customHeight="1">
      <c r="A24" s="26" t="s">
        <v>247</v>
      </c>
      <c r="B24" s="526">
        <v>7127936</v>
      </c>
      <c r="C24" s="524">
        <v>7026852</v>
      </c>
      <c r="D24" s="27">
        <v>101084</v>
      </c>
    </row>
    <row r="25" spans="1:4" ht="14.1" customHeight="1">
      <c r="A25" s="328" t="s">
        <v>248</v>
      </c>
      <c r="B25" s="525">
        <v>20433823</v>
      </c>
      <c r="C25" s="523">
        <v>17910110</v>
      </c>
      <c r="D25" s="329">
        <v>2523713</v>
      </c>
    </row>
    <row r="26" spans="1:4" ht="14.1" customHeight="1">
      <c r="A26" s="26" t="s">
        <v>249</v>
      </c>
      <c r="B26" s="526">
        <v>2892794</v>
      </c>
      <c r="C26" s="524">
        <v>2539459</v>
      </c>
      <c r="D26" s="27">
        <v>353335</v>
      </c>
    </row>
    <row r="27" spans="1:4" ht="14.1" customHeight="1">
      <c r="A27" s="328" t="s">
        <v>250</v>
      </c>
      <c r="B27" s="525">
        <v>5933892</v>
      </c>
      <c r="C27" s="523">
        <v>5933892</v>
      </c>
      <c r="D27" s="329">
        <v>0</v>
      </c>
    </row>
    <row r="28" spans="1:4" ht="14.1" customHeight="1">
      <c r="A28" s="26" t="s">
        <v>251</v>
      </c>
      <c r="B28" s="526">
        <v>2073240</v>
      </c>
      <c r="C28" s="524">
        <v>1752335</v>
      </c>
      <c r="D28" s="27">
        <v>320905</v>
      </c>
    </row>
    <row r="29" spans="1:4" ht="14.1" customHeight="1">
      <c r="A29" s="328" t="s">
        <v>252</v>
      </c>
      <c r="B29" s="525">
        <v>21689365</v>
      </c>
      <c r="C29" s="523">
        <v>18604569</v>
      </c>
      <c r="D29" s="329">
        <v>3084796</v>
      </c>
    </row>
    <row r="30" spans="1:4" ht="14.1" customHeight="1">
      <c r="A30" s="26" t="s">
        <v>253</v>
      </c>
      <c r="B30" s="526">
        <v>1879818</v>
      </c>
      <c r="C30" s="524">
        <v>1467349</v>
      </c>
      <c r="D30" s="27">
        <v>412469</v>
      </c>
    </row>
    <row r="31" spans="1:4" ht="14.1" customHeight="1">
      <c r="A31" s="328" t="s">
        <v>254</v>
      </c>
      <c r="B31" s="525">
        <v>3858865</v>
      </c>
      <c r="C31" s="523">
        <v>3733865</v>
      </c>
      <c r="D31" s="329">
        <v>125000</v>
      </c>
    </row>
    <row r="32" spans="1:4" ht="14.1" customHeight="1">
      <c r="A32" s="26" t="s">
        <v>255</v>
      </c>
      <c r="B32" s="526">
        <v>4558035</v>
      </c>
      <c r="C32" s="524">
        <v>4271573</v>
      </c>
      <c r="D32" s="27">
        <v>286462</v>
      </c>
    </row>
    <row r="33" spans="1:4" ht="14.1" customHeight="1">
      <c r="A33" s="328" t="s">
        <v>256</v>
      </c>
      <c r="B33" s="525">
        <v>5806659</v>
      </c>
      <c r="C33" s="523">
        <v>4464939</v>
      </c>
      <c r="D33" s="329">
        <v>1341720</v>
      </c>
    </row>
    <row r="34" spans="1:4" ht="14.1" customHeight="1">
      <c r="A34" s="26" t="s">
        <v>257</v>
      </c>
      <c r="B34" s="526">
        <v>5776163</v>
      </c>
      <c r="C34" s="524">
        <v>5689865</v>
      </c>
      <c r="D34" s="27">
        <v>86298</v>
      </c>
    </row>
    <row r="35" spans="1:4" ht="14.1" customHeight="1">
      <c r="A35" s="328" t="s">
        <v>258</v>
      </c>
      <c r="B35" s="525">
        <v>29067114</v>
      </c>
      <c r="C35" s="523">
        <v>21221113</v>
      </c>
      <c r="D35" s="329">
        <v>7846001</v>
      </c>
    </row>
    <row r="36" spans="1:4" ht="14.1" customHeight="1">
      <c r="A36" s="26" t="s">
        <v>259</v>
      </c>
      <c r="B36" s="526">
        <v>5906636</v>
      </c>
      <c r="C36" s="524">
        <v>3415619</v>
      </c>
      <c r="D36" s="27">
        <v>2491017</v>
      </c>
    </row>
    <row r="37" spans="1:4" ht="14.1" customHeight="1">
      <c r="A37" s="328" t="s">
        <v>260</v>
      </c>
      <c r="B37" s="525">
        <v>6994209</v>
      </c>
      <c r="C37" s="523">
        <v>6914703</v>
      </c>
      <c r="D37" s="329">
        <v>79506</v>
      </c>
    </row>
    <row r="38" spans="1:4" ht="14.1" customHeight="1">
      <c r="A38" s="26" t="s">
        <v>261</v>
      </c>
      <c r="B38" s="526">
        <v>38024126</v>
      </c>
      <c r="C38" s="524">
        <v>34665799</v>
      </c>
      <c r="D38" s="27">
        <v>3358327</v>
      </c>
    </row>
    <row r="39" spans="1:4" ht="14.1" customHeight="1">
      <c r="A39" s="328" t="s">
        <v>262</v>
      </c>
      <c r="B39" s="525">
        <v>2834074</v>
      </c>
      <c r="C39" s="523">
        <v>2335404</v>
      </c>
      <c r="D39" s="329">
        <v>498670</v>
      </c>
    </row>
    <row r="40" spans="1:4" ht="14.1" customHeight="1">
      <c r="A40" s="26" t="s">
        <v>263</v>
      </c>
      <c r="B40" s="526">
        <v>30018327</v>
      </c>
      <c r="C40" s="524">
        <v>24392255</v>
      </c>
      <c r="D40" s="27">
        <v>5626072</v>
      </c>
    </row>
    <row r="41" spans="1:4" ht="14.1" customHeight="1">
      <c r="A41" s="328" t="s">
        <v>264</v>
      </c>
      <c r="B41" s="525">
        <v>12708629</v>
      </c>
      <c r="C41" s="523">
        <v>11940776</v>
      </c>
      <c r="D41" s="329">
        <v>767853</v>
      </c>
    </row>
    <row r="42" spans="1:4" ht="14.1" customHeight="1">
      <c r="A42" s="26" t="s">
        <v>265</v>
      </c>
      <c r="B42" s="526">
        <v>4469932</v>
      </c>
      <c r="C42" s="524">
        <v>2283384</v>
      </c>
      <c r="D42" s="27">
        <v>2186548</v>
      </c>
    </row>
    <row r="43" spans="1:4" ht="14.1" customHeight="1">
      <c r="A43" s="328" t="s">
        <v>266</v>
      </c>
      <c r="B43" s="525">
        <v>947461</v>
      </c>
      <c r="C43" s="523">
        <v>796060</v>
      </c>
      <c r="D43" s="329">
        <v>151401</v>
      </c>
    </row>
    <row r="44" spans="1:4" ht="14.1" customHeight="1">
      <c r="A44" s="26" t="s">
        <v>267</v>
      </c>
      <c r="B44" s="526">
        <v>2788055</v>
      </c>
      <c r="C44" s="524">
        <v>1447879</v>
      </c>
      <c r="D44" s="27">
        <v>1340176</v>
      </c>
    </row>
    <row r="45" spans="1:4" ht="14.1" customHeight="1">
      <c r="A45" s="328" t="s">
        <v>268</v>
      </c>
      <c r="B45" s="525">
        <v>4151383</v>
      </c>
      <c r="C45" s="523">
        <v>3813547</v>
      </c>
      <c r="D45" s="329">
        <v>337836</v>
      </c>
    </row>
    <row r="46" spans="1:4" ht="14.1" customHeight="1">
      <c r="A46" s="26" t="s">
        <v>269</v>
      </c>
      <c r="B46" s="526">
        <v>55507611</v>
      </c>
      <c r="C46" s="524">
        <v>51457540</v>
      </c>
      <c r="D46" s="27">
        <v>4050071</v>
      </c>
    </row>
    <row r="47" spans="1:4" ht="5.0999999999999996" customHeight="1">
      <c r="A47" s="28"/>
      <c r="B47" s="29"/>
      <c r="C47" s="29"/>
      <c r="D47" s="29"/>
    </row>
    <row r="48" spans="1:4" ht="14.1" customHeight="1">
      <c r="A48" s="330" t="s">
        <v>270</v>
      </c>
      <c r="B48" s="528">
        <f>SUM(B11:B46)</f>
        <v>392821802</v>
      </c>
      <c r="C48" s="527">
        <f>SUM(C11:C46)</f>
        <v>340295505</v>
      </c>
      <c r="D48" s="331">
        <f>SUM(D11:D46)</f>
        <v>52526297</v>
      </c>
    </row>
    <row r="49" spans="1:5" ht="5.0999999999999996" customHeight="1">
      <c r="A49" s="28" t="s">
        <v>16</v>
      </c>
      <c r="B49" s="29"/>
      <c r="C49" s="29"/>
      <c r="D49" s="29"/>
    </row>
    <row r="50" spans="1:5" ht="14.1" customHeight="1">
      <c r="A50" s="26" t="s">
        <v>271</v>
      </c>
      <c r="B50" s="526">
        <v>1154047</v>
      </c>
      <c r="C50" s="524">
        <v>1154047</v>
      </c>
      <c r="D50" s="44">
        <v>0</v>
      </c>
    </row>
    <row r="51" spans="1:5" ht="14.1" customHeight="1">
      <c r="A51" s="328" t="s">
        <v>272</v>
      </c>
      <c r="B51" s="525">
        <v>5378313</v>
      </c>
      <c r="C51" s="523">
        <v>5378313</v>
      </c>
      <c r="D51" s="329">
        <v>0</v>
      </c>
    </row>
    <row r="52" spans="1:5" ht="50.1" customHeight="1">
      <c r="A52" s="30"/>
      <c r="B52" s="30"/>
      <c r="C52" s="30"/>
      <c r="D52" s="30"/>
      <c r="E52" s="30"/>
    </row>
    <row r="53" spans="1:5" ht="15" customHeight="1">
      <c r="A53" s="545" t="s">
        <v>625</v>
      </c>
      <c r="B53" s="206"/>
      <c r="C53" s="206"/>
      <c r="D53" s="206"/>
      <c r="E53" s="206"/>
    </row>
    <row r="54" spans="1:5">
      <c r="A54" s="545" t="s">
        <v>502</v>
      </c>
    </row>
    <row r="55" spans="1:5">
      <c r="A55" s="638" t="s">
        <v>626</v>
      </c>
    </row>
  </sheetData>
  <mergeCells count="3">
    <mergeCell ref="C6:D6"/>
    <mergeCell ref="B2:D2"/>
    <mergeCell ref="B3:D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sheetPr codeName="Sheet43"/>
  <dimension ref="A1:H57"/>
  <sheetViews>
    <sheetView showGridLines="0" showZeros="0" workbookViewId="0"/>
  </sheetViews>
  <sheetFormatPr defaultColWidth="15.83203125" defaultRowHeight="12"/>
  <cols>
    <col min="1" max="1" width="29" style="1" customWidth="1"/>
    <col min="2" max="2" width="14.33203125" style="1" customWidth="1"/>
    <col min="3" max="3" width="16.33203125" style="1" customWidth="1"/>
    <col min="4" max="4" width="15.1640625" style="1" customWidth="1"/>
    <col min="5" max="5" width="15" style="1" customWidth="1"/>
    <col min="6" max="6" width="15.1640625" style="1" customWidth="1"/>
    <col min="7" max="7" width="16.6640625" style="1" customWidth="1"/>
    <col min="8" max="16384" width="15.83203125" style="1"/>
  </cols>
  <sheetData>
    <row r="1" spans="1:7" ht="6.95" customHeight="1">
      <c r="A1" s="6"/>
    </row>
    <row r="2" spans="1:7" ht="15.95" customHeight="1">
      <c r="A2" s="152"/>
      <c r="B2" s="725" t="str">
        <f>"CAPITAL FUND "&amp;FALLYR&amp;"/"&amp;SPRINGYR&amp;" ACTUAL"</f>
        <v>CAPITAL FUND 2013/2014 ACTUAL</v>
      </c>
      <c r="C2" s="725"/>
      <c r="D2" s="725"/>
      <c r="E2" s="725"/>
      <c r="F2" s="725"/>
      <c r="G2" s="263" t="s">
        <v>469</v>
      </c>
    </row>
    <row r="3" spans="1:7" ht="15.95" customHeight="1">
      <c r="A3" s="697"/>
      <c r="B3" s="724" t="s">
        <v>3</v>
      </c>
      <c r="C3" s="724"/>
      <c r="D3" s="724"/>
      <c r="E3" s="724"/>
      <c r="F3" s="724"/>
      <c r="G3" s="258"/>
    </row>
    <row r="4" spans="1:7" ht="15.95" customHeight="1">
      <c r="B4" s="7"/>
      <c r="C4" s="259"/>
      <c r="D4" s="7"/>
      <c r="E4" s="7"/>
    </row>
    <row r="5" spans="1:7" ht="15.95" customHeight="1">
      <c r="B5" s="7"/>
      <c r="C5" s="7"/>
      <c r="D5" s="7"/>
      <c r="E5" s="7"/>
    </row>
    <row r="6" spans="1:7" ht="15.95" customHeight="1">
      <c r="B6" s="731" t="s">
        <v>512</v>
      </c>
      <c r="C6" s="732"/>
      <c r="D6" s="732"/>
      <c r="E6" s="732"/>
      <c r="F6" s="732"/>
      <c r="G6" s="733"/>
    </row>
    <row r="7" spans="1:7" ht="15.95" customHeight="1">
      <c r="B7" s="529"/>
      <c r="C7" s="569"/>
      <c r="D7" s="549" t="s">
        <v>507</v>
      </c>
      <c r="E7" s="549" t="s">
        <v>508</v>
      </c>
      <c r="F7" s="529"/>
      <c r="G7" s="511"/>
    </row>
    <row r="8" spans="1:7" ht="15.95" customHeight="1">
      <c r="A8" s="502"/>
      <c r="B8" s="729" t="s">
        <v>495</v>
      </c>
      <c r="C8" s="550"/>
      <c r="D8" s="550" t="s">
        <v>509</v>
      </c>
      <c r="E8" s="550" t="s">
        <v>510</v>
      </c>
      <c r="F8" s="530"/>
      <c r="G8" s="512"/>
    </row>
    <row r="9" spans="1:7" ht="15.95" customHeight="1">
      <c r="A9" s="503" t="s">
        <v>93</v>
      </c>
      <c r="B9" s="730"/>
      <c r="C9" s="531" t="s">
        <v>526</v>
      </c>
      <c r="D9" s="507" t="s">
        <v>157</v>
      </c>
      <c r="E9" s="551" t="s">
        <v>654</v>
      </c>
      <c r="F9" s="531" t="s">
        <v>655</v>
      </c>
      <c r="G9" s="344" t="s">
        <v>67</v>
      </c>
    </row>
    <row r="10" spans="1:7" ht="5.0999999999999996" customHeight="1">
      <c r="A10" s="5"/>
      <c r="B10" s="236"/>
      <c r="C10" s="236"/>
      <c r="D10" s="236"/>
      <c r="E10" s="236"/>
      <c r="F10" s="236"/>
      <c r="G10" s="236"/>
    </row>
    <row r="11" spans="1:7" ht="14.1" customHeight="1">
      <c r="A11" s="328" t="s">
        <v>235</v>
      </c>
      <c r="B11" s="329">
        <v>0</v>
      </c>
      <c r="C11" s="329">
        <v>737077</v>
      </c>
      <c r="D11" s="329">
        <v>46468</v>
      </c>
      <c r="E11" s="329">
        <v>0</v>
      </c>
      <c r="F11" s="329">
        <v>92984</v>
      </c>
      <c r="G11" s="329">
        <f>SUM(B11:F11)</f>
        <v>876529</v>
      </c>
    </row>
    <row r="12" spans="1:7" ht="14.1" customHeight="1">
      <c r="A12" s="26" t="s">
        <v>236</v>
      </c>
      <c r="B12" s="27">
        <v>0</v>
      </c>
      <c r="C12" s="27">
        <v>202772</v>
      </c>
      <c r="D12" s="27">
        <v>187339</v>
      </c>
      <c r="E12" s="27">
        <v>1162162</v>
      </c>
      <c r="F12" s="27">
        <v>756076</v>
      </c>
      <c r="G12" s="27">
        <f>SUM(B12:F12)</f>
        <v>2308349</v>
      </c>
    </row>
    <row r="13" spans="1:7" ht="14.1" customHeight="1">
      <c r="A13" s="328" t="s">
        <v>237</v>
      </c>
      <c r="B13" s="329">
        <v>0</v>
      </c>
      <c r="C13" s="329">
        <v>6272365</v>
      </c>
      <c r="D13" s="329">
        <v>189557</v>
      </c>
      <c r="E13" s="329">
        <v>0</v>
      </c>
      <c r="F13" s="329">
        <v>284922</v>
      </c>
      <c r="G13" s="329">
        <f t="shared" ref="G13:G46" si="0">SUM(B13:F13)</f>
        <v>6746844</v>
      </c>
    </row>
    <row r="14" spans="1:7" ht="14.1" customHeight="1">
      <c r="A14" s="26" t="s">
        <v>636</v>
      </c>
      <c r="B14" s="27">
        <v>257994</v>
      </c>
      <c r="C14" s="27">
        <v>6076242</v>
      </c>
      <c r="D14" s="27">
        <v>336916</v>
      </c>
      <c r="E14" s="27">
        <v>0</v>
      </c>
      <c r="F14" s="27">
        <v>29922</v>
      </c>
      <c r="G14" s="27">
        <f t="shared" si="0"/>
        <v>6701074</v>
      </c>
    </row>
    <row r="15" spans="1:7" ht="14.1" customHeight="1">
      <c r="A15" s="328" t="s">
        <v>238</v>
      </c>
      <c r="B15" s="329">
        <v>18600</v>
      </c>
      <c r="C15" s="329">
        <v>1199912</v>
      </c>
      <c r="D15" s="329">
        <v>119264</v>
      </c>
      <c r="E15" s="329">
        <v>0</v>
      </c>
      <c r="F15" s="329">
        <v>233696</v>
      </c>
      <c r="G15" s="329">
        <f t="shared" si="0"/>
        <v>1571472</v>
      </c>
    </row>
    <row r="16" spans="1:7" ht="14.1" customHeight="1">
      <c r="A16" s="26" t="s">
        <v>239</v>
      </c>
      <c r="B16" s="27">
        <v>476656</v>
      </c>
      <c r="C16" s="27">
        <v>831862</v>
      </c>
      <c r="D16" s="27">
        <v>0</v>
      </c>
      <c r="E16" s="27">
        <v>0</v>
      </c>
      <c r="F16" s="27">
        <v>0</v>
      </c>
      <c r="G16" s="27">
        <f t="shared" si="0"/>
        <v>1308518</v>
      </c>
    </row>
    <row r="17" spans="1:7" ht="14.1" customHeight="1">
      <c r="A17" s="328" t="s">
        <v>240</v>
      </c>
      <c r="B17" s="329">
        <v>0</v>
      </c>
      <c r="C17" s="329">
        <v>1167475</v>
      </c>
      <c r="D17" s="329">
        <v>16215</v>
      </c>
      <c r="E17" s="329">
        <v>0</v>
      </c>
      <c r="F17" s="329">
        <v>20000</v>
      </c>
      <c r="G17" s="329">
        <f t="shared" si="0"/>
        <v>1203690</v>
      </c>
    </row>
    <row r="18" spans="1:7" ht="14.1" customHeight="1">
      <c r="A18" s="26" t="s">
        <v>241</v>
      </c>
      <c r="B18" s="27">
        <v>0</v>
      </c>
      <c r="C18" s="27">
        <v>23216079</v>
      </c>
      <c r="D18" s="27">
        <v>186706</v>
      </c>
      <c r="E18" s="27">
        <v>0</v>
      </c>
      <c r="F18" s="27">
        <v>1018354</v>
      </c>
      <c r="G18" s="27">
        <f t="shared" si="0"/>
        <v>24421139</v>
      </c>
    </row>
    <row r="19" spans="1:7" ht="14.1" customHeight="1">
      <c r="A19" s="328" t="s">
        <v>242</v>
      </c>
      <c r="B19" s="329">
        <v>1279220</v>
      </c>
      <c r="C19" s="329">
        <v>2565339</v>
      </c>
      <c r="D19" s="329">
        <v>287414</v>
      </c>
      <c r="E19" s="329">
        <v>29675</v>
      </c>
      <c r="F19" s="329">
        <v>1469681</v>
      </c>
      <c r="G19" s="329">
        <f t="shared" si="0"/>
        <v>5631329</v>
      </c>
    </row>
    <row r="20" spans="1:7" ht="14.1" customHeight="1">
      <c r="A20" s="26" t="s">
        <v>243</v>
      </c>
      <c r="B20" s="27">
        <v>138621</v>
      </c>
      <c r="C20" s="27">
        <v>25918470</v>
      </c>
      <c r="D20" s="27">
        <v>70161</v>
      </c>
      <c r="E20" s="27">
        <v>0</v>
      </c>
      <c r="F20" s="27">
        <v>634559</v>
      </c>
      <c r="G20" s="27">
        <f t="shared" si="0"/>
        <v>26761811</v>
      </c>
    </row>
    <row r="21" spans="1:7" ht="14.1" customHeight="1">
      <c r="A21" s="328" t="s">
        <v>244</v>
      </c>
      <c r="B21" s="329">
        <v>0</v>
      </c>
      <c r="C21" s="329">
        <v>3287626</v>
      </c>
      <c r="D21" s="329">
        <v>36245</v>
      </c>
      <c r="E21" s="329">
        <v>0</v>
      </c>
      <c r="F21" s="329">
        <v>204517</v>
      </c>
      <c r="G21" s="329">
        <f t="shared" si="0"/>
        <v>3528388</v>
      </c>
    </row>
    <row r="22" spans="1:7" ht="14.1" customHeight="1">
      <c r="A22" s="26" t="s">
        <v>245</v>
      </c>
      <c r="B22" s="27">
        <v>0</v>
      </c>
      <c r="C22" s="27">
        <v>1324030</v>
      </c>
      <c r="D22" s="27">
        <v>52963</v>
      </c>
      <c r="E22" s="27">
        <v>0</v>
      </c>
      <c r="F22" s="27">
        <v>0</v>
      </c>
      <c r="G22" s="27">
        <f t="shared" si="0"/>
        <v>1376993</v>
      </c>
    </row>
    <row r="23" spans="1:7" ht="14.1" customHeight="1">
      <c r="A23" s="328" t="s">
        <v>246</v>
      </c>
      <c r="B23" s="329">
        <v>0</v>
      </c>
      <c r="C23" s="329">
        <v>29012</v>
      </c>
      <c r="D23" s="329">
        <v>259051</v>
      </c>
      <c r="E23" s="329">
        <v>0</v>
      </c>
      <c r="F23" s="329">
        <v>196893</v>
      </c>
      <c r="G23" s="329">
        <f t="shared" si="0"/>
        <v>484956</v>
      </c>
    </row>
    <row r="24" spans="1:7" ht="14.1" customHeight="1">
      <c r="A24" s="26" t="s">
        <v>247</v>
      </c>
      <c r="B24" s="27">
        <v>361956</v>
      </c>
      <c r="C24" s="27">
        <v>6754465</v>
      </c>
      <c r="D24" s="27">
        <v>223601</v>
      </c>
      <c r="E24" s="27">
        <v>110638</v>
      </c>
      <c r="F24" s="27">
        <v>553924</v>
      </c>
      <c r="G24" s="27">
        <f t="shared" si="0"/>
        <v>8004584</v>
      </c>
    </row>
    <row r="25" spans="1:7" ht="14.1" customHeight="1">
      <c r="A25" s="328" t="s">
        <v>248</v>
      </c>
      <c r="B25" s="329">
        <v>875676</v>
      </c>
      <c r="C25" s="329">
        <v>4933592</v>
      </c>
      <c r="D25" s="329">
        <v>361456</v>
      </c>
      <c r="E25" s="329">
        <v>802501</v>
      </c>
      <c r="F25" s="329">
        <v>433990</v>
      </c>
      <c r="G25" s="329">
        <f t="shared" si="0"/>
        <v>7407215</v>
      </c>
    </row>
    <row r="26" spans="1:7" ht="14.1" customHeight="1">
      <c r="A26" s="26" t="s">
        <v>249</v>
      </c>
      <c r="B26" s="27">
        <v>184978</v>
      </c>
      <c r="C26" s="27">
        <v>2810178</v>
      </c>
      <c r="D26" s="27">
        <v>79558</v>
      </c>
      <c r="E26" s="27">
        <v>104268</v>
      </c>
      <c r="F26" s="27">
        <v>409168</v>
      </c>
      <c r="G26" s="27">
        <f t="shared" si="0"/>
        <v>3588150</v>
      </c>
    </row>
    <row r="27" spans="1:7" ht="14.1" customHeight="1">
      <c r="A27" s="328" t="s">
        <v>250</v>
      </c>
      <c r="B27" s="329">
        <v>39116</v>
      </c>
      <c r="C27" s="329">
        <v>1080024</v>
      </c>
      <c r="D27" s="329">
        <v>110063</v>
      </c>
      <c r="E27" s="329">
        <v>115371</v>
      </c>
      <c r="F27" s="329">
        <v>0</v>
      </c>
      <c r="G27" s="329">
        <f t="shared" si="0"/>
        <v>1344574</v>
      </c>
    </row>
    <row r="28" spans="1:7" ht="14.1" customHeight="1">
      <c r="A28" s="26" t="s">
        <v>251</v>
      </c>
      <c r="B28" s="27">
        <v>0</v>
      </c>
      <c r="C28" s="27">
        <v>1067007</v>
      </c>
      <c r="D28" s="27">
        <v>199336</v>
      </c>
      <c r="E28" s="27">
        <v>21105</v>
      </c>
      <c r="F28" s="27">
        <v>73656</v>
      </c>
      <c r="G28" s="27">
        <f t="shared" si="0"/>
        <v>1361104</v>
      </c>
    </row>
    <row r="29" spans="1:7" ht="14.1" customHeight="1">
      <c r="A29" s="328" t="s">
        <v>252</v>
      </c>
      <c r="B29" s="329">
        <v>7849885</v>
      </c>
      <c r="C29" s="329">
        <v>8993056</v>
      </c>
      <c r="D29" s="329">
        <v>149806</v>
      </c>
      <c r="E29" s="329">
        <v>26942</v>
      </c>
      <c r="F29" s="329">
        <v>282912</v>
      </c>
      <c r="G29" s="329">
        <f t="shared" si="0"/>
        <v>17302601</v>
      </c>
    </row>
    <row r="30" spans="1:7" ht="14.1" customHeight="1">
      <c r="A30" s="26" t="s">
        <v>253</v>
      </c>
      <c r="B30" s="27">
        <v>0</v>
      </c>
      <c r="C30" s="27">
        <v>11522</v>
      </c>
      <c r="D30" s="27">
        <v>123299</v>
      </c>
      <c r="E30" s="27">
        <v>0</v>
      </c>
      <c r="F30" s="27">
        <v>386196</v>
      </c>
      <c r="G30" s="27">
        <f t="shared" si="0"/>
        <v>521017</v>
      </c>
    </row>
    <row r="31" spans="1:7" ht="14.1" customHeight="1">
      <c r="A31" s="328" t="s">
        <v>254</v>
      </c>
      <c r="B31" s="329">
        <v>0</v>
      </c>
      <c r="C31" s="329">
        <v>70626</v>
      </c>
      <c r="D31" s="329">
        <v>93474</v>
      </c>
      <c r="E31" s="329">
        <v>0</v>
      </c>
      <c r="F31" s="329">
        <v>101200</v>
      </c>
      <c r="G31" s="329">
        <f t="shared" si="0"/>
        <v>265300</v>
      </c>
    </row>
    <row r="32" spans="1:7" ht="14.1" customHeight="1">
      <c r="A32" s="26" t="s">
        <v>255</v>
      </c>
      <c r="B32" s="27">
        <v>0</v>
      </c>
      <c r="C32" s="27">
        <v>690533</v>
      </c>
      <c r="D32" s="27">
        <v>26140</v>
      </c>
      <c r="E32" s="27">
        <v>73050</v>
      </c>
      <c r="F32" s="27">
        <v>148538</v>
      </c>
      <c r="G32" s="27">
        <f t="shared" si="0"/>
        <v>938261</v>
      </c>
    </row>
    <row r="33" spans="1:8" ht="14.1" customHeight="1">
      <c r="A33" s="328" t="s">
        <v>256</v>
      </c>
      <c r="B33" s="329">
        <v>0</v>
      </c>
      <c r="C33" s="329">
        <v>1005125</v>
      </c>
      <c r="D33" s="329">
        <v>334113</v>
      </c>
      <c r="E33" s="329">
        <v>0</v>
      </c>
      <c r="F33" s="329">
        <v>460088</v>
      </c>
      <c r="G33" s="329">
        <f t="shared" si="0"/>
        <v>1799326</v>
      </c>
    </row>
    <row r="34" spans="1:8" ht="14.1" customHeight="1">
      <c r="A34" s="26" t="s">
        <v>257</v>
      </c>
      <c r="B34" s="27">
        <v>36075</v>
      </c>
      <c r="C34" s="27">
        <v>2093835</v>
      </c>
      <c r="D34" s="27">
        <v>499240</v>
      </c>
      <c r="E34" s="27">
        <v>7530</v>
      </c>
      <c r="F34" s="27">
        <v>589402</v>
      </c>
      <c r="G34" s="27">
        <f t="shared" si="0"/>
        <v>3226082</v>
      </c>
    </row>
    <row r="35" spans="1:8" ht="14.1" customHeight="1">
      <c r="A35" s="328" t="s">
        <v>258</v>
      </c>
      <c r="B35" s="329">
        <v>0</v>
      </c>
      <c r="C35" s="329">
        <v>3292150</v>
      </c>
      <c r="D35" s="329">
        <v>256236</v>
      </c>
      <c r="E35" s="329">
        <v>682943</v>
      </c>
      <c r="F35" s="329">
        <v>449132</v>
      </c>
      <c r="G35" s="329">
        <f t="shared" si="0"/>
        <v>4680461</v>
      </c>
    </row>
    <row r="36" spans="1:8" ht="14.1" customHeight="1">
      <c r="A36" s="26" t="s">
        <v>259</v>
      </c>
      <c r="B36" s="27">
        <v>0</v>
      </c>
      <c r="C36" s="27">
        <v>1825119</v>
      </c>
      <c r="D36" s="27">
        <v>17129</v>
      </c>
      <c r="E36" s="27">
        <v>14758</v>
      </c>
      <c r="F36" s="27">
        <v>386050</v>
      </c>
      <c r="G36" s="27">
        <f t="shared" si="0"/>
        <v>2243056</v>
      </c>
    </row>
    <row r="37" spans="1:8" ht="14.1" customHeight="1">
      <c r="A37" s="328" t="s">
        <v>260</v>
      </c>
      <c r="B37" s="329">
        <v>40533</v>
      </c>
      <c r="C37" s="329">
        <v>1468218</v>
      </c>
      <c r="D37" s="329">
        <v>103804</v>
      </c>
      <c r="E37" s="329">
        <v>0</v>
      </c>
      <c r="F37" s="329">
        <v>853338</v>
      </c>
      <c r="G37" s="329">
        <f t="shared" si="0"/>
        <v>2465893</v>
      </c>
    </row>
    <row r="38" spans="1:8" ht="14.1" customHeight="1">
      <c r="A38" s="26" t="s">
        <v>261</v>
      </c>
      <c r="B38" s="27">
        <v>0</v>
      </c>
      <c r="C38" s="27">
        <v>23285071</v>
      </c>
      <c r="D38" s="27">
        <v>85295</v>
      </c>
      <c r="E38" s="27">
        <v>2696291</v>
      </c>
      <c r="F38" s="27">
        <v>423086</v>
      </c>
      <c r="G38" s="27">
        <f t="shared" si="0"/>
        <v>26489743</v>
      </c>
    </row>
    <row r="39" spans="1:8" ht="14.1" customHeight="1">
      <c r="A39" s="328" t="s">
        <v>262</v>
      </c>
      <c r="B39" s="329">
        <v>0</v>
      </c>
      <c r="C39" s="329">
        <v>966924</v>
      </c>
      <c r="D39" s="329">
        <v>29510</v>
      </c>
      <c r="E39" s="329">
        <v>72463</v>
      </c>
      <c r="F39" s="329">
        <v>299005</v>
      </c>
      <c r="G39" s="329">
        <f t="shared" si="0"/>
        <v>1367902</v>
      </c>
    </row>
    <row r="40" spans="1:8" ht="14.1" customHeight="1">
      <c r="A40" s="26" t="s">
        <v>263</v>
      </c>
      <c r="B40" s="27">
        <v>848259</v>
      </c>
      <c r="C40" s="27">
        <v>3259580</v>
      </c>
      <c r="D40" s="27">
        <v>241380</v>
      </c>
      <c r="E40" s="27">
        <v>1221435</v>
      </c>
      <c r="F40" s="27">
        <v>144162</v>
      </c>
      <c r="G40" s="27">
        <f t="shared" si="0"/>
        <v>5714816</v>
      </c>
    </row>
    <row r="41" spans="1:8" ht="14.1" customHeight="1">
      <c r="A41" s="328" t="s">
        <v>264</v>
      </c>
      <c r="B41" s="329">
        <v>0</v>
      </c>
      <c r="C41" s="329">
        <v>3404283</v>
      </c>
      <c r="D41" s="329">
        <v>956871</v>
      </c>
      <c r="E41" s="329">
        <v>213069</v>
      </c>
      <c r="F41" s="329">
        <v>1188261</v>
      </c>
      <c r="G41" s="329">
        <f t="shared" si="0"/>
        <v>5762484</v>
      </c>
    </row>
    <row r="42" spans="1:8" ht="14.1" customHeight="1">
      <c r="A42" s="26" t="s">
        <v>265</v>
      </c>
      <c r="B42" s="27">
        <v>0</v>
      </c>
      <c r="C42" s="27">
        <v>3272827</v>
      </c>
      <c r="D42" s="27">
        <v>387922</v>
      </c>
      <c r="E42" s="27">
        <v>57348</v>
      </c>
      <c r="F42" s="27">
        <v>338745</v>
      </c>
      <c r="G42" s="27">
        <f t="shared" si="0"/>
        <v>4056842</v>
      </c>
    </row>
    <row r="43" spans="1:8" ht="14.1" customHeight="1">
      <c r="A43" s="328" t="s">
        <v>266</v>
      </c>
      <c r="B43" s="329">
        <v>0</v>
      </c>
      <c r="C43" s="329">
        <v>562292</v>
      </c>
      <c r="D43" s="329">
        <v>7551</v>
      </c>
      <c r="E43" s="329">
        <v>0</v>
      </c>
      <c r="F43" s="329">
        <v>243317</v>
      </c>
      <c r="G43" s="329">
        <f t="shared" si="0"/>
        <v>813160</v>
      </c>
    </row>
    <row r="44" spans="1:8" ht="14.1" customHeight="1">
      <c r="A44" s="26" t="s">
        <v>267</v>
      </c>
      <c r="B44" s="27">
        <v>0</v>
      </c>
      <c r="C44" s="27">
        <v>895260</v>
      </c>
      <c r="D44" s="27">
        <v>25852</v>
      </c>
      <c r="E44" s="27">
        <v>0</v>
      </c>
      <c r="F44" s="27">
        <v>473953</v>
      </c>
      <c r="G44" s="27">
        <f t="shared" si="0"/>
        <v>1395065</v>
      </c>
    </row>
    <row r="45" spans="1:8" ht="14.1" customHeight="1">
      <c r="A45" s="328" t="s">
        <v>268</v>
      </c>
      <c r="B45" s="329">
        <v>0</v>
      </c>
      <c r="C45" s="329">
        <v>2746685</v>
      </c>
      <c r="D45" s="329">
        <v>72765</v>
      </c>
      <c r="E45" s="329">
        <v>0</v>
      </c>
      <c r="F45" s="329">
        <v>206519</v>
      </c>
      <c r="G45" s="329">
        <f t="shared" si="0"/>
        <v>3025969</v>
      </c>
    </row>
    <row r="46" spans="1:8" ht="14.1" customHeight="1">
      <c r="A46" s="26" t="s">
        <v>269</v>
      </c>
      <c r="B46" s="27">
        <v>1707603</v>
      </c>
      <c r="C46" s="27">
        <v>18487236</v>
      </c>
      <c r="D46" s="27">
        <v>548753</v>
      </c>
      <c r="E46" s="27">
        <v>1654457</v>
      </c>
      <c r="F46" s="27">
        <v>929433</v>
      </c>
      <c r="G46" s="27">
        <f t="shared" si="0"/>
        <v>23327482</v>
      </c>
    </row>
    <row r="47" spans="1:8" ht="5.0999999999999996" customHeight="1">
      <c r="A47" s="28"/>
      <c r="B47" s="29"/>
      <c r="C47" s="29"/>
      <c r="D47" s="29"/>
      <c r="E47" s="29"/>
      <c r="F47" s="29"/>
      <c r="G47" s="29"/>
    </row>
    <row r="48" spans="1:8" ht="14.1" customHeight="1">
      <c r="A48" s="330" t="s">
        <v>270</v>
      </c>
      <c r="B48" s="331">
        <f t="shared" ref="B48:G48" si="1">SUM(B11:B46)</f>
        <v>14115172</v>
      </c>
      <c r="C48" s="331">
        <f t="shared" si="1"/>
        <v>165803869</v>
      </c>
      <c r="D48" s="331">
        <f t="shared" si="1"/>
        <v>6721453</v>
      </c>
      <c r="E48" s="331">
        <f t="shared" si="1"/>
        <v>9066006</v>
      </c>
      <c r="F48" s="331">
        <f t="shared" si="1"/>
        <v>14315679</v>
      </c>
      <c r="G48" s="331">
        <f t="shared" si="1"/>
        <v>210022179</v>
      </c>
      <c r="H48" s="652">
        <v>0</v>
      </c>
    </row>
    <row r="49" spans="1:7" ht="5.0999999999999996" customHeight="1">
      <c r="A49" s="28" t="s">
        <v>16</v>
      </c>
      <c r="B49" s="29"/>
      <c r="C49" s="29"/>
      <c r="D49" s="29"/>
      <c r="E49" s="29"/>
      <c r="F49" s="29"/>
      <c r="G49" s="29"/>
    </row>
    <row r="50" spans="1:7" ht="14.1" customHeight="1">
      <c r="A50" s="26" t="s">
        <v>271</v>
      </c>
      <c r="B50" s="27">
        <v>0</v>
      </c>
      <c r="C50" s="27">
        <v>40081</v>
      </c>
      <c r="D50" s="27">
        <v>0</v>
      </c>
      <c r="E50" s="27">
        <v>0</v>
      </c>
      <c r="F50" s="27">
        <v>0</v>
      </c>
      <c r="G50" s="27">
        <f>SUM(B50:F50)</f>
        <v>40081</v>
      </c>
    </row>
    <row r="51" spans="1:7" ht="14.1" customHeight="1">
      <c r="A51" s="328" t="s">
        <v>272</v>
      </c>
      <c r="B51" s="329">
        <v>0</v>
      </c>
      <c r="C51" s="329">
        <v>68812</v>
      </c>
      <c r="D51" s="329">
        <v>20055</v>
      </c>
      <c r="E51" s="329">
        <v>1019654</v>
      </c>
      <c r="F51" s="329">
        <v>0</v>
      </c>
      <c r="G51" s="329">
        <f>SUM(B51:F51)</f>
        <v>1108521</v>
      </c>
    </row>
    <row r="52" spans="1:7" ht="50.1" customHeight="1">
      <c r="A52" s="30"/>
      <c r="B52" s="30"/>
      <c r="C52" s="30"/>
      <c r="D52" s="30"/>
      <c r="E52" s="30"/>
      <c r="F52" s="30"/>
      <c r="G52" s="30"/>
    </row>
    <row r="53" spans="1:7" ht="15" customHeight="1">
      <c r="A53" s="515" t="s">
        <v>627</v>
      </c>
    </row>
    <row r="54" spans="1:7">
      <c r="A54" s="546" t="s">
        <v>635</v>
      </c>
    </row>
    <row r="55" spans="1:7">
      <c r="A55" s="546" t="s">
        <v>524</v>
      </c>
    </row>
    <row r="56" spans="1:7">
      <c r="A56" s="546" t="s">
        <v>628</v>
      </c>
    </row>
    <row r="57" spans="1:7">
      <c r="A57" s="639" t="s">
        <v>629</v>
      </c>
    </row>
  </sheetData>
  <mergeCells count="4">
    <mergeCell ref="B8:B9"/>
    <mergeCell ref="B2:F2"/>
    <mergeCell ref="B3:F3"/>
    <mergeCell ref="B6:G6"/>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sheetPr codeName="Sheet57">
    <pageSetUpPr fitToPage="1"/>
  </sheetPr>
  <dimension ref="A1:H55"/>
  <sheetViews>
    <sheetView showGridLines="0" showZeros="0" workbookViewId="0"/>
  </sheetViews>
  <sheetFormatPr defaultColWidth="19.83203125" defaultRowHeight="12"/>
  <cols>
    <col min="1" max="1" width="30.83203125" style="1" customWidth="1"/>
    <col min="2" max="3" width="16.83203125" style="1" customWidth="1"/>
    <col min="4" max="4" width="3.83203125" style="1" customWidth="1"/>
    <col min="5" max="5" width="18.83203125" style="1" customWidth="1"/>
    <col min="6" max="7" width="16.83203125" style="1" customWidth="1"/>
    <col min="8" max="8" width="14.33203125" style="1" customWidth="1"/>
    <col min="9" max="16384" width="19.83203125" style="1"/>
  </cols>
  <sheetData>
    <row r="1" spans="1:8" ht="6.95" customHeight="1">
      <c r="A1" s="6"/>
      <c r="B1" s="6"/>
      <c r="C1" s="6"/>
      <c r="D1" s="6"/>
    </row>
    <row r="2" spans="1:8" ht="15.95" customHeight="1">
      <c r="A2" s="734" t="str">
        <f>"SPECIAL PURPOSE FUND "&amp;VALUE('- 67 -'!F9+1)&amp;"/"&amp;VALUE('- 67 -'!F9+2)&amp;" ACTUAL"</f>
        <v>SPECIAL PURPOSE FUND 2013/2014 ACTUAL</v>
      </c>
      <c r="B2" s="734"/>
      <c r="C2" s="734"/>
      <c r="D2" s="734"/>
      <c r="E2" s="734"/>
      <c r="F2" s="567" t="s">
        <v>198</v>
      </c>
      <c r="G2" s="563"/>
      <c r="H2" s="563"/>
    </row>
    <row r="3" spans="1:8" ht="15.95" customHeight="1">
      <c r="A3" s="724" t="s">
        <v>746</v>
      </c>
      <c r="B3" s="724"/>
      <c r="C3" s="724"/>
      <c r="D3" s="724"/>
      <c r="E3" s="724"/>
      <c r="F3" s="724"/>
      <c r="G3" s="724"/>
      <c r="H3" s="724"/>
    </row>
    <row r="4" spans="1:8" ht="15.95" customHeight="1">
      <c r="E4" s="7"/>
      <c r="F4" s="7"/>
      <c r="G4" s="7"/>
    </row>
    <row r="5" spans="1:8" ht="15.95" customHeight="1">
      <c r="B5"/>
      <c r="C5"/>
      <c r="D5"/>
      <c r="E5"/>
      <c r="F5"/>
      <c r="G5"/>
      <c r="H5"/>
    </row>
    <row r="6" spans="1:8" ht="15.95" customHeight="1">
      <c r="B6" s="543"/>
      <c r="C6" s="543"/>
      <c r="D6"/>
      <c r="E6" s="520" t="s">
        <v>463</v>
      </c>
      <c r="F6" s="727" t="s">
        <v>484</v>
      </c>
      <c r="G6" s="728"/>
    </row>
    <row r="7" spans="1:8" ht="15.95" customHeight="1">
      <c r="B7" s="508"/>
      <c r="C7" s="508"/>
      <c r="D7"/>
      <c r="E7" s="521" t="s">
        <v>462</v>
      </c>
      <c r="F7" s="508" t="s">
        <v>140</v>
      </c>
      <c r="G7" s="508"/>
    </row>
    <row r="8" spans="1:8" ht="15.95" customHeight="1">
      <c r="A8" s="502"/>
      <c r="B8" s="540" t="s">
        <v>67</v>
      </c>
      <c r="C8" s="540" t="s">
        <v>67</v>
      </c>
      <c r="D8"/>
      <c r="E8" s="521" t="s">
        <v>464</v>
      </c>
      <c r="F8" s="508" t="s">
        <v>487</v>
      </c>
      <c r="G8" s="508" t="s">
        <v>57</v>
      </c>
    </row>
    <row r="9" spans="1:8" ht="15.95" customHeight="1">
      <c r="A9" s="503" t="s">
        <v>93</v>
      </c>
      <c r="B9" s="542" t="s">
        <v>276</v>
      </c>
      <c r="C9" s="541" t="s">
        <v>139</v>
      </c>
      <c r="D9"/>
      <c r="E9" s="522" t="s">
        <v>465</v>
      </c>
      <c r="F9" s="509" t="s">
        <v>488</v>
      </c>
      <c r="G9" s="518" t="s">
        <v>488</v>
      </c>
    </row>
    <row r="10" spans="1:8" ht="5.0999999999999996" customHeight="1">
      <c r="A10" s="5"/>
      <c r="B10" s="236"/>
      <c r="C10" s="236"/>
      <c r="D10"/>
      <c r="E10" s="6"/>
      <c r="F10" s="236"/>
    </row>
    <row r="11" spans="1:8" ht="14.1" customHeight="1">
      <c r="A11" s="328" t="s">
        <v>235</v>
      </c>
      <c r="B11" s="329">
        <v>330849</v>
      </c>
      <c r="C11" s="329">
        <v>337764</v>
      </c>
      <c r="D11"/>
      <c r="E11" s="525">
        <v>253926</v>
      </c>
      <c r="F11" s="523">
        <v>253926</v>
      </c>
      <c r="G11" s="329">
        <v>0</v>
      </c>
    </row>
    <row r="12" spans="1:8" ht="14.1" customHeight="1">
      <c r="A12" s="26" t="s">
        <v>236</v>
      </c>
      <c r="B12" s="27">
        <v>276002</v>
      </c>
      <c r="C12" s="27">
        <v>288551</v>
      </c>
      <c r="D12"/>
      <c r="E12" s="526">
        <v>292012</v>
      </c>
      <c r="F12" s="524">
        <v>292012</v>
      </c>
      <c r="G12" s="27">
        <v>0</v>
      </c>
    </row>
    <row r="13" spans="1:8" ht="14.1" customHeight="1">
      <c r="A13" s="328" t="s">
        <v>237</v>
      </c>
      <c r="B13" s="329">
        <v>2569650</v>
      </c>
      <c r="C13" s="329">
        <v>2851127</v>
      </c>
      <c r="D13"/>
      <c r="E13" s="525">
        <v>1704419</v>
      </c>
      <c r="F13" s="523">
        <v>675873</v>
      </c>
      <c r="G13" s="329">
        <v>1028546</v>
      </c>
    </row>
    <row r="14" spans="1:8" ht="14.1" customHeight="1">
      <c r="A14" s="26" t="s">
        <v>636</v>
      </c>
      <c r="B14" s="27">
        <v>1562895</v>
      </c>
      <c r="C14" s="27">
        <v>1594439</v>
      </c>
      <c r="D14"/>
      <c r="E14" s="526">
        <v>716102</v>
      </c>
      <c r="F14" s="524">
        <v>628100</v>
      </c>
      <c r="G14" s="27">
        <v>88002</v>
      </c>
    </row>
    <row r="15" spans="1:8" ht="14.1" customHeight="1">
      <c r="A15" s="328" t="s">
        <v>238</v>
      </c>
      <c r="B15" s="329">
        <v>393055</v>
      </c>
      <c r="C15" s="329">
        <v>392951</v>
      </c>
      <c r="D15"/>
      <c r="E15" s="525">
        <v>321372</v>
      </c>
      <c r="F15" s="523">
        <v>142362</v>
      </c>
      <c r="G15" s="329">
        <v>179010</v>
      </c>
    </row>
    <row r="16" spans="1:8" ht="14.1" customHeight="1">
      <c r="A16" s="26" t="s">
        <v>239</v>
      </c>
      <c r="B16" s="27">
        <v>231792</v>
      </c>
      <c r="C16" s="27">
        <v>246831</v>
      </c>
      <c r="D16"/>
      <c r="E16" s="526">
        <v>28089</v>
      </c>
      <c r="F16" s="524">
        <v>28089</v>
      </c>
      <c r="G16" s="27">
        <v>0</v>
      </c>
    </row>
    <row r="17" spans="1:7" ht="14.1" customHeight="1">
      <c r="A17" s="328" t="s">
        <v>240</v>
      </c>
      <c r="B17" s="329">
        <v>681364</v>
      </c>
      <c r="C17" s="329">
        <v>688715</v>
      </c>
      <c r="D17"/>
      <c r="E17" s="525">
        <v>415555</v>
      </c>
      <c r="F17" s="523">
        <v>315067</v>
      </c>
      <c r="G17" s="329">
        <v>100488</v>
      </c>
    </row>
    <row r="18" spans="1:7" ht="14.1" customHeight="1">
      <c r="A18" s="26" t="s">
        <v>241</v>
      </c>
      <c r="B18" s="27">
        <v>1148867</v>
      </c>
      <c r="C18" s="27">
        <v>1106422</v>
      </c>
      <c r="D18"/>
      <c r="E18" s="526">
        <v>70077</v>
      </c>
      <c r="F18" s="524">
        <v>70077</v>
      </c>
      <c r="G18" s="27">
        <v>0</v>
      </c>
    </row>
    <row r="19" spans="1:7" ht="14.1" customHeight="1">
      <c r="A19" s="328" t="s">
        <v>242</v>
      </c>
      <c r="B19" s="329">
        <v>122684</v>
      </c>
      <c r="C19" s="329">
        <v>176285</v>
      </c>
      <c r="D19"/>
      <c r="E19" s="525">
        <v>107581</v>
      </c>
      <c r="F19" s="523">
        <v>107581</v>
      </c>
      <c r="G19" s="329">
        <v>0</v>
      </c>
    </row>
    <row r="20" spans="1:7" ht="14.1" customHeight="1">
      <c r="A20" s="26" t="s">
        <v>243</v>
      </c>
      <c r="B20" s="27">
        <v>1897563</v>
      </c>
      <c r="C20" s="27">
        <v>1963075</v>
      </c>
      <c r="D20"/>
      <c r="E20" s="526">
        <v>433241</v>
      </c>
      <c r="F20" s="524">
        <v>433241</v>
      </c>
      <c r="G20" s="27">
        <v>0</v>
      </c>
    </row>
    <row r="21" spans="1:7" ht="14.1" customHeight="1">
      <c r="A21" s="328" t="s">
        <v>244</v>
      </c>
      <c r="B21" s="329">
        <v>487406</v>
      </c>
      <c r="C21" s="329">
        <v>517399</v>
      </c>
      <c r="D21"/>
      <c r="E21" s="525">
        <v>113815</v>
      </c>
      <c r="F21" s="523">
        <v>113815</v>
      </c>
      <c r="G21" s="329">
        <v>0</v>
      </c>
    </row>
    <row r="22" spans="1:7" ht="14.1" customHeight="1">
      <c r="A22" s="26" t="s">
        <v>245</v>
      </c>
      <c r="B22" s="27">
        <v>429145</v>
      </c>
      <c r="C22" s="27">
        <v>431426</v>
      </c>
      <c r="D22"/>
      <c r="E22" s="526">
        <v>253083</v>
      </c>
      <c r="F22" s="524">
        <v>253083</v>
      </c>
      <c r="G22" s="27">
        <v>0</v>
      </c>
    </row>
    <row r="23" spans="1:7" ht="14.1" customHeight="1">
      <c r="A23" s="328" t="s">
        <v>246</v>
      </c>
      <c r="B23" s="329">
        <v>393489</v>
      </c>
      <c r="C23" s="329">
        <v>375655</v>
      </c>
      <c r="D23"/>
      <c r="E23" s="525">
        <v>174202</v>
      </c>
      <c r="F23" s="523">
        <v>153702</v>
      </c>
      <c r="G23" s="329">
        <v>20500</v>
      </c>
    </row>
    <row r="24" spans="1:7" ht="14.1" customHeight="1">
      <c r="A24" s="26" t="s">
        <v>247</v>
      </c>
      <c r="B24" s="27">
        <v>1154521</v>
      </c>
      <c r="C24" s="27">
        <v>1135945</v>
      </c>
      <c r="D24"/>
      <c r="E24" s="526">
        <v>355859</v>
      </c>
      <c r="F24" s="524">
        <v>355859</v>
      </c>
      <c r="G24" s="27">
        <v>0</v>
      </c>
    </row>
    <row r="25" spans="1:7" ht="14.1" customHeight="1">
      <c r="A25" s="328" t="s">
        <v>248</v>
      </c>
      <c r="B25" s="329">
        <v>2486538</v>
      </c>
      <c r="C25" s="329">
        <v>2358068</v>
      </c>
      <c r="D25"/>
      <c r="E25" s="525">
        <v>875475</v>
      </c>
      <c r="F25" s="523">
        <v>875475</v>
      </c>
      <c r="G25" s="329">
        <v>0</v>
      </c>
    </row>
    <row r="26" spans="1:7" ht="14.1" customHeight="1">
      <c r="A26" s="26" t="s">
        <v>249</v>
      </c>
      <c r="B26" s="27">
        <v>782066</v>
      </c>
      <c r="C26" s="27">
        <v>783018</v>
      </c>
      <c r="D26"/>
      <c r="E26" s="526">
        <v>372839</v>
      </c>
      <c r="F26" s="524">
        <v>372839</v>
      </c>
      <c r="G26" s="27">
        <v>0</v>
      </c>
    </row>
    <row r="27" spans="1:7" ht="14.1" customHeight="1">
      <c r="A27" s="328" t="s">
        <v>250</v>
      </c>
      <c r="B27" s="329">
        <v>276953</v>
      </c>
      <c r="C27" s="329">
        <v>281197</v>
      </c>
      <c r="D27"/>
      <c r="E27" s="525">
        <v>109430</v>
      </c>
      <c r="F27" s="523">
        <v>109430</v>
      </c>
      <c r="G27" s="329">
        <v>0</v>
      </c>
    </row>
    <row r="28" spans="1:7" ht="14.1" customHeight="1">
      <c r="A28" s="26" t="s">
        <v>251</v>
      </c>
      <c r="B28" s="27">
        <v>1163202</v>
      </c>
      <c r="C28" s="27">
        <v>1156294</v>
      </c>
      <c r="D28"/>
      <c r="E28" s="526">
        <v>261765</v>
      </c>
      <c r="F28" s="524">
        <v>261765</v>
      </c>
      <c r="G28" s="27">
        <v>0</v>
      </c>
    </row>
    <row r="29" spans="1:7" ht="14.1" customHeight="1">
      <c r="A29" s="328" t="s">
        <v>252</v>
      </c>
      <c r="B29" s="329">
        <v>1373828</v>
      </c>
      <c r="C29" s="329">
        <v>1350237</v>
      </c>
      <c r="D29"/>
      <c r="E29" s="525">
        <v>595025</v>
      </c>
      <c r="F29" s="523">
        <v>595025</v>
      </c>
      <c r="G29" s="329">
        <v>0</v>
      </c>
    </row>
    <row r="30" spans="1:7" ht="14.1" customHeight="1">
      <c r="A30" s="26" t="s">
        <v>253</v>
      </c>
      <c r="B30" s="27">
        <v>342882</v>
      </c>
      <c r="C30" s="27">
        <v>295196</v>
      </c>
      <c r="D30"/>
      <c r="E30" s="526">
        <v>63414</v>
      </c>
      <c r="F30" s="524">
        <v>63414</v>
      </c>
      <c r="G30" s="27">
        <v>0</v>
      </c>
    </row>
    <row r="31" spans="1:7" ht="14.1" customHeight="1">
      <c r="A31" s="328" t="s">
        <v>254</v>
      </c>
      <c r="B31" s="329">
        <v>1473708</v>
      </c>
      <c r="C31" s="329">
        <v>1513599</v>
      </c>
      <c r="D31"/>
      <c r="E31" s="525">
        <v>334374</v>
      </c>
      <c r="F31" s="523">
        <v>334374</v>
      </c>
      <c r="G31" s="329">
        <v>0</v>
      </c>
    </row>
    <row r="32" spans="1:7" ht="14.1" customHeight="1">
      <c r="A32" s="26" t="s">
        <v>255</v>
      </c>
      <c r="B32" s="27">
        <v>742051</v>
      </c>
      <c r="C32" s="27">
        <v>567019</v>
      </c>
      <c r="D32"/>
      <c r="E32" s="526">
        <v>168896</v>
      </c>
      <c r="F32" s="524">
        <v>119714</v>
      </c>
      <c r="G32" s="27">
        <v>49182</v>
      </c>
    </row>
    <row r="33" spans="1:7" ht="14.1" customHeight="1">
      <c r="A33" s="328" t="s">
        <v>256</v>
      </c>
      <c r="B33" s="329">
        <v>661575</v>
      </c>
      <c r="C33" s="329">
        <v>645912</v>
      </c>
      <c r="D33"/>
      <c r="E33" s="525">
        <v>154813</v>
      </c>
      <c r="F33" s="523">
        <v>154813</v>
      </c>
      <c r="G33" s="329">
        <v>0</v>
      </c>
    </row>
    <row r="34" spans="1:7" ht="14.1" customHeight="1">
      <c r="A34" s="26" t="s">
        <v>257</v>
      </c>
      <c r="B34" s="27">
        <v>570075</v>
      </c>
      <c r="C34" s="27">
        <v>581663</v>
      </c>
      <c r="D34"/>
      <c r="E34" s="526">
        <v>170446</v>
      </c>
      <c r="F34" s="524">
        <v>170446</v>
      </c>
      <c r="G34" s="27">
        <v>0</v>
      </c>
    </row>
    <row r="35" spans="1:7" ht="14.1" customHeight="1">
      <c r="A35" s="328" t="s">
        <v>258</v>
      </c>
      <c r="B35" s="329">
        <v>753462</v>
      </c>
      <c r="C35" s="329">
        <v>696629</v>
      </c>
      <c r="D35"/>
      <c r="E35" s="525">
        <v>339033</v>
      </c>
      <c r="F35" s="523">
        <v>339033</v>
      </c>
      <c r="G35" s="329">
        <v>0</v>
      </c>
    </row>
    <row r="36" spans="1:7" ht="14.1" customHeight="1">
      <c r="A36" s="26" t="s">
        <v>259</v>
      </c>
      <c r="B36" s="27">
        <v>567527</v>
      </c>
      <c r="C36" s="27">
        <v>594268</v>
      </c>
      <c r="D36"/>
      <c r="E36" s="526">
        <v>191653</v>
      </c>
      <c r="F36" s="524">
        <v>191653</v>
      </c>
      <c r="G36" s="27">
        <v>0</v>
      </c>
    </row>
    <row r="37" spans="1:7" ht="14.1" customHeight="1">
      <c r="A37" s="328" t="s">
        <v>260</v>
      </c>
      <c r="B37" s="329">
        <v>1035045</v>
      </c>
      <c r="C37" s="329">
        <v>1035646</v>
      </c>
      <c r="D37"/>
      <c r="E37" s="525">
        <v>289661</v>
      </c>
      <c r="F37" s="523">
        <v>289661</v>
      </c>
      <c r="G37" s="329">
        <v>0</v>
      </c>
    </row>
    <row r="38" spans="1:7" ht="14.1" customHeight="1">
      <c r="A38" s="26" t="s">
        <v>261</v>
      </c>
      <c r="B38" s="27">
        <v>115649</v>
      </c>
      <c r="C38" s="27">
        <v>118196</v>
      </c>
      <c r="D38"/>
      <c r="E38" s="526">
        <v>171232</v>
      </c>
      <c r="F38" s="524">
        <v>171232</v>
      </c>
      <c r="G38" s="27">
        <v>0</v>
      </c>
    </row>
    <row r="39" spans="1:7" ht="14.1" customHeight="1">
      <c r="A39" s="328" t="s">
        <v>262</v>
      </c>
      <c r="B39" s="329">
        <v>472452</v>
      </c>
      <c r="C39" s="329">
        <v>468886</v>
      </c>
      <c r="D39"/>
      <c r="E39" s="525">
        <v>182536</v>
      </c>
      <c r="F39" s="523">
        <v>182536</v>
      </c>
      <c r="G39" s="329">
        <v>0</v>
      </c>
    </row>
    <row r="40" spans="1:7" ht="14.1" customHeight="1">
      <c r="A40" s="26" t="s">
        <v>263</v>
      </c>
      <c r="B40" s="27">
        <v>719086</v>
      </c>
      <c r="C40" s="27">
        <v>778572</v>
      </c>
      <c r="D40"/>
      <c r="E40" s="526">
        <v>334715</v>
      </c>
      <c r="F40" s="524">
        <v>334715</v>
      </c>
      <c r="G40" s="27">
        <v>0</v>
      </c>
    </row>
    <row r="41" spans="1:7" ht="14.1" customHeight="1">
      <c r="A41" s="328" t="s">
        <v>264</v>
      </c>
      <c r="B41" s="329">
        <v>898478</v>
      </c>
      <c r="C41" s="329">
        <v>1146097</v>
      </c>
      <c r="D41"/>
      <c r="E41" s="525">
        <v>512790</v>
      </c>
      <c r="F41" s="523">
        <v>472302</v>
      </c>
      <c r="G41" s="329">
        <v>40488</v>
      </c>
    </row>
    <row r="42" spans="1:7" ht="14.1" customHeight="1">
      <c r="A42" s="26" t="s">
        <v>265</v>
      </c>
      <c r="B42" s="27">
        <v>634923</v>
      </c>
      <c r="C42" s="27">
        <v>655486</v>
      </c>
      <c r="D42"/>
      <c r="E42" s="526">
        <v>128767</v>
      </c>
      <c r="F42" s="524">
        <v>128767</v>
      </c>
      <c r="G42" s="27">
        <v>0</v>
      </c>
    </row>
    <row r="43" spans="1:7" ht="14.1" customHeight="1">
      <c r="A43" s="328" t="s">
        <v>266</v>
      </c>
      <c r="B43" s="329">
        <v>362785</v>
      </c>
      <c r="C43" s="329">
        <v>366797</v>
      </c>
      <c r="D43"/>
      <c r="E43" s="525">
        <v>121854</v>
      </c>
      <c r="F43" s="523">
        <v>121854</v>
      </c>
      <c r="G43" s="329">
        <v>0</v>
      </c>
    </row>
    <row r="44" spans="1:7" ht="14.1" customHeight="1">
      <c r="A44" s="26" t="s">
        <v>267</v>
      </c>
      <c r="B44" s="27">
        <v>361559</v>
      </c>
      <c r="C44" s="27">
        <v>342511</v>
      </c>
      <c r="D44"/>
      <c r="E44" s="526">
        <v>88622</v>
      </c>
      <c r="F44" s="524">
        <v>88622</v>
      </c>
      <c r="G44" s="27">
        <v>0</v>
      </c>
    </row>
    <row r="45" spans="1:7" ht="14.1" customHeight="1">
      <c r="A45" s="328" t="s">
        <v>268</v>
      </c>
      <c r="B45" s="329">
        <v>103624</v>
      </c>
      <c r="C45" s="329">
        <v>114246</v>
      </c>
      <c r="D45"/>
      <c r="E45" s="525">
        <v>21225</v>
      </c>
      <c r="F45" s="523">
        <v>21225</v>
      </c>
      <c r="G45" s="329">
        <v>0</v>
      </c>
    </row>
    <row r="46" spans="1:7" ht="14.1" customHeight="1">
      <c r="A46" s="26" t="s">
        <v>269</v>
      </c>
      <c r="B46" s="27">
        <v>1237172</v>
      </c>
      <c r="C46" s="27">
        <v>1889319</v>
      </c>
      <c r="D46"/>
      <c r="E46" s="526">
        <v>3693447</v>
      </c>
      <c r="F46" s="524">
        <v>79801</v>
      </c>
      <c r="G46" s="27">
        <v>3613646</v>
      </c>
    </row>
    <row r="47" spans="1:7" ht="5.0999999999999996" customHeight="1">
      <c r="A47" s="28"/>
      <c r="B47" s="29"/>
      <c r="C47" s="29"/>
      <c r="D47"/>
      <c r="E47" s="29"/>
      <c r="F47" s="29"/>
      <c r="G47" s="29"/>
    </row>
    <row r="48" spans="1:7" ht="14.1" customHeight="1">
      <c r="A48" s="330" t="s">
        <v>270</v>
      </c>
      <c r="B48" s="331">
        <f t="shared" ref="B48:G48" si="0">SUM(B11:B46)</f>
        <v>28813922</v>
      </c>
      <c r="C48" s="331">
        <f t="shared" si="0"/>
        <v>29845441</v>
      </c>
      <c r="D48"/>
      <c r="E48" s="528">
        <f t="shared" si="0"/>
        <v>14421345</v>
      </c>
      <c r="F48" s="527">
        <f t="shared" si="0"/>
        <v>9301483</v>
      </c>
      <c r="G48" s="331">
        <f t="shared" si="0"/>
        <v>5119862</v>
      </c>
    </row>
    <row r="49" spans="1:8" ht="5.0999999999999996" customHeight="1">
      <c r="A49" s="28" t="s">
        <v>16</v>
      </c>
      <c r="B49" s="29"/>
      <c r="C49" s="29"/>
      <c r="D49"/>
      <c r="E49" s="29"/>
      <c r="F49" s="29"/>
      <c r="G49" s="29"/>
    </row>
    <row r="50" spans="1:8" ht="14.1" customHeight="1">
      <c r="A50" s="26" t="s">
        <v>271</v>
      </c>
      <c r="B50" s="27">
        <v>78160</v>
      </c>
      <c r="C50" s="27">
        <v>67625</v>
      </c>
      <c r="D50"/>
      <c r="E50" s="526">
        <v>20829</v>
      </c>
      <c r="F50" s="524">
        <v>20829</v>
      </c>
      <c r="G50" s="27">
        <v>0</v>
      </c>
    </row>
    <row r="51" spans="1:8" ht="14.1" customHeight="1">
      <c r="A51" s="328" t="s">
        <v>272</v>
      </c>
      <c r="B51" s="329">
        <v>7620</v>
      </c>
      <c r="C51" s="329">
        <v>8801</v>
      </c>
      <c r="D51"/>
      <c r="E51" s="525">
        <v>6483</v>
      </c>
      <c r="F51" s="523">
        <v>0</v>
      </c>
      <c r="G51" s="329">
        <v>6483</v>
      </c>
    </row>
    <row r="52" spans="1:8" ht="50.1" customHeight="1">
      <c r="A52" s="30"/>
      <c r="B52" s="30"/>
      <c r="C52" s="30"/>
      <c r="D52" s="640"/>
      <c r="E52" s="30"/>
      <c r="F52" s="640"/>
      <c r="G52" s="30"/>
      <c r="H52" s="30"/>
    </row>
    <row r="53" spans="1:8" ht="15" customHeight="1">
      <c r="A53" s="545" t="s">
        <v>669</v>
      </c>
      <c r="B53" s="206"/>
      <c r="C53" s="206"/>
      <c r="D53" s="206"/>
      <c r="E53" s="206"/>
      <c r="F53" s="206"/>
      <c r="G53" s="206"/>
    </row>
    <row r="54" spans="1:8">
      <c r="A54" s="545" t="s">
        <v>668</v>
      </c>
    </row>
    <row r="55" spans="1:8">
      <c r="A55" s="545" t="s">
        <v>670</v>
      </c>
    </row>
  </sheetData>
  <mergeCells count="3">
    <mergeCell ref="F6:G6"/>
    <mergeCell ref="A3:H3"/>
    <mergeCell ref="A2:E2"/>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sheetPr codeName="Sheet58">
    <pageSetUpPr fitToPage="1"/>
  </sheetPr>
  <dimension ref="A1:E56"/>
  <sheetViews>
    <sheetView showGridLines="0" showZeros="0" workbookViewId="0"/>
  </sheetViews>
  <sheetFormatPr defaultColWidth="19.83203125" defaultRowHeight="12"/>
  <cols>
    <col min="1" max="1" width="31.33203125" style="1" customWidth="1"/>
    <col min="2" max="2" width="22.1640625" style="1" customWidth="1"/>
    <col min="3" max="3" width="32.1640625" style="1" customWidth="1"/>
    <col min="4" max="4" width="24.6640625" style="1" customWidth="1"/>
    <col min="5" max="5" width="22.83203125" style="1" customWidth="1"/>
    <col min="6" max="16384" width="19.83203125" style="1"/>
  </cols>
  <sheetData>
    <row r="1" spans="1:5" ht="6.95" customHeight="1">
      <c r="A1" s="6"/>
      <c r="B1" s="6"/>
    </row>
    <row r="2" spans="1:5" ht="15.95" customHeight="1">
      <c r="A2" s="725" t="str">
        <f>+'- 50 -'!A2:E2</f>
        <v>SPECIAL PURPOSE FUND 2013/2014 ACTUAL</v>
      </c>
      <c r="B2" s="725"/>
      <c r="C2" s="725"/>
      <c r="D2" s="725"/>
      <c r="E2" s="725"/>
    </row>
    <row r="3" spans="1:5" ht="15.95" customHeight="1">
      <c r="A3" s="726" t="s">
        <v>671</v>
      </c>
      <c r="B3" s="726"/>
      <c r="C3" s="726"/>
      <c r="D3" s="726"/>
      <c r="E3" s="726"/>
    </row>
    <row r="4" spans="1:5" ht="15.95" customHeight="1">
      <c r="B4" s="7"/>
      <c r="C4" s="7"/>
      <c r="D4" s="7"/>
      <c r="E4" s="206"/>
    </row>
    <row r="5" spans="1:5" ht="15.95" customHeight="1">
      <c r="B5"/>
      <c r="C5"/>
      <c r="D5"/>
      <c r="E5"/>
    </row>
    <row r="6" spans="1:5" ht="15.95" customHeight="1">
      <c r="B6"/>
      <c r="C6"/>
      <c r="D6"/>
    </row>
    <row r="7" spans="1:5" ht="15.95" customHeight="1">
      <c r="B7" s="644"/>
      <c r="C7" s="727" t="s">
        <v>484</v>
      </c>
      <c r="D7" s="728"/>
    </row>
    <row r="8" spans="1:5" ht="15.95" customHeight="1">
      <c r="A8" s="502"/>
      <c r="B8" s="645" t="s">
        <v>672</v>
      </c>
      <c r="C8" s="646" t="s">
        <v>671</v>
      </c>
      <c r="D8" s="647" t="s">
        <v>673</v>
      </c>
    </row>
    <row r="9" spans="1:5" ht="15.95" customHeight="1">
      <c r="A9" s="503" t="s">
        <v>93</v>
      </c>
      <c r="B9" s="648" t="s">
        <v>674</v>
      </c>
      <c r="C9" s="649" t="s">
        <v>675</v>
      </c>
      <c r="D9" s="650" t="s">
        <v>676</v>
      </c>
    </row>
    <row r="10" spans="1:5" ht="5.0999999999999996" customHeight="1">
      <c r="A10" s="5"/>
      <c r="C10" s="6"/>
      <c r="D10" s="236"/>
    </row>
    <row r="11" spans="1:5" ht="14.1" customHeight="1">
      <c r="A11" s="328" t="s">
        <v>235</v>
      </c>
      <c r="B11" s="525">
        <f t="shared" ref="B11:B46" si="0">C11+D11</f>
        <v>361653</v>
      </c>
      <c r="C11" s="523">
        <f>+'- 50 -'!F11</f>
        <v>253926</v>
      </c>
      <c r="D11" s="523">
        <v>107727</v>
      </c>
    </row>
    <row r="12" spans="1:5" ht="14.1" customHeight="1">
      <c r="A12" s="26" t="s">
        <v>236</v>
      </c>
      <c r="B12" s="526">
        <f t="shared" si="0"/>
        <v>1582665</v>
      </c>
      <c r="C12" s="524">
        <f>+'- 50 -'!F12</f>
        <v>292012</v>
      </c>
      <c r="D12" s="524">
        <v>1290653</v>
      </c>
    </row>
    <row r="13" spans="1:5" ht="14.1" customHeight="1">
      <c r="A13" s="328" t="s">
        <v>237</v>
      </c>
      <c r="B13" s="525">
        <f t="shared" si="0"/>
        <v>1208071</v>
      </c>
      <c r="C13" s="523">
        <f>+'- 50 -'!F13</f>
        <v>675873</v>
      </c>
      <c r="D13" s="523">
        <v>532198</v>
      </c>
    </row>
    <row r="14" spans="1:5" ht="14.1" customHeight="1">
      <c r="A14" s="26" t="s">
        <v>273</v>
      </c>
      <c r="B14" s="526">
        <f t="shared" si="0"/>
        <v>2352826</v>
      </c>
      <c r="C14" s="524">
        <f>+'- 50 -'!F14</f>
        <v>628100</v>
      </c>
      <c r="D14" s="524">
        <v>1724726</v>
      </c>
    </row>
    <row r="15" spans="1:5" ht="14.1" customHeight="1">
      <c r="A15" s="328" t="s">
        <v>238</v>
      </c>
      <c r="B15" s="525">
        <f t="shared" si="0"/>
        <v>1093155</v>
      </c>
      <c r="C15" s="523">
        <f>+'- 50 -'!F15</f>
        <v>142362</v>
      </c>
      <c r="D15" s="523">
        <v>950793</v>
      </c>
    </row>
    <row r="16" spans="1:5" ht="14.1" customHeight="1">
      <c r="A16" s="26" t="s">
        <v>239</v>
      </c>
      <c r="B16" s="526">
        <f t="shared" si="0"/>
        <v>66570</v>
      </c>
      <c r="C16" s="524">
        <f>+'- 50 -'!F16</f>
        <v>28089</v>
      </c>
      <c r="D16" s="524">
        <v>38481</v>
      </c>
    </row>
    <row r="17" spans="1:4" ht="14.1" customHeight="1">
      <c r="A17" s="328" t="s">
        <v>240</v>
      </c>
      <c r="B17" s="525">
        <f t="shared" si="0"/>
        <v>562140</v>
      </c>
      <c r="C17" s="523">
        <f>+'- 50 -'!F17</f>
        <v>315067</v>
      </c>
      <c r="D17" s="523">
        <v>247073</v>
      </c>
    </row>
    <row r="18" spans="1:4" ht="14.1" customHeight="1">
      <c r="A18" s="26" t="s">
        <v>241</v>
      </c>
      <c r="B18" s="526">
        <f t="shared" si="0"/>
        <v>70077</v>
      </c>
      <c r="C18" s="524">
        <f>+'- 50 -'!F18</f>
        <v>70077</v>
      </c>
      <c r="D18" s="524">
        <v>0</v>
      </c>
    </row>
    <row r="19" spans="1:4" ht="14.1" customHeight="1">
      <c r="A19" s="328" t="s">
        <v>242</v>
      </c>
      <c r="B19" s="525">
        <f t="shared" si="0"/>
        <v>358298</v>
      </c>
      <c r="C19" s="523">
        <f>+'- 50 -'!F19</f>
        <v>107581</v>
      </c>
      <c r="D19" s="523">
        <v>250717</v>
      </c>
    </row>
    <row r="20" spans="1:4" ht="14.1" customHeight="1">
      <c r="A20" s="26" t="s">
        <v>243</v>
      </c>
      <c r="B20" s="526">
        <f t="shared" si="0"/>
        <v>433241</v>
      </c>
      <c r="C20" s="524">
        <f>+'- 50 -'!F20</f>
        <v>433241</v>
      </c>
      <c r="D20" s="524">
        <v>0</v>
      </c>
    </row>
    <row r="21" spans="1:4" ht="14.1" customHeight="1">
      <c r="A21" s="328" t="s">
        <v>244</v>
      </c>
      <c r="B21" s="525">
        <f t="shared" si="0"/>
        <v>113815</v>
      </c>
      <c r="C21" s="523">
        <f>+'- 50 -'!F21</f>
        <v>113815</v>
      </c>
      <c r="D21" s="523">
        <v>0</v>
      </c>
    </row>
    <row r="22" spans="1:4" ht="14.1" customHeight="1">
      <c r="A22" s="26" t="s">
        <v>245</v>
      </c>
      <c r="B22" s="526">
        <f t="shared" si="0"/>
        <v>253083</v>
      </c>
      <c r="C22" s="524">
        <f>+'- 50 -'!F22</f>
        <v>253083</v>
      </c>
      <c r="D22" s="524">
        <v>0</v>
      </c>
    </row>
    <row r="23" spans="1:4" ht="14.1" customHeight="1">
      <c r="A23" s="328" t="s">
        <v>246</v>
      </c>
      <c r="B23" s="525">
        <f t="shared" si="0"/>
        <v>153702</v>
      </c>
      <c r="C23" s="523">
        <f>+'- 50 -'!F23</f>
        <v>153702</v>
      </c>
      <c r="D23" s="523">
        <v>0</v>
      </c>
    </row>
    <row r="24" spans="1:4" ht="14.1" customHeight="1">
      <c r="A24" s="26" t="s">
        <v>247</v>
      </c>
      <c r="B24" s="526">
        <f t="shared" si="0"/>
        <v>1691484</v>
      </c>
      <c r="C24" s="524">
        <f>+'- 50 -'!F24</f>
        <v>355859</v>
      </c>
      <c r="D24" s="524">
        <v>1335625</v>
      </c>
    </row>
    <row r="25" spans="1:4" ht="14.1" customHeight="1">
      <c r="A25" s="328" t="s">
        <v>248</v>
      </c>
      <c r="B25" s="525">
        <f t="shared" si="0"/>
        <v>1735744</v>
      </c>
      <c r="C25" s="523">
        <f>+'- 50 -'!F25</f>
        <v>875475</v>
      </c>
      <c r="D25" s="523">
        <v>860269</v>
      </c>
    </row>
    <row r="26" spans="1:4" ht="14.1" customHeight="1">
      <c r="A26" s="26" t="s">
        <v>249</v>
      </c>
      <c r="B26" s="526">
        <f t="shared" si="0"/>
        <v>372839</v>
      </c>
      <c r="C26" s="524">
        <f>+'- 50 -'!F26</f>
        <v>372839</v>
      </c>
      <c r="D26" s="524">
        <v>0</v>
      </c>
    </row>
    <row r="27" spans="1:4" ht="14.1" customHeight="1">
      <c r="A27" s="328" t="s">
        <v>250</v>
      </c>
      <c r="B27" s="525">
        <f t="shared" si="0"/>
        <v>109430</v>
      </c>
      <c r="C27" s="523">
        <f>+'- 50 -'!F27</f>
        <v>109430</v>
      </c>
      <c r="D27" s="523">
        <v>0</v>
      </c>
    </row>
    <row r="28" spans="1:4" ht="14.1" customHeight="1">
      <c r="A28" s="26" t="s">
        <v>251</v>
      </c>
      <c r="B28" s="526">
        <f t="shared" si="0"/>
        <v>413067</v>
      </c>
      <c r="C28" s="524">
        <f>+'- 50 -'!F28</f>
        <v>261765</v>
      </c>
      <c r="D28" s="524">
        <v>151302</v>
      </c>
    </row>
    <row r="29" spans="1:4" ht="14.1" customHeight="1">
      <c r="A29" s="328" t="s">
        <v>252</v>
      </c>
      <c r="B29" s="525">
        <f t="shared" si="0"/>
        <v>1971828</v>
      </c>
      <c r="C29" s="523">
        <f>+'- 50 -'!F29</f>
        <v>595025</v>
      </c>
      <c r="D29" s="523">
        <v>1376803</v>
      </c>
    </row>
    <row r="30" spans="1:4" ht="14.1" customHeight="1">
      <c r="A30" s="26" t="s">
        <v>253</v>
      </c>
      <c r="B30" s="526">
        <f t="shared" si="0"/>
        <v>74450</v>
      </c>
      <c r="C30" s="524">
        <f>+'- 50 -'!F30</f>
        <v>63414</v>
      </c>
      <c r="D30" s="524">
        <v>11036</v>
      </c>
    </row>
    <row r="31" spans="1:4" ht="14.1" customHeight="1">
      <c r="A31" s="328" t="s">
        <v>254</v>
      </c>
      <c r="B31" s="525">
        <f t="shared" si="0"/>
        <v>334374</v>
      </c>
      <c r="C31" s="523">
        <f>+'- 50 -'!F31</f>
        <v>334374</v>
      </c>
      <c r="D31" s="523">
        <v>0</v>
      </c>
    </row>
    <row r="32" spans="1:4" ht="14.1" customHeight="1">
      <c r="A32" s="26" t="s">
        <v>255</v>
      </c>
      <c r="B32" s="526">
        <f t="shared" si="0"/>
        <v>119714</v>
      </c>
      <c r="C32" s="524">
        <f>+'- 50 -'!F32</f>
        <v>119714</v>
      </c>
      <c r="D32" s="524">
        <v>0</v>
      </c>
    </row>
    <row r="33" spans="1:4" ht="14.1" customHeight="1">
      <c r="A33" s="328" t="s">
        <v>256</v>
      </c>
      <c r="B33" s="525">
        <f t="shared" si="0"/>
        <v>154813</v>
      </c>
      <c r="C33" s="523">
        <f>+'- 50 -'!F33</f>
        <v>154813</v>
      </c>
      <c r="D33" s="523">
        <v>0</v>
      </c>
    </row>
    <row r="34" spans="1:4" ht="14.1" customHeight="1">
      <c r="A34" s="26" t="s">
        <v>257</v>
      </c>
      <c r="B34" s="526">
        <f t="shared" si="0"/>
        <v>787456</v>
      </c>
      <c r="C34" s="524">
        <f>+'- 50 -'!F34</f>
        <v>170446</v>
      </c>
      <c r="D34" s="524">
        <v>617010</v>
      </c>
    </row>
    <row r="35" spans="1:4" ht="14.1" customHeight="1">
      <c r="A35" s="328" t="s">
        <v>258</v>
      </c>
      <c r="B35" s="525">
        <f t="shared" si="0"/>
        <v>4264341</v>
      </c>
      <c r="C35" s="523">
        <f>+'- 50 -'!F35</f>
        <v>339033</v>
      </c>
      <c r="D35" s="523">
        <v>3925308</v>
      </c>
    </row>
    <row r="36" spans="1:4" ht="14.1" customHeight="1">
      <c r="A36" s="26" t="s">
        <v>259</v>
      </c>
      <c r="B36" s="526">
        <f t="shared" si="0"/>
        <v>191653</v>
      </c>
      <c r="C36" s="524">
        <f>+'- 50 -'!F36</f>
        <v>191653</v>
      </c>
      <c r="D36" s="524">
        <v>0</v>
      </c>
    </row>
    <row r="37" spans="1:4" ht="14.1" customHeight="1">
      <c r="A37" s="328" t="s">
        <v>260</v>
      </c>
      <c r="B37" s="525">
        <f t="shared" si="0"/>
        <v>504583</v>
      </c>
      <c r="C37" s="523">
        <f>+'- 50 -'!F37</f>
        <v>289661</v>
      </c>
      <c r="D37" s="523">
        <v>214922</v>
      </c>
    </row>
    <row r="38" spans="1:4" ht="14.1" customHeight="1">
      <c r="A38" s="26" t="s">
        <v>261</v>
      </c>
      <c r="B38" s="526">
        <f t="shared" si="0"/>
        <v>4623294</v>
      </c>
      <c r="C38" s="524">
        <f>+'- 50 -'!F38</f>
        <v>171232</v>
      </c>
      <c r="D38" s="524">
        <v>4452062</v>
      </c>
    </row>
    <row r="39" spans="1:4" ht="14.1" customHeight="1">
      <c r="A39" s="328" t="s">
        <v>262</v>
      </c>
      <c r="B39" s="525">
        <f t="shared" si="0"/>
        <v>182536</v>
      </c>
      <c r="C39" s="523">
        <f>+'- 50 -'!F39</f>
        <v>182536</v>
      </c>
      <c r="D39" s="523">
        <v>0</v>
      </c>
    </row>
    <row r="40" spans="1:4" ht="14.1" customHeight="1">
      <c r="A40" s="26" t="s">
        <v>263</v>
      </c>
      <c r="B40" s="526">
        <f t="shared" si="0"/>
        <v>2107429</v>
      </c>
      <c r="C40" s="524">
        <f>+'- 50 -'!F40</f>
        <v>334715</v>
      </c>
      <c r="D40" s="524">
        <v>1772714</v>
      </c>
    </row>
    <row r="41" spans="1:4" ht="14.1" customHeight="1">
      <c r="A41" s="328" t="s">
        <v>264</v>
      </c>
      <c r="B41" s="525">
        <f t="shared" si="0"/>
        <v>472302</v>
      </c>
      <c r="C41" s="523">
        <f>+'- 50 -'!F41</f>
        <v>472302</v>
      </c>
      <c r="D41" s="523">
        <v>0</v>
      </c>
    </row>
    <row r="42" spans="1:4" ht="14.1" customHeight="1">
      <c r="A42" s="26" t="s">
        <v>265</v>
      </c>
      <c r="B42" s="526">
        <f t="shared" si="0"/>
        <v>128767</v>
      </c>
      <c r="C42" s="524">
        <f>+'- 50 -'!F42</f>
        <v>128767</v>
      </c>
      <c r="D42" s="524">
        <v>0</v>
      </c>
    </row>
    <row r="43" spans="1:4" ht="14.1" customHeight="1">
      <c r="A43" s="328" t="s">
        <v>266</v>
      </c>
      <c r="B43" s="525">
        <f t="shared" si="0"/>
        <v>856683</v>
      </c>
      <c r="C43" s="523">
        <f>+'- 50 -'!F43</f>
        <v>121854</v>
      </c>
      <c r="D43" s="523">
        <v>734829</v>
      </c>
    </row>
    <row r="44" spans="1:4" ht="14.1" customHeight="1">
      <c r="A44" s="26" t="s">
        <v>267</v>
      </c>
      <c r="B44" s="526">
        <f t="shared" si="0"/>
        <v>88622</v>
      </c>
      <c r="C44" s="524">
        <f>+'- 50 -'!F44</f>
        <v>88622</v>
      </c>
      <c r="D44" s="524">
        <v>0</v>
      </c>
    </row>
    <row r="45" spans="1:4" ht="14.1" customHeight="1">
      <c r="A45" s="328" t="s">
        <v>268</v>
      </c>
      <c r="B45" s="525">
        <f t="shared" si="0"/>
        <v>21225</v>
      </c>
      <c r="C45" s="523">
        <f>+'- 50 -'!F45</f>
        <v>21225</v>
      </c>
      <c r="D45" s="523">
        <v>0</v>
      </c>
    </row>
    <row r="46" spans="1:4" ht="14.1" customHeight="1">
      <c r="A46" s="26" t="s">
        <v>269</v>
      </c>
      <c r="B46" s="526">
        <f t="shared" si="0"/>
        <v>4857846</v>
      </c>
      <c r="C46" s="524">
        <f>+'- 50 -'!F46</f>
        <v>79801</v>
      </c>
      <c r="D46" s="524">
        <v>4778045</v>
      </c>
    </row>
    <row r="47" spans="1:4" ht="5.0999999999999996" customHeight="1">
      <c r="A47" s="28"/>
      <c r="B47" s="29"/>
      <c r="C47" s="29"/>
      <c r="D47" s="29"/>
    </row>
    <row r="48" spans="1:4" ht="14.1" customHeight="1">
      <c r="A48" s="330" t="s">
        <v>270</v>
      </c>
      <c r="B48" s="528">
        <f>SUM(B11:B46)</f>
        <v>34673776</v>
      </c>
      <c r="C48" s="527">
        <f>SUM(C11:C46)</f>
        <v>9301483</v>
      </c>
      <c r="D48" s="527">
        <f>SUM(D11:D46)</f>
        <v>25372293</v>
      </c>
    </row>
    <row r="49" spans="1:5" ht="5.0999999999999996" customHeight="1">
      <c r="A49" s="28" t="s">
        <v>16</v>
      </c>
      <c r="B49" s="29"/>
      <c r="C49" s="29"/>
      <c r="D49" s="29"/>
    </row>
    <row r="50" spans="1:5" ht="14.1" customHeight="1">
      <c r="A50" s="26" t="s">
        <v>271</v>
      </c>
      <c r="B50" s="526">
        <f>C50+D50</f>
        <v>20829</v>
      </c>
      <c r="C50" s="524">
        <f>+'- 50 -'!F50</f>
        <v>20829</v>
      </c>
      <c r="D50" s="524">
        <v>0</v>
      </c>
    </row>
    <row r="51" spans="1:5" ht="14.1" customHeight="1">
      <c r="A51" s="328" t="s">
        <v>272</v>
      </c>
      <c r="B51" s="525">
        <f>C51+D51</f>
        <v>2007667</v>
      </c>
      <c r="C51" s="523">
        <f>+'- 50 -'!F51</f>
        <v>0</v>
      </c>
      <c r="D51" s="523">
        <v>2007667</v>
      </c>
    </row>
    <row r="52" spans="1:5" ht="50.1" customHeight="1">
      <c r="A52" s="30"/>
      <c r="B52" s="30"/>
      <c r="C52" s="544"/>
      <c r="D52" s="30"/>
      <c r="E52" s="30"/>
    </row>
    <row r="53" spans="1:5" ht="15.75" customHeight="1">
      <c r="A53" s="545" t="s">
        <v>729</v>
      </c>
      <c r="B53" s="545"/>
      <c r="C53" s="545"/>
      <c r="D53" s="545"/>
      <c r="E53" s="545"/>
    </row>
    <row r="54" spans="1:5">
      <c r="A54" s="1" t="s">
        <v>678</v>
      </c>
      <c r="B54" s="545"/>
      <c r="C54" s="545"/>
      <c r="D54" s="545"/>
      <c r="E54" s="545"/>
    </row>
    <row r="55" spans="1:5">
      <c r="A55" s="545" t="s">
        <v>677</v>
      </c>
    </row>
    <row r="56" spans="1:5">
      <c r="A56" s="151" t="s">
        <v>730</v>
      </c>
    </row>
  </sheetData>
  <mergeCells count="3">
    <mergeCell ref="A2:E2"/>
    <mergeCell ref="A3:E3"/>
    <mergeCell ref="C7:D7"/>
  </mergeCells>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sheetPr codeName="Sheet42">
    <pageSetUpPr fitToPage="1"/>
  </sheetPr>
  <dimension ref="A1:D59"/>
  <sheetViews>
    <sheetView showGridLines="0" showZeros="0" workbookViewId="0"/>
  </sheetViews>
  <sheetFormatPr defaultColWidth="15.83203125" defaultRowHeight="12"/>
  <cols>
    <col min="1" max="1" width="35.83203125" style="1" customWidth="1"/>
    <col min="2" max="3" width="25.83203125" style="1" customWidth="1"/>
    <col min="4" max="4" width="45.83203125" style="1" customWidth="1"/>
    <col min="5" max="16384" width="15.83203125" style="1"/>
  </cols>
  <sheetData>
    <row r="1" spans="1:4" ht="6.95" customHeight="1">
      <c r="A1" s="6"/>
    </row>
    <row r="2" spans="1:4" ht="17.100000000000001" customHeight="1">
      <c r="A2" s="260"/>
      <c r="B2" s="261" t="s">
        <v>656</v>
      </c>
      <c r="C2" s="178"/>
      <c r="D2" s="173"/>
    </row>
    <row r="3" spans="1:4" ht="15" customHeight="1">
      <c r="A3" s="696"/>
      <c r="B3" s="265" t="s">
        <v>736</v>
      </c>
      <c r="C3" s="179"/>
      <c r="D3" s="262"/>
    </row>
    <row r="4" spans="1:4" ht="15.95" customHeight="1">
      <c r="A4" s="151"/>
      <c r="B4" s="7"/>
      <c r="C4" s="50"/>
    </row>
    <row r="5" spans="1:4" ht="15.95" customHeight="1">
      <c r="A5" s="1" t="str">
        <f>REPLACE(A4,5,5,"")</f>
        <v/>
      </c>
      <c r="B5" s="7"/>
      <c r="C5" s="7"/>
    </row>
    <row r="6" spans="1:4" ht="15.95" customHeight="1">
      <c r="B6"/>
      <c r="C6"/>
    </row>
    <row r="7" spans="1:4" ht="15.95" customHeight="1">
      <c r="B7" s="488" t="s">
        <v>457</v>
      </c>
      <c r="C7" s="488"/>
    </row>
    <row r="8" spans="1:4" ht="15.95" customHeight="1">
      <c r="A8" s="75"/>
      <c r="B8" s="489" t="s">
        <v>126</v>
      </c>
      <c r="C8" s="489" t="s">
        <v>89</v>
      </c>
    </row>
    <row r="9" spans="1:4" ht="15.95" customHeight="1">
      <c r="A9" s="42" t="s">
        <v>93</v>
      </c>
      <c r="B9" s="490" t="s">
        <v>159</v>
      </c>
      <c r="C9" s="490" t="s">
        <v>458</v>
      </c>
    </row>
    <row r="10" spans="1:4" ht="5.0999999999999996" customHeight="1">
      <c r="A10" s="5"/>
      <c r="B10" s="236"/>
      <c r="C10" s="254">
        <v>1.183E-2</v>
      </c>
    </row>
    <row r="11" spans="1:4" ht="14.1" customHeight="1">
      <c r="A11" s="328" t="s">
        <v>235</v>
      </c>
      <c r="B11" s="329">
        <f>'- 54 -'!D11</f>
        <v>122594300</v>
      </c>
      <c r="C11" s="329">
        <f t="shared" ref="C11:C46" si="0">B11*C$10</f>
        <v>1450290.5690000001</v>
      </c>
    </row>
    <row r="12" spans="1:4" ht="14.1" customHeight="1">
      <c r="A12" s="26" t="s">
        <v>236</v>
      </c>
      <c r="B12" s="27">
        <f>'- 54 -'!D12</f>
        <v>153022030</v>
      </c>
      <c r="C12" s="27">
        <f t="shared" si="0"/>
        <v>1810250.6148999999</v>
      </c>
    </row>
    <row r="13" spans="1:4" ht="14.1" customHeight="1">
      <c r="A13" s="328" t="s">
        <v>237</v>
      </c>
      <c r="B13" s="329">
        <f>'- 54 -'!D13</f>
        <v>732255690</v>
      </c>
      <c r="C13" s="329">
        <f t="shared" si="0"/>
        <v>8662584.8126999997</v>
      </c>
    </row>
    <row r="14" spans="1:4" ht="14.1" customHeight="1">
      <c r="A14" s="26" t="s">
        <v>636</v>
      </c>
      <c r="B14" s="27">
        <f>'- 54 -'!D14</f>
        <v>0</v>
      </c>
      <c r="C14" s="27">
        <f t="shared" si="0"/>
        <v>0</v>
      </c>
    </row>
    <row r="15" spans="1:4" ht="14.1" customHeight="1">
      <c r="A15" s="328" t="s">
        <v>238</v>
      </c>
      <c r="B15" s="329">
        <f>'- 54 -'!D15</f>
        <v>104008650</v>
      </c>
      <c r="C15" s="329">
        <f t="shared" si="0"/>
        <v>1230422.3295</v>
      </c>
    </row>
    <row r="16" spans="1:4" ht="14.1" customHeight="1">
      <c r="A16" s="26" t="s">
        <v>239</v>
      </c>
      <c r="B16" s="27">
        <f>'- 54 -'!D16</f>
        <v>32981180</v>
      </c>
      <c r="C16" s="27">
        <f t="shared" si="0"/>
        <v>390167.35940000002</v>
      </c>
    </row>
    <row r="17" spans="1:3" ht="14.1" customHeight="1">
      <c r="A17" s="328" t="s">
        <v>240</v>
      </c>
      <c r="B17" s="329">
        <f>'- 54 -'!D17</f>
        <v>330407730</v>
      </c>
      <c r="C17" s="329">
        <f t="shared" si="0"/>
        <v>3908723.4459000002</v>
      </c>
    </row>
    <row r="18" spans="1:3" ht="14.1" customHeight="1">
      <c r="A18" s="26" t="s">
        <v>241</v>
      </c>
      <c r="B18" s="27">
        <f>'- 54 -'!D18</f>
        <v>62604890</v>
      </c>
      <c r="C18" s="27">
        <f t="shared" si="0"/>
        <v>740615.84869999997</v>
      </c>
    </row>
    <row r="19" spans="1:3" ht="14.1" customHeight="1">
      <c r="A19" s="328" t="s">
        <v>242</v>
      </c>
      <c r="B19" s="329">
        <f>'- 54 -'!D19</f>
        <v>215601760</v>
      </c>
      <c r="C19" s="329">
        <f t="shared" si="0"/>
        <v>2550568.8207999999</v>
      </c>
    </row>
    <row r="20" spans="1:3" ht="14.1" customHeight="1">
      <c r="A20" s="26" t="s">
        <v>243</v>
      </c>
      <c r="B20" s="27">
        <f>'- 54 -'!D20</f>
        <v>302294780</v>
      </c>
      <c r="C20" s="27">
        <f t="shared" si="0"/>
        <v>3576147.2474000002</v>
      </c>
    </row>
    <row r="21" spans="1:3" ht="14.1" customHeight="1">
      <c r="A21" s="328" t="s">
        <v>244</v>
      </c>
      <c r="B21" s="329">
        <f>'- 54 -'!D21</f>
        <v>208600130</v>
      </c>
      <c r="C21" s="329">
        <f t="shared" si="0"/>
        <v>2467739.5378999999</v>
      </c>
    </row>
    <row r="22" spans="1:3" ht="14.1" customHeight="1">
      <c r="A22" s="26" t="s">
        <v>245</v>
      </c>
      <c r="B22" s="27">
        <f>'- 54 -'!D22</f>
        <v>57613370</v>
      </c>
      <c r="C22" s="27">
        <f t="shared" si="0"/>
        <v>681566.16709999996</v>
      </c>
    </row>
    <row r="23" spans="1:3" ht="14.1" customHeight="1">
      <c r="A23" s="328" t="s">
        <v>246</v>
      </c>
      <c r="B23" s="329">
        <f>'- 54 -'!D23</f>
        <v>26059950</v>
      </c>
      <c r="C23" s="329">
        <f t="shared" si="0"/>
        <v>308289.20850000001</v>
      </c>
    </row>
    <row r="24" spans="1:3" ht="14.1" customHeight="1">
      <c r="A24" s="26" t="s">
        <v>247</v>
      </c>
      <c r="B24" s="27">
        <f>'- 54 -'!D24</f>
        <v>200137560</v>
      </c>
      <c r="C24" s="27">
        <f t="shared" si="0"/>
        <v>2367627.3347999998</v>
      </c>
    </row>
    <row r="25" spans="1:3" ht="14.1" customHeight="1">
      <c r="A25" s="328" t="s">
        <v>248</v>
      </c>
      <c r="B25" s="329">
        <f>'- 54 -'!D25</f>
        <v>977802630</v>
      </c>
      <c r="C25" s="329">
        <f t="shared" si="0"/>
        <v>11567405.1129</v>
      </c>
    </row>
    <row r="26" spans="1:3" ht="14.1" customHeight="1">
      <c r="A26" s="26" t="s">
        <v>249</v>
      </c>
      <c r="B26" s="27">
        <f>'- 54 -'!D26</f>
        <v>115886550</v>
      </c>
      <c r="C26" s="27">
        <f t="shared" si="0"/>
        <v>1370937.8865</v>
      </c>
    </row>
    <row r="27" spans="1:3" ht="14.1" customHeight="1">
      <c r="A27" s="328" t="s">
        <v>250</v>
      </c>
      <c r="B27" s="329">
        <f>'- 54 -'!D27</f>
        <v>113488920</v>
      </c>
      <c r="C27" s="329">
        <f t="shared" si="0"/>
        <v>1342573.9236000001</v>
      </c>
    </row>
    <row r="28" spans="1:3" ht="14.1" customHeight="1">
      <c r="A28" s="26" t="s">
        <v>251</v>
      </c>
      <c r="B28" s="27">
        <f>'- 54 -'!D28</f>
        <v>157667910</v>
      </c>
      <c r="C28" s="27">
        <f t="shared" si="0"/>
        <v>1865211.3753</v>
      </c>
    </row>
    <row r="29" spans="1:3" ht="14.1" customHeight="1">
      <c r="A29" s="328" t="s">
        <v>252</v>
      </c>
      <c r="B29" s="329">
        <f>'- 54 -'!D29</f>
        <v>1015907570</v>
      </c>
      <c r="C29" s="329">
        <f t="shared" si="0"/>
        <v>12018186.553100001</v>
      </c>
    </row>
    <row r="30" spans="1:3" ht="14.1" customHeight="1">
      <c r="A30" s="26" t="s">
        <v>253</v>
      </c>
      <c r="B30" s="27">
        <f>'- 54 -'!D30</f>
        <v>80255200</v>
      </c>
      <c r="C30" s="27">
        <f t="shared" si="0"/>
        <v>949419.01600000006</v>
      </c>
    </row>
    <row r="31" spans="1:3" ht="14.1" customHeight="1">
      <c r="A31" s="328" t="s">
        <v>254</v>
      </c>
      <c r="B31" s="329">
        <f>'- 54 -'!D31</f>
        <v>288272540</v>
      </c>
      <c r="C31" s="329">
        <f t="shared" si="0"/>
        <v>3410264.1482000002</v>
      </c>
    </row>
    <row r="32" spans="1:3" ht="14.1" customHeight="1">
      <c r="A32" s="26" t="s">
        <v>255</v>
      </c>
      <c r="B32" s="27">
        <f>'- 54 -'!D32</f>
        <v>116654570</v>
      </c>
      <c r="C32" s="27">
        <f t="shared" si="0"/>
        <v>1380023.5630999999</v>
      </c>
    </row>
    <row r="33" spans="1:3" ht="14.1" customHeight="1">
      <c r="A33" s="328" t="s">
        <v>256</v>
      </c>
      <c r="B33" s="329">
        <f>'- 54 -'!D33</f>
        <v>142600120</v>
      </c>
      <c r="C33" s="329">
        <f t="shared" si="0"/>
        <v>1686959.4196000001</v>
      </c>
    </row>
    <row r="34" spans="1:3" ht="14.1" customHeight="1">
      <c r="A34" s="26" t="s">
        <v>257</v>
      </c>
      <c r="B34" s="27">
        <f>'- 54 -'!D34</f>
        <v>187854690</v>
      </c>
      <c r="C34" s="27">
        <f t="shared" si="0"/>
        <v>2222320.9827000001</v>
      </c>
    </row>
    <row r="35" spans="1:3" ht="14.1" customHeight="1">
      <c r="A35" s="328" t="s">
        <v>258</v>
      </c>
      <c r="B35" s="329">
        <f>'- 54 -'!D35</f>
        <v>755584080</v>
      </c>
      <c r="C35" s="329">
        <f t="shared" si="0"/>
        <v>8938559.6664000005</v>
      </c>
    </row>
    <row r="36" spans="1:3" ht="14.1" customHeight="1">
      <c r="A36" s="26" t="s">
        <v>259</v>
      </c>
      <c r="B36" s="27">
        <f>'- 54 -'!D36</f>
        <v>155998800</v>
      </c>
      <c r="C36" s="27">
        <f t="shared" si="0"/>
        <v>1845465.804</v>
      </c>
    </row>
    <row r="37" spans="1:3" ht="14.1" customHeight="1">
      <c r="A37" s="328" t="s">
        <v>260</v>
      </c>
      <c r="B37" s="329">
        <f>'- 54 -'!D37</f>
        <v>145623880</v>
      </c>
      <c r="C37" s="329">
        <f t="shared" si="0"/>
        <v>1722730.5004</v>
      </c>
    </row>
    <row r="38" spans="1:3" ht="14.1" customHeight="1">
      <c r="A38" s="26" t="s">
        <v>261</v>
      </c>
      <c r="B38" s="27">
        <f>'- 54 -'!D38</f>
        <v>293218060</v>
      </c>
      <c r="C38" s="27">
        <f t="shared" si="0"/>
        <v>3468769.6498000002</v>
      </c>
    </row>
    <row r="39" spans="1:3" ht="14.1" customHeight="1">
      <c r="A39" s="328" t="s">
        <v>262</v>
      </c>
      <c r="B39" s="329">
        <f>'- 54 -'!D39</f>
        <v>222490260</v>
      </c>
      <c r="C39" s="329">
        <f t="shared" si="0"/>
        <v>2632059.7757999999</v>
      </c>
    </row>
    <row r="40" spans="1:3" ht="14.1" customHeight="1">
      <c r="A40" s="26" t="s">
        <v>263</v>
      </c>
      <c r="B40" s="27">
        <f>'- 54 -'!D40</f>
        <v>1241125740</v>
      </c>
      <c r="C40" s="27">
        <f t="shared" si="0"/>
        <v>14682517.5042</v>
      </c>
    </row>
    <row r="41" spans="1:3" ht="14.1" customHeight="1">
      <c r="A41" s="328" t="s">
        <v>264</v>
      </c>
      <c r="B41" s="329">
        <f>'- 54 -'!D41</f>
        <v>301579400</v>
      </c>
      <c r="C41" s="329">
        <f t="shared" si="0"/>
        <v>3567684.3020000001</v>
      </c>
    </row>
    <row r="42" spans="1:3" ht="14.1" customHeight="1">
      <c r="A42" s="26" t="s">
        <v>265</v>
      </c>
      <c r="B42" s="27">
        <f>'- 54 -'!D42</f>
        <v>66372020</v>
      </c>
      <c r="C42" s="27">
        <f t="shared" si="0"/>
        <v>785180.99660000007</v>
      </c>
    </row>
    <row r="43" spans="1:3" ht="14.1" customHeight="1">
      <c r="A43" s="328" t="s">
        <v>266</v>
      </c>
      <c r="B43" s="329">
        <f>'- 54 -'!D43</f>
        <v>51228180</v>
      </c>
      <c r="C43" s="329">
        <f t="shared" si="0"/>
        <v>606029.36939999997</v>
      </c>
    </row>
    <row r="44" spans="1:3" ht="14.1" customHeight="1">
      <c r="A44" s="26" t="s">
        <v>267</v>
      </c>
      <c r="B44" s="27">
        <f>'- 54 -'!D44</f>
        <v>13319810</v>
      </c>
      <c r="C44" s="27">
        <f t="shared" si="0"/>
        <v>157573.3523</v>
      </c>
    </row>
    <row r="45" spans="1:3" ht="14.1" customHeight="1">
      <c r="A45" s="328" t="s">
        <v>268</v>
      </c>
      <c r="B45" s="329">
        <f>'- 54 -'!D45</f>
        <v>82459460</v>
      </c>
      <c r="C45" s="329">
        <f t="shared" si="0"/>
        <v>975495.4118</v>
      </c>
    </row>
    <row r="46" spans="1:3" ht="14.1" customHeight="1">
      <c r="A46" s="26" t="s">
        <v>269</v>
      </c>
      <c r="B46" s="27">
        <f>'- 54 -'!D46</f>
        <v>3685355810</v>
      </c>
      <c r="C46" s="27">
        <f t="shared" si="0"/>
        <v>43597759.232299998</v>
      </c>
    </row>
    <row r="47" spans="1:3" ht="6" customHeight="1">
      <c r="A47" s="28"/>
      <c r="B47" s="29"/>
      <c r="C47" s="29"/>
    </row>
    <row r="48" spans="1:3" ht="14.1" customHeight="1">
      <c r="A48" s="330" t="s">
        <v>358</v>
      </c>
      <c r="B48" s="331">
        <f>SUM(B11:B46)</f>
        <v>12758928220</v>
      </c>
      <c r="C48" s="331">
        <f>SUM(C11:C46)</f>
        <v>150938120.84260002</v>
      </c>
    </row>
    <row r="49" spans="1:4" ht="6" customHeight="1">
      <c r="A49" s="28"/>
      <c r="B49" s="29"/>
      <c r="C49" s="29"/>
    </row>
    <row r="50" spans="1:4" ht="14.1" customHeight="1">
      <c r="A50" s="26" t="s">
        <v>359</v>
      </c>
      <c r="B50" s="27">
        <f>'- 54 -'!D50</f>
        <v>3411570</v>
      </c>
      <c r="C50" s="27">
        <v>0</v>
      </c>
    </row>
    <row r="51" spans="1:4" ht="14.1" customHeight="1">
      <c r="A51" s="328" t="s">
        <v>360</v>
      </c>
      <c r="B51" s="329">
        <f>'- 54 -'!D51</f>
        <v>45824040</v>
      </c>
      <c r="C51" s="329">
        <f>B51*C$10</f>
        <v>542098.39320000005</v>
      </c>
    </row>
    <row r="52" spans="1:4" ht="6" customHeight="1">
      <c r="A52" s="148"/>
      <c r="B52" s="172"/>
      <c r="C52" s="172"/>
    </row>
    <row r="53" spans="1:4" ht="14.45" customHeight="1">
      <c r="A53" s="491" t="s">
        <v>270</v>
      </c>
      <c r="B53" s="492">
        <f>SUM(B48,B50:B51)</f>
        <v>12808163830</v>
      </c>
      <c r="C53" s="492">
        <f>SUM(C48,C50:C51)</f>
        <v>151480219.23580003</v>
      </c>
      <c r="D53" s="206"/>
    </row>
    <row r="54" spans="1:4" ht="50.1" customHeight="1">
      <c r="A54" s="255"/>
      <c r="B54" s="255"/>
      <c r="C54" s="255"/>
      <c r="D54" s="30"/>
    </row>
    <row r="55" spans="1:4" ht="14.45" customHeight="1">
      <c r="A55" s="515" t="s">
        <v>737</v>
      </c>
      <c r="B55" s="45"/>
      <c r="C55" s="45"/>
      <c r="D55" s="45"/>
    </row>
    <row r="56" spans="1:4" ht="14.45" customHeight="1">
      <c r="A56" s="32"/>
      <c r="B56" s="45"/>
      <c r="C56" s="45"/>
      <c r="D56" s="45"/>
    </row>
    <row r="57" spans="1:4" ht="14.45" customHeight="1">
      <c r="A57" s="33"/>
      <c r="B57" s="45"/>
      <c r="C57" s="45"/>
      <c r="D57" s="45"/>
    </row>
    <row r="58" spans="1:4" ht="14.45" customHeight="1">
      <c r="B58" s="90"/>
      <c r="C58" s="90"/>
    </row>
    <row r="59" spans="1:4" ht="14.45" customHeight="1"/>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48.xml><?xml version="1.0" encoding="utf-8"?>
<worksheet xmlns="http://schemas.openxmlformats.org/spreadsheetml/2006/main" xmlns:r="http://schemas.openxmlformats.org/officeDocument/2006/relationships">
  <sheetPr codeName="Sheet62">
    <pageSetUpPr fitToPage="1"/>
  </sheetPr>
  <dimension ref="A1:M57"/>
  <sheetViews>
    <sheetView showGridLines="0" showZeros="0" workbookViewId="0"/>
  </sheetViews>
  <sheetFormatPr defaultColWidth="15.83203125" defaultRowHeight="12"/>
  <cols>
    <col min="1" max="1" width="27.6640625" style="1" customWidth="1"/>
    <col min="2" max="2" width="16.1640625" style="1" bestFit="1" customWidth="1"/>
    <col min="3" max="3" width="15" style="1" bestFit="1" customWidth="1"/>
    <col min="4" max="5" width="16.1640625" style="1" bestFit="1" customWidth="1"/>
    <col min="6" max="6" width="14.5" style="1" customWidth="1"/>
    <col min="7" max="7" width="14.33203125" style="1" customWidth="1"/>
    <col min="8" max="8" width="15.83203125" style="1"/>
    <col min="9" max="9" width="21" style="1" hidden="1" customWidth="1"/>
    <col min="10" max="10" width="0" style="1" hidden="1" customWidth="1"/>
    <col min="11" max="16384" width="15.83203125" style="1"/>
  </cols>
  <sheetData>
    <row r="1" spans="1:13" ht="6.95" customHeight="1">
      <c r="A1" s="6"/>
    </row>
    <row r="2" spans="1:13" ht="15.95" customHeight="1">
      <c r="A2" s="237" t="s">
        <v>108</v>
      </c>
      <c r="B2" s="256"/>
      <c r="C2" s="256"/>
      <c r="D2" s="256"/>
      <c r="E2" s="256"/>
      <c r="F2" s="256"/>
      <c r="G2" s="256"/>
    </row>
    <row r="3" spans="1:13" ht="15.95" customHeight="1">
      <c r="A3" s="265" t="str">
        <f>TAXYEAR</f>
        <v xml:space="preserve">FOR THE 2013 TAXATION YEAR </v>
      </c>
      <c r="B3" s="257"/>
      <c r="C3" s="257"/>
      <c r="D3" s="257"/>
      <c r="E3" s="267"/>
      <c r="F3" s="267"/>
      <c r="G3" s="257"/>
    </row>
    <row r="4" spans="1:13" ht="15.95" customHeight="1">
      <c r="B4" s="7"/>
      <c r="C4" s="7"/>
      <c r="D4" s="7"/>
      <c r="E4" s="50"/>
      <c r="F4" s="50"/>
      <c r="G4" s="50"/>
    </row>
    <row r="5" spans="1:13" ht="15.95" customHeight="1">
      <c r="B5" s="7"/>
      <c r="C5" s="7"/>
      <c r="D5" s="7"/>
      <c r="E5" s="7"/>
      <c r="F5" s="7"/>
      <c r="G5" s="7"/>
    </row>
    <row r="6" spans="1:13" ht="15.95" customHeight="1">
      <c r="B6" s="235" t="s">
        <v>115</v>
      </c>
      <c r="C6" s="193"/>
      <c r="D6" s="193"/>
      <c r="E6" s="191"/>
      <c r="F6" s="7"/>
      <c r="G6" s="7"/>
      <c r="H6" s="3" t="s">
        <v>148</v>
      </c>
    </row>
    <row r="7" spans="1:13" ht="15.95" customHeight="1">
      <c r="B7" s="400" t="s">
        <v>123</v>
      </c>
      <c r="C7" s="400" t="s">
        <v>124</v>
      </c>
      <c r="D7" s="401"/>
      <c r="E7" s="349"/>
      <c r="F7" s="402"/>
      <c r="G7" s="654" t="s">
        <v>125</v>
      </c>
      <c r="H7" s="3" t="s">
        <v>139</v>
      </c>
    </row>
    <row r="8" spans="1:13" ht="15.95" customHeight="1">
      <c r="A8" s="40"/>
      <c r="B8" s="403" t="s">
        <v>145</v>
      </c>
      <c r="C8" s="403" t="s">
        <v>146</v>
      </c>
      <c r="D8" s="404" t="s">
        <v>16</v>
      </c>
      <c r="E8" s="405"/>
      <c r="F8" s="406" t="s">
        <v>125</v>
      </c>
      <c r="G8" s="655" t="s">
        <v>147</v>
      </c>
      <c r="H8" s="3" t="s">
        <v>214</v>
      </c>
    </row>
    <row r="9" spans="1:13" ht="15.95" customHeight="1">
      <c r="A9" s="268" t="s">
        <v>93</v>
      </c>
      <c r="B9" s="407" t="s">
        <v>158</v>
      </c>
      <c r="C9" s="407" t="s">
        <v>156</v>
      </c>
      <c r="D9" s="407" t="s">
        <v>159</v>
      </c>
      <c r="E9" s="353" t="s">
        <v>67</v>
      </c>
      <c r="F9" s="353" t="s">
        <v>422</v>
      </c>
      <c r="G9" s="656" t="s">
        <v>423</v>
      </c>
      <c r="H9" s="3" t="s">
        <v>215</v>
      </c>
    </row>
    <row r="10" spans="1:13" ht="5.0999999999999996" customHeight="1">
      <c r="A10" s="25"/>
      <c r="B10" s="236"/>
      <c r="C10" s="6"/>
      <c r="D10" s="236"/>
      <c r="E10" s="236"/>
      <c r="F10" s="6"/>
      <c r="G10" s="6"/>
    </row>
    <row r="11" spans="1:13" ht="14.1" customHeight="1">
      <c r="A11" s="410" t="s">
        <v>235</v>
      </c>
      <c r="B11" s="408">
        <v>202827920</v>
      </c>
      <c r="C11" s="408">
        <v>168902780</v>
      </c>
      <c r="D11" s="408">
        <v>122594300</v>
      </c>
      <c r="E11" s="408">
        <f t="shared" ref="E11:E46" si="0">SUM(B11:D11)</f>
        <v>494325000</v>
      </c>
      <c r="F11" s="408">
        <f>'- 56 -'!C11</f>
        <v>7302868</v>
      </c>
      <c r="G11" s="409">
        <f>F11/E11*1000</f>
        <v>14.773414251757448</v>
      </c>
      <c r="I11" s="266" t="str">
        <f>A11</f>
        <v xml:space="preserve"> BEAUTIFUL PLAINS</v>
      </c>
      <c r="J11" s="4">
        <f>G11</f>
        <v>14.773414251757448</v>
      </c>
      <c r="M11" s="652"/>
    </row>
    <row r="12" spans="1:13" ht="14.1" customHeight="1">
      <c r="A12" s="269" t="s">
        <v>236</v>
      </c>
      <c r="B12" s="171">
        <v>256171240</v>
      </c>
      <c r="C12" s="171">
        <v>188281920</v>
      </c>
      <c r="D12" s="171">
        <v>153022030</v>
      </c>
      <c r="E12" s="171">
        <f t="shared" si="0"/>
        <v>597475190</v>
      </c>
      <c r="F12" s="171">
        <f>'- 56 -'!C12</f>
        <v>10844168</v>
      </c>
      <c r="G12" s="270">
        <f>F12/E12*1000</f>
        <v>18.149988788655811</v>
      </c>
      <c r="I12" s="266" t="str">
        <f>A12</f>
        <v xml:space="preserve"> BORDER LAND</v>
      </c>
      <c r="J12" s="4">
        <f>G12</f>
        <v>18.149988788655811</v>
      </c>
      <c r="M12" s="652"/>
    </row>
    <row r="13" spans="1:13" ht="14.1" customHeight="1">
      <c r="A13" s="410" t="s">
        <v>237</v>
      </c>
      <c r="B13" s="408">
        <v>1512122710</v>
      </c>
      <c r="C13" s="408">
        <v>49654350</v>
      </c>
      <c r="D13" s="408">
        <v>732255690</v>
      </c>
      <c r="E13" s="408">
        <f t="shared" si="0"/>
        <v>2294032750</v>
      </c>
      <c r="F13" s="408">
        <f>'- 56 -'!C13</f>
        <v>38029913</v>
      </c>
      <c r="G13" s="409">
        <f>F13/E13*1000</f>
        <v>16.577755047306972</v>
      </c>
      <c r="I13" s="266" t="str">
        <f>A13</f>
        <v xml:space="preserve"> BRANDON</v>
      </c>
      <c r="J13" s="4">
        <f>G13</f>
        <v>16.577755047306972</v>
      </c>
      <c r="M13" s="652"/>
    </row>
    <row r="14" spans="1:13" ht="14.1" customHeight="1">
      <c r="A14" s="269" t="s">
        <v>636</v>
      </c>
      <c r="B14" s="171"/>
      <c r="C14" s="171"/>
      <c r="D14" s="171"/>
      <c r="E14" s="171">
        <f t="shared" si="0"/>
        <v>0</v>
      </c>
      <c r="F14" s="171"/>
      <c r="G14" s="270"/>
      <c r="I14" s="266" t="str">
        <f>A15</f>
        <v xml:space="preserve"> EVERGREEN</v>
      </c>
      <c r="J14" s="4">
        <f>G15</f>
        <v>11.506448245555587</v>
      </c>
      <c r="M14" s="652"/>
    </row>
    <row r="15" spans="1:13" ht="14.1" customHeight="1">
      <c r="A15" s="410" t="s">
        <v>238</v>
      </c>
      <c r="B15" s="408">
        <v>619385200</v>
      </c>
      <c r="C15" s="408">
        <v>64533650</v>
      </c>
      <c r="D15" s="408">
        <v>104008650</v>
      </c>
      <c r="E15" s="408">
        <f t="shared" si="0"/>
        <v>787927500</v>
      </c>
      <c r="F15" s="408">
        <f>'- 56 -'!C15</f>
        <v>9066247</v>
      </c>
      <c r="G15" s="409">
        <f>F15/E15*1000</f>
        <v>11.506448245555587</v>
      </c>
      <c r="I15" s="266" t="str">
        <f t="shared" ref="I15:I44" si="1">A16</f>
        <v xml:space="preserve"> FLIN FLON</v>
      </c>
      <c r="J15" s="4">
        <f t="shared" ref="J15:J44" si="2">G16</f>
        <v>18.363783469703989</v>
      </c>
      <c r="M15" s="652"/>
    </row>
    <row r="16" spans="1:13" ht="14.1" customHeight="1">
      <c r="A16" s="269" t="s">
        <v>239</v>
      </c>
      <c r="B16" s="171">
        <v>82000790</v>
      </c>
      <c r="C16" s="171">
        <v>0</v>
      </c>
      <c r="D16" s="171">
        <v>32981180</v>
      </c>
      <c r="E16" s="171">
        <f t="shared" si="0"/>
        <v>114981970</v>
      </c>
      <c r="F16" s="171">
        <f>'- 56 -'!C16</f>
        <v>3758439</v>
      </c>
      <c r="G16" s="270">
        <f>(F16-H16)/E16*1000</f>
        <v>18.363783469703989</v>
      </c>
      <c r="H16" s="1">
        <v>1646935</v>
      </c>
      <c r="I16" s="266" t="str">
        <f t="shared" si="1"/>
        <v xml:space="preserve"> FORT LA BOSSE</v>
      </c>
      <c r="J16" s="4">
        <f t="shared" si="2"/>
        <v>11.830673908994086</v>
      </c>
      <c r="M16" s="652"/>
    </row>
    <row r="17" spans="1:13" ht="14.1" customHeight="1">
      <c r="A17" s="410" t="s">
        <v>240</v>
      </c>
      <c r="B17" s="408">
        <v>189852540</v>
      </c>
      <c r="C17" s="408">
        <v>120147120</v>
      </c>
      <c r="D17" s="408">
        <v>330407730</v>
      </c>
      <c r="E17" s="408">
        <f t="shared" si="0"/>
        <v>640407390</v>
      </c>
      <c r="F17" s="408">
        <f>'- 56 -'!C17</f>
        <v>7576451</v>
      </c>
      <c r="G17" s="409">
        <f>F17/E17*1000</f>
        <v>11.830673908994086</v>
      </c>
      <c r="H17" s="557"/>
      <c r="I17" s="266" t="str">
        <f t="shared" si="1"/>
        <v xml:space="preserve"> FRONTIER</v>
      </c>
      <c r="J17" s="4">
        <f t="shared" si="2"/>
        <v>16.500003201250781</v>
      </c>
      <c r="M17" s="652"/>
    </row>
    <row r="18" spans="1:13" ht="14.1" customHeight="1">
      <c r="A18" s="269" t="s">
        <v>241</v>
      </c>
      <c r="B18" s="171">
        <v>109305500</v>
      </c>
      <c r="C18" s="171">
        <v>17078240</v>
      </c>
      <c r="D18" s="171">
        <v>62604890</v>
      </c>
      <c r="E18" s="171">
        <f t="shared" si="0"/>
        <v>188988630</v>
      </c>
      <c r="F18" s="171">
        <f>'- 56 -'!C18</f>
        <v>3118313</v>
      </c>
      <c r="G18" s="270">
        <f>(F18-H18)/E18*1000</f>
        <v>16.500003201250781</v>
      </c>
      <c r="I18" s="266" t="str">
        <f t="shared" si="1"/>
        <v xml:space="preserve"> GARDEN VALLEY</v>
      </c>
      <c r="J18" s="4">
        <f t="shared" si="2"/>
        <v>19.810443430881755</v>
      </c>
      <c r="M18" s="652"/>
    </row>
    <row r="19" spans="1:13" ht="14.1" customHeight="1">
      <c r="A19" s="410" t="s">
        <v>242</v>
      </c>
      <c r="B19" s="408">
        <v>451679000</v>
      </c>
      <c r="C19" s="408">
        <v>129707710</v>
      </c>
      <c r="D19" s="408">
        <v>215601760</v>
      </c>
      <c r="E19" s="408">
        <f t="shared" si="0"/>
        <v>796988470</v>
      </c>
      <c r="F19" s="408">
        <f>'- 56 -'!C19</f>
        <v>15788695</v>
      </c>
      <c r="G19" s="409">
        <f t="shared" ref="G19:G26" si="3">F19/E19*1000</f>
        <v>19.810443430881755</v>
      </c>
      <c r="I19" s="266" t="str">
        <f t="shared" si="1"/>
        <v xml:space="preserve"> HANOVER</v>
      </c>
      <c r="J19" s="4">
        <f t="shared" si="2"/>
        <v>16.786458600169674</v>
      </c>
      <c r="M19" s="652"/>
    </row>
    <row r="20" spans="1:13" ht="14.1" customHeight="1">
      <c r="A20" s="269" t="s">
        <v>243</v>
      </c>
      <c r="B20" s="171">
        <v>1053773980</v>
      </c>
      <c r="C20" s="171">
        <v>170498970</v>
      </c>
      <c r="D20" s="171">
        <v>302294780</v>
      </c>
      <c r="E20" s="171">
        <f t="shared" si="0"/>
        <v>1526567730</v>
      </c>
      <c r="F20" s="171">
        <f>'- 56 -'!C20</f>
        <v>25625666</v>
      </c>
      <c r="G20" s="270">
        <f t="shared" si="3"/>
        <v>16.786458600169674</v>
      </c>
      <c r="I20" s="266" t="str">
        <f t="shared" si="1"/>
        <v xml:space="preserve"> INTERLAKE</v>
      </c>
      <c r="J20" s="4">
        <f t="shared" si="2"/>
        <v>15.034367295845755</v>
      </c>
      <c r="M20" s="652"/>
    </row>
    <row r="21" spans="1:13" ht="14.1" customHeight="1">
      <c r="A21" s="410" t="s">
        <v>244</v>
      </c>
      <c r="B21" s="408">
        <v>595727860</v>
      </c>
      <c r="C21" s="408">
        <v>145743850</v>
      </c>
      <c r="D21" s="408">
        <v>208600130</v>
      </c>
      <c r="E21" s="408">
        <f t="shared" si="0"/>
        <v>950071840</v>
      </c>
      <c r="F21" s="408">
        <f>'- 56 -'!C21</f>
        <v>14283729</v>
      </c>
      <c r="G21" s="409">
        <f t="shared" si="3"/>
        <v>15.034367295845755</v>
      </c>
      <c r="I21" s="266" t="str">
        <f t="shared" si="1"/>
        <v xml:space="preserve"> KELSEY</v>
      </c>
      <c r="J21" s="4">
        <f t="shared" si="2"/>
        <v>22.353353273156841</v>
      </c>
      <c r="M21" s="652"/>
    </row>
    <row r="22" spans="1:13" ht="14.1" customHeight="1">
      <c r="A22" s="269" t="s">
        <v>245</v>
      </c>
      <c r="B22" s="171">
        <v>116554050</v>
      </c>
      <c r="C22" s="171">
        <v>13310000</v>
      </c>
      <c r="D22" s="171">
        <v>57613370</v>
      </c>
      <c r="E22" s="171">
        <f t="shared" si="0"/>
        <v>187477420</v>
      </c>
      <c r="F22" s="171">
        <f>'- 56 -'!C22</f>
        <v>4190749</v>
      </c>
      <c r="G22" s="270">
        <f t="shared" si="3"/>
        <v>22.353353273156841</v>
      </c>
      <c r="I22" s="266" t="str">
        <f t="shared" si="1"/>
        <v xml:space="preserve"> LAKESHORE</v>
      </c>
      <c r="J22" s="4">
        <f t="shared" si="2"/>
        <v>19.995764725935832</v>
      </c>
      <c r="M22" s="652"/>
    </row>
    <row r="23" spans="1:13" ht="14.1" customHeight="1">
      <c r="A23" s="410" t="s">
        <v>246</v>
      </c>
      <c r="B23" s="408">
        <v>107669420</v>
      </c>
      <c r="C23" s="408">
        <v>73246610</v>
      </c>
      <c r="D23" s="408">
        <v>26059950</v>
      </c>
      <c r="E23" s="408">
        <f t="shared" si="0"/>
        <v>206975980</v>
      </c>
      <c r="F23" s="408">
        <f>'- 56 -'!C23</f>
        <v>4138643</v>
      </c>
      <c r="G23" s="409">
        <f t="shared" si="3"/>
        <v>19.995764725935832</v>
      </c>
      <c r="H23" s="271"/>
      <c r="I23" s="266" t="str">
        <f t="shared" si="1"/>
        <v xml:space="preserve"> LORD SELKIRK</v>
      </c>
      <c r="J23" s="4">
        <f t="shared" si="2"/>
        <v>14.466649987853678</v>
      </c>
      <c r="M23" s="652"/>
    </row>
    <row r="24" spans="1:13" ht="14.1" customHeight="1">
      <c r="A24" s="269" t="s">
        <v>247</v>
      </c>
      <c r="B24" s="171">
        <v>1361416310</v>
      </c>
      <c r="C24" s="171">
        <v>53708960</v>
      </c>
      <c r="D24" s="171">
        <v>200137560</v>
      </c>
      <c r="E24" s="171">
        <f t="shared" si="0"/>
        <v>1615262830</v>
      </c>
      <c r="F24" s="171">
        <f>'- 56 -'!C24</f>
        <v>23367442</v>
      </c>
      <c r="G24" s="270">
        <f t="shared" si="3"/>
        <v>14.466649987853678</v>
      </c>
      <c r="I24" s="266" t="str">
        <f t="shared" si="1"/>
        <v xml:space="preserve"> LOUIS RIEL</v>
      </c>
      <c r="J24" s="4">
        <f t="shared" si="2"/>
        <v>13.283493527850837</v>
      </c>
      <c r="M24" s="652"/>
    </row>
    <row r="25" spans="1:13" ht="14.1" customHeight="1">
      <c r="A25" s="410" t="s">
        <v>248</v>
      </c>
      <c r="B25" s="408">
        <v>4952113440</v>
      </c>
      <c r="C25" s="408">
        <v>11114340</v>
      </c>
      <c r="D25" s="408">
        <v>977802630</v>
      </c>
      <c r="E25" s="408">
        <f t="shared" si="0"/>
        <v>5941030410</v>
      </c>
      <c r="F25" s="408">
        <f>'- 56 -'!C25</f>
        <v>78917639</v>
      </c>
      <c r="G25" s="409">
        <f t="shared" si="3"/>
        <v>13.283493527850837</v>
      </c>
      <c r="I25" s="266" t="str">
        <f t="shared" si="1"/>
        <v xml:space="preserve"> MOUNTAIN VIEW</v>
      </c>
      <c r="J25" s="4">
        <f t="shared" si="2"/>
        <v>19.090216824236443</v>
      </c>
      <c r="M25" s="652"/>
    </row>
    <row r="26" spans="1:13" ht="14.1" customHeight="1">
      <c r="A26" s="269" t="s">
        <v>249</v>
      </c>
      <c r="B26" s="171">
        <v>382686680</v>
      </c>
      <c r="C26" s="171">
        <v>194197110</v>
      </c>
      <c r="D26" s="171">
        <v>115886550</v>
      </c>
      <c r="E26" s="171">
        <f t="shared" si="0"/>
        <v>692770340</v>
      </c>
      <c r="F26" s="171">
        <f>'- 56 -'!C26</f>
        <v>13225136</v>
      </c>
      <c r="G26" s="270">
        <f t="shared" si="3"/>
        <v>19.090216824236443</v>
      </c>
      <c r="I26" s="266" t="str">
        <f t="shared" si="1"/>
        <v xml:space="preserve"> MYSTERY LAKE</v>
      </c>
      <c r="J26" s="4">
        <f t="shared" si="2"/>
        <v>18.635027696905503</v>
      </c>
      <c r="M26" s="652"/>
    </row>
    <row r="27" spans="1:13" ht="14.1" customHeight="1">
      <c r="A27" s="410" t="s">
        <v>250</v>
      </c>
      <c r="B27" s="408">
        <v>305814240</v>
      </c>
      <c r="C27" s="408">
        <v>0</v>
      </c>
      <c r="D27" s="408">
        <v>113488920</v>
      </c>
      <c r="E27" s="408">
        <f t="shared" si="0"/>
        <v>419303160</v>
      </c>
      <c r="F27" s="408">
        <f>'- 56 -'!C27</f>
        <v>7813726</v>
      </c>
      <c r="G27" s="409">
        <f t="shared" ref="G27:G34" si="4">F27/E27*1000</f>
        <v>18.635027696905503</v>
      </c>
      <c r="I27" s="266" t="str">
        <f t="shared" si="1"/>
        <v xml:space="preserve"> PARK WEST</v>
      </c>
      <c r="J27" s="4">
        <f t="shared" si="2"/>
        <v>15.160461091796163</v>
      </c>
      <c r="M27" s="652"/>
    </row>
    <row r="28" spans="1:13" ht="14.1" customHeight="1">
      <c r="A28" s="269" t="s">
        <v>251</v>
      </c>
      <c r="B28" s="171">
        <v>173075890</v>
      </c>
      <c r="C28" s="171">
        <v>203295630</v>
      </c>
      <c r="D28" s="171">
        <v>157667910</v>
      </c>
      <c r="E28" s="171">
        <f t="shared" si="0"/>
        <v>534039430</v>
      </c>
      <c r="F28" s="171">
        <f>'- 56 -'!C28</f>
        <v>8096284</v>
      </c>
      <c r="G28" s="270">
        <f t="shared" si="4"/>
        <v>15.160461091796163</v>
      </c>
      <c r="I28" s="266" t="str">
        <f t="shared" si="1"/>
        <v xml:space="preserve"> PEMBINA TRAILS</v>
      </c>
      <c r="J28" s="4">
        <f t="shared" si="2"/>
        <v>13.227617198353357</v>
      </c>
      <c r="M28" s="652"/>
    </row>
    <row r="29" spans="1:13" ht="14.1" customHeight="1">
      <c r="A29" s="410" t="s">
        <v>252</v>
      </c>
      <c r="B29" s="408">
        <v>4823313810</v>
      </c>
      <c r="C29" s="408">
        <v>11574560</v>
      </c>
      <c r="D29" s="408">
        <v>1015907570</v>
      </c>
      <c r="E29" s="408">
        <f t="shared" si="0"/>
        <v>5850795940</v>
      </c>
      <c r="F29" s="408">
        <f>'- 56 -'!C29</f>
        <v>77392089</v>
      </c>
      <c r="G29" s="409">
        <f t="shared" si="4"/>
        <v>13.227617198353357</v>
      </c>
      <c r="I29" s="266" t="str">
        <f t="shared" si="1"/>
        <v xml:space="preserve"> PINE CREEK</v>
      </c>
      <c r="J29" s="4">
        <f t="shared" si="2"/>
        <v>17.092347782855803</v>
      </c>
      <c r="M29" s="652"/>
    </row>
    <row r="30" spans="1:13" ht="14.1" customHeight="1">
      <c r="A30" s="269" t="s">
        <v>253</v>
      </c>
      <c r="B30" s="171">
        <v>98535430</v>
      </c>
      <c r="C30" s="171">
        <v>129883700</v>
      </c>
      <c r="D30" s="171">
        <v>80255200</v>
      </c>
      <c r="E30" s="171">
        <f t="shared" si="0"/>
        <v>308674330</v>
      </c>
      <c r="F30" s="171">
        <f>'- 56 -'!C30</f>
        <v>5275969</v>
      </c>
      <c r="G30" s="270">
        <f t="shared" si="4"/>
        <v>17.092347782855803</v>
      </c>
      <c r="I30" s="266" t="str">
        <f t="shared" si="1"/>
        <v xml:space="preserve"> PORTAGE LA PRAIRIE</v>
      </c>
      <c r="J30" s="4">
        <f t="shared" si="2"/>
        <v>15.729658604768465</v>
      </c>
      <c r="M30" s="652"/>
    </row>
    <row r="31" spans="1:13" ht="14.1" customHeight="1">
      <c r="A31" s="410" t="s">
        <v>254</v>
      </c>
      <c r="B31" s="408">
        <v>425735150</v>
      </c>
      <c r="C31" s="408">
        <v>181872720</v>
      </c>
      <c r="D31" s="408">
        <v>288272540</v>
      </c>
      <c r="E31" s="408">
        <f t="shared" si="0"/>
        <v>895880410</v>
      </c>
      <c r="F31" s="408">
        <f>'- 56 -'!C31</f>
        <v>14091893</v>
      </c>
      <c r="G31" s="409">
        <f t="shared" si="4"/>
        <v>15.729658604768465</v>
      </c>
      <c r="I31" s="266" t="str">
        <f t="shared" si="1"/>
        <v xml:space="preserve"> PRAIRIE ROSE</v>
      </c>
      <c r="J31" s="4">
        <f t="shared" si="2"/>
        <v>14.473853859252268</v>
      </c>
      <c r="M31" s="652"/>
    </row>
    <row r="32" spans="1:13" ht="14.1" customHeight="1">
      <c r="A32" s="269" t="s">
        <v>255</v>
      </c>
      <c r="B32" s="171">
        <v>363581140</v>
      </c>
      <c r="C32" s="171">
        <v>320800290</v>
      </c>
      <c r="D32" s="171">
        <v>116654570</v>
      </c>
      <c r="E32" s="171">
        <f t="shared" si="0"/>
        <v>801036000</v>
      </c>
      <c r="F32" s="171">
        <f>'- 56 -'!C32</f>
        <v>11594078</v>
      </c>
      <c r="G32" s="270">
        <f t="shared" si="4"/>
        <v>14.473853859252268</v>
      </c>
      <c r="I32" s="266" t="str">
        <f t="shared" si="1"/>
        <v xml:space="preserve"> PRAIRIE SPIRIT</v>
      </c>
      <c r="J32" s="4">
        <f t="shared" si="2"/>
        <v>15.888112386483442</v>
      </c>
      <c r="M32" s="652"/>
    </row>
    <row r="33" spans="1:13" ht="14.1" customHeight="1">
      <c r="A33" s="410" t="s">
        <v>256</v>
      </c>
      <c r="B33" s="408">
        <v>217742320</v>
      </c>
      <c r="C33" s="408">
        <v>401860250</v>
      </c>
      <c r="D33" s="408">
        <v>142600120</v>
      </c>
      <c r="E33" s="408">
        <f t="shared" si="0"/>
        <v>762202690</v>
      </c>
      <c r="F33" s="408">
        <f>'- 56 -'!C33</f>
        <v>12109962</v>
      </c>
      <c r="G33" s="409">
        <f t="shared" si="4"/>
        <v>15.888112386483442</v>
      </c>
      <c r="I33" s="266" t="str">
        <f t="shared" si="1"/>
        <v xml:space="preserve"> RED RIVER VALLEY</v>
      </c>
      <c r="J33" s="4">
        <f t="shared" si="2"/>
        <v>16.799831080446435</v>
      </c>
      <c r="M33" s="652"/>
    </row>
    <row r="34" spans="1:13" ht="14.1" customHeight="1">
      <c r="A34" s="269" t="s">
        <v>257</v>
      </c>
      <c r="B34" s="171">
        <v>366487260</v>
      </c>
      <c r="C34" s="171">
        <v>257452760</v>
      </c>
      <c r="D34" s="171">
        <v>187854690</v>
      </c>
      <c r="E34" s="171">
        <f t="shared" si="0"/>
        <v>811794710</v>
      </c>
      <c r="F34" s="171">
        <f>'- 56 -'!C34</f>
        <v>13638014</v>
      </c>
      <c r="G34" s="270">
        <f t="shared" si="4"/>
        <v>16.799831080446435</v>
      </c>
      <c r="I34" s="266" t="str">
        <f t="shared" si="1"/>
        <v xml:space="preserve"> RIVER EAST TRANSCONA</v>
      </c>
      <c r="J34" s="4">
        <f t="shared" si="2"/>
        <v>14.638837452834139</v>
      </c>
      <c r="M34" s="652"/>
    </row>
    <row r="35" spans="1:13" ht="14.1" customHeight="1">
      <c r="A35" s="410" t="s">
        <v>258</v>
      </c>
      <c r="B35" s="408">
        <v>4235433390</v>
      </c>
      <c r="C35" s="408">
        <v>12492900</v>
      </c>
      <c r="D35" s="408">
        <v>755584080</v>
      </c>
      <c r="E35" s="408">
        <f t="shared" si="0"/>
        <v>5003510370</v>
      </c>
      <c r="F35" s="408">
        <f>'- 56 -'!C35</f>
        <v>73245575</v>
      </c>
      <c r="G35" s="409">
        <f t="shared" ref="G35:G46" si="5">F35/E35*1000</f>
        <v>14.638837452834139</v>
      </c>
      <c r="I35" s="266" t="str">
        <f t="shared" si="1"/>
        <v xml:space="preserve"> ROLLING RIVER</v>
      </c>
      <c r="J35" s="4">
        <f t="shared" si="2"/>
        <v>15.18739967854483</v>
      </c>
      <c r="M35" s="652"/>
    </row>
    <row r="36" spans="1:13" ht="14.1" customHeight="1">
      <c r="A36" s="269" t="s">
        <v>259</v>
      </c>
      <c r="B36" s="171">
        <v>332170730</v>
      </c>
      <c r="C36" s="171">
        <v>130803250</v>
      </c>
      <c r="D36" s="171">
        <v>155998800</v>
      </c>
      <c r="E36" s="171">
        <f t="shared" si="0"/>
        <v>618972780</v>
      </c>
      <c r="F36" s="171">
        <f>'- 56 -'!C36</f>
        <v>9400587</v>
      </c>
      <c r="G36" s="270">
        <f t="shared" si="5"/>
        <v>15.18739967854483</v>
      </c>
      <c r="I36" s="266" t="str">
        <f t="shared" si="1"/>
        <v xml:space="preserve"> SEINE RIVER</v>
      </c>
      <c r="J36" s="4">
        <f t="shared" si="2"/>
        <v>15.536429544550314</v>
      </c>
      <c r="M36" s="652"/>
    </row>
    <row r="37" spans="1:13" ht="14.1" customHeight="1">
      <c r="A37" s="410" t="s">
        <v>260</v>
      </c>
      <c r="B37" s="408">
        <v>993218090</v>
      </c>
      <c r="C37" s="408">
        <v>102619200</v>
      </c>
      <c r="D37" s="408">
        <v>145623880</v>
      </c>
      <c r="E37" s="408">
        <f t="shared" si="0"/>
        <v>1241461170</v>
      </c>
      <c r="F37" s="408">
        <f>'- 56 -'!C37</f>
        <v>19287874</v>
      </c>
      <c r="G37" s="409">
        <f t="shared" si="5"/>
        <v>15.536429544550314</v>
      </c>
      <c r="I37" s="266" t="str">
        <f t="shared" si="1"/>
        <v xml:space="preserve"> SEVEN OAKS</v>
      </c>
      <c r="J37" s="4">
        <f t="shared" si="2"/>
        <v>16.958346909368956</v>
      </c>
      <c r="M37" s="652"/>
    </row>
    <row r="38" spans="1:13" ht="14.1" customHeight="1">
      <c r="A38" s="269" t="s">
        <v>261</v>
      </c>
      <c r="B38" s="171">
        <v>2209875550</v>
      </c>
      <c r="C38" s="171">
        <v>10680240</v>
      </c>
      <c r="D38" s="171">
        <v>293218060</v>
      </c>
      <c r="E38" s="171">
        <f t="shared" si="0"/>
        <v>2513773850</v>
      </c>
      <c r="F38" s="171">
        <f>'- 56 -'!C38</f>
        <v>42629449</v>
      </c>
      <c r="G38" s="270">
        <f t="shared" si="5"/>
        <v>16.958346909368956</v>
      </c>
      <c r="I38" s="266" t="str">
        <f t="shared" si="1"/>
        <v xml:space="preserve"> SOUTHWEST HORIZON</v>
      </c>
      <c r="J38" s="4">
        <f t="shared" si="2"/>
        <v>14.968209923612523</v>
      </c>
      <c r="M38" s="652"/>
    </row>
    <row r="39" spans="1:13" ht="14.1" customHeight="1">
      <c r="A39" s="410" t="s">
        <v>262</v>
      </c>
      <c r="B39" s="408">
        <v>195290520</v>
      </c>
      <c r="C39" s="408">
        <v>262002110</v>
      </c>
      <c r="D39" s="408">
        <v>222490260</v>
      </c>
      <c r="E39" s="408">
        <f t="shared" si="0"/>
        <v>679782890</v>
      </c>
      <c r="F39" s="408">
        <f>'- 56 -'!C39</f>
        <v>10175133</v>
      </c>
      <c r="G39" s="409">
        <f t="shared" si="5"/>
        <v>14.968209923612523</v>
      </c>
      <c r="I39" s="266" t="str">
        <f t="shared" si="1"/>
        <v xml:space="preserve"> ST. JAMES-ASSINIBOIA</v>
      </c>
      <c r="J39" s="4">
        <f t="shared" si="2"/>
        <v>13.398505086892365</v>
      </c>
      <c r="M39" s="652"/>
    </row>
    <row r="40" spans="1:13" ht="14.1" customHeight="1">
      <c r="A40" s="269" t="s">
        <v>263</v>
      </c>
      <c r="B40" s="171">
        <v>2389078310</v>
      </c>
      <c r="C40" s="171">
        <v>13190320</v>
      </c>
      <c r="D40" s="171">
        <v>1241125740</v>
      </c>
      <c r="E40" s="171">
        <f t="shared" si="0"/>
        <v>3643394370</v>
      </c>
      <c r="F40" s="171">
        <f>'- 56 -'!C40</f>
        <v>48816038</v>
      </c>
      <c r="G40" s="270">
        <f t="shared" si="5"/>
        <v>13.398505086892365</v>
      </c>
      <c r="I40" s="266" t="str">
        <f t="shared" si="1"/>
        <v xml:space="preserve"> SUNRISE</v>
      </c>
      <c r="J40" s="4">
        <f t="shared" si="2"/>
        <v>14.857944819805915</v>
      </c>
      <c r="M40" s="652"/>
    </row>
    <row r="41" spans="1:13" ht="14.1" customHeight="1">
      <c r="A41" s="410" t="s">
        <v>264</v>
      </c>
      <c r="B41" s="408">
        <v>1432232680</v>
      </c>
      <c r="C41" s="408">
        <v>161481000</v>
      </c>
      <c r="D41" s="408">
        <v>301579400</v>
      </c>
      <c r="E41" s="408">
        <f t="shared" si="0"/>
        <v>1895293080</v>
      </c>
      <c r="F41" s="408">
        <f>'- 56 -'!C41</f>
        <v>28160160</v>
      </c>
      <c r="G41" s="409">
        <f t="shared" si="5"/>
        <v>14.857944819805915</v>
      </c>
      <c r="I41" s="266" t="str">
        <f t="shared" si="1"/>
        <v xml:space="preserve"> SWAN VALLEY</v>
      </c>
      <c r="J41" s="4">
        <f t="shared" si="2"/>
        <v>18.678137856399569</v>
      </c>
      <c r="M41" s="652"/>
    </row>
    <row r="42" spans="1:13" ht="14.1" customHeight="1">
      <c r="A42" s="269" t="s">
        <v>265</v>
      </c>
      <c r="B42" s="171">
        <v>169131770</v>
      </c>
      <c r="C42" s="171">
        <v>110622470</v>
      </c>
      <c r="D42" s="171">
        <v>66372020</v>
      </c>
      <c r="E42" s="171">
        <f t="shared" si="0"/>
        <v>346126260</v>
      </c>
      <c r="F42" s="171">
        <f>'- 56 -'!C42</f>
        <v>6464994</v>
      </c>
      <c r="G42" s="270">
        <f t="shared" si="5"/>
        <v>18.678137856399569</v>
      </c>
      <c r="I42" s="266" t="str">
        <f t="shared" si="1"/>
        <v xml:space="preserve"> TURTLE MOUNTAIN</v>
      </c>
      <c r="J42" s="4">
        <f t="shared" si="2"/>
        <v>16.366904290057438</v>
      </c>
      <c r="M42" s="652"/>
    </row>
    <row r="43" spans="1:13" ht="14.1" customHeight="1">
      <c r="A43" s="410" t="s">
        <v>266</v>
      </c>
      <c r="B43" s="408">
        <v>159255500</v>
      </c>
      <c r="C43" s="408">
        <v>131979800</v>
      </c>
      <c r="D43" s="408">
        <v>51228180</v>
      </c>
      <c r="E43" s="408">
        <f t="shared" si="0"/>
        <v>342463480</v>
      </c>
      <c r="F43" s="408">
        <f>'- 56 -'!C43</f>
        <v>5605067</v>
      </c>
      <c r="G43" s="409">
        <f t="shared" si="5"/>
        <v>16.366904290057438</v>
      </c>
      <c r="I43" s="266" t="str">
        <f t="shared" si="1"/>
        <v xml:space="preserve"> TURTLE RIVER</v>
      </c>
      <c r="J43" s="4">
        <f t="shared" si="2"/>
        <v>19.320924401324479</v>
      </c>
      <c r="M43" s="652"/>
    </row>
    <row r="44" spans="1:13" ht="14.1" customHeight="1">
      <c r="A44" s="269" t="s">
        <v>267</v>
      </c>
      <c r="B44" s="171">
        <v>68300430</v>
      </c>
      <c r="C44" s="171">
        <v>65574270</v>
      </c>
      <c r="D44" s="171">
        <v>13319810</v>
      </c>
      <c r="E44" s="171">
        <f t="shared" si="0"/>
        <v>147194510</v>
      </c>
      <c r="F44" s="171">
        <f>'- 56 -'!C44</f>
        <v>2843934</v>
      </c>
      <c r="G44" s="270">
        <f t="shared" si="5"/>
        <v>19.320924401324479</v>
      </c>
      <c r="I44" s="266" t="str">
        <f t="shared" si="1"/>
        <v xml:space="preserve"> WESTERN</v>
      </c>
      <c r="J44" s="4">
        <f t="shared" si="2"/>
        <v>18.381702655581645</v>
      </c>
      <c r="M44" s="652"/>
    </row>
    <row r="45" spans="1:13" ht="14.1" customHeight="1">
      <c r="A45" s="410" t="s">
        <v>268</v>
      </c>
      <c r="B45" s="408">
        <v>254866620</v>
      </c>
      <c r="C45" s="408">
        <v>50851780</v>
      </c>
      <c r="D45" s="408">
        <v>82459460</v>
      </c>
      <c r="E45" s="408">
        <f t="shared" si="0"/>
        <v>388177860</v>
      </c>
      <c r="F45" s="408">
        <f>'- 56 -'!C45</f>
        <v>7135370</v>
      </c>
      <c r="G45" s="409">
        <f t="shared" si="5"/>
        <v>18.381702655581645</v>
      </c>
      <c r="I45" s="266" t="str">
        <f>A46</f>
        <v xml:space="preserve"> WINNIPEG</v>
      </c>
      <c r="J45" s="4">
        <f>G46</f>
        <v>16.733323868677022</v>
      </c>
      <c r="M45" s="652"/>
    </row>
    <row r="46" spans="1:13" ht="14.1" customHeight="1">
      <c r="A46" s="269" t="s">
        <v>269</v>
      </c>
      <c r="B46" s="171">
        <v>5468955990</v>
      </c>
      <c r="C46" s="171">
        <v>2703220</v>
      </c>
      <c r="D46" s="171">
        <v>3685355810</v>
      </c>
      <c r="E46" s="171">
        <f t="shared" si="0"/>
        <v>9157015020</v>
      </c>
      <c r="F46" s="171">
        <f>'- 56 -'!C46</f>
        <v>153227298</v>
      </c>
      <c r="G46" s="270">
        <f t="shared" si="5"/>
        <v>16.733323868677022</v>
      </c>
      <c r="M46" s="652"/>
    </row>
    <row r="47" spans="1:13" ht="5.0999999999999996" customHeight="1">
      <c r="A47" s="148"/>
      <c r="B47" s="172"/>
      <c r="C47" s="172"/>
      <c r="D47" s="172"/>
      <c r="E47" s="172"/>
      <c r="F47" s="172"/>
      <c r="G47" s="272"/>
      <c r="M47" s="652"/>
    </row>
    <row r="48" spans="1:13" ht="14.1" customHeight="1">
      <c r="A48" s="411" t="s">
        <v>358</v>
      </c>
      <c r="B48" s="412">
        <f>SUM(B11:B46)</f>
        <v>36675381460</v>
      </c>
      <c r="C48" s="412">
        <f>SUM(C11:C46)</f>
        <v>3961866080</v>
      </c>
      <c r="D48" s="412">
        <f>SUM(D11:D46)</f>
        <v>12758928220</v>
      </c>
      <c r="E48" s="412">
        <f>SUM(E11:E46)</f>
        <v>53396175760</v>
      </c>
      <c r="F48" s="412">
        <f>SUM(F11:F46)</f>
        <v>816237592</v>
      </c>
      <c r="G48" s="413">
        <f>F48/E48*1000</f>
        <v>15.286442903116251</v>
      </c>
      <c r="M48" s="652"/>
    </row>
    <row r="49" spans="1:10" ht="5.0999999999999996" customHeight="1">
      <c r="A49" s="148"/>
      <c r="B49" s="172"/>
      <c r="C49" s="172"/>
      <c r="D49" s="172"/>
      <c r="E49" s="172"/>
      <c r="F49" s="172"/>
      <c r="G49" s="172"/>
    </row>
    <row r="50" spans="1:10" ht="14.1" customHeight="1">
      <c r="A50" s="269" t="s">
        <v>359</v>
      </c>
      <c r="B50" s="171">
        <v>59447420</v>
      </c>
      <c r="C50" s="171">
        <v>704860</v>
      </c>
      <c r="D50" s="171">
        <v>3411570</v>
      </c>
      <c r="E50" s="171">
        <f>SUM(B50:D50)</f>
        <v>63563850</v>
      </c>
      <c r="F50" s="172"/>
      <c r="G50" s="172"/>
    </row>
    <row r="51" spans="1:10" ht="14.1" customHeight="1">
      <c r="A51" s="410" t="s">
        <v>360</v>
      </c>
      <c r="B51" s="408">
        <v>15368390</v>
      </c>
      <c r="C51" s="408">
        <v>12571110</v>
      </c>
      <c r="D51" s="408">
        <v>45824040</v>
      </c>
      <c r="E51" s="408">
        <f>SUM(B51:D51)</f>
        <v>73763540</v>
      </c>
      <c r="F51" s="172"/>
      <c r="G51" s="273"/>
    </row>
    <row r="52" spans="1:10" ht="5.0999999999999996" customHeight="1">
      <c r="A52" s="148"/>
      <c r="B52" s="172"/>
      <c r="C52" s="172"/>
      <c r="D52" s="172"/>
      <c r="E52" s="172"/>
      <c r="F52" s="172"/>
      <c r="G52" s="172"/>
    </row>
    <row r="53" spans="1:10" ht="14.1" customHeight="1">
      <c r="A53" s="411" t="s">
        <v>270</v>
      </c>
      <c r="B53" s="412">
        <f>SUM(B48,B50:B51)</f>
        <v>36750197270</v>
      </c>
      <c r="C53" s="412">
        <f>SUM(C48,C50:C51)</f>
        <v>3975142050</v>
      </c>
      <c r="D53" s="412">
        <f>SUM(D48,D50:D51)</f>
        <v>12808163830</v>
      </c>
      <c r="E53" s="412">
        <f>SUM(E48,E50:E51)</f>
        <v>53533503150</v>
      </c>
      <c r="F53" s="172"/>
      <c r="G53" s="273"/>
    </row>
    <row r="54" spans="1:10" ht="50.1" customHeight="1">
      <c r="A54" s="30"/>
      <c r="B54" s="30"/>
      <c r="C54" s="30"/>
      <c r="D54" s="30"/>
      <c r="E54" s="30"/>
      <c r="F54" s="30"/>
      <c r="G54" s="30"/>
    </row>
    <row r="55" spans="1:10" ht="15" customHeight="1">
      <c r="A55" s="151" t="s">
        <v>750</v>
      </c>
      <c r="B55" s="45"/>
      <c r="C55" s="45"/>
      <c r="D55" s="45"/>
      <c r="E55" s="45"/>
      <c r="F55" s="45"/>
      <c r="G55" s="45"/>
      <c r="H55" s="45"/>
      <c r="I55" s="45"/>
      <c r="J55" s="45"/>
    </row>
    <row r="56" spans="1:10" ht="12" customHeight="1">
      <c r="A56" s="151" t="s">
        <v>731</v>
      </c>
      <c r="B56" s="45"/>
      <c r="C56" s="45"/>
      <c r="D56" s="45"/>
      <c r="E56" s="45"/>
      <c r="F56" s="45"/>
      <c r="G56" s="45"/>
      <c r="H56" s="45"/>
      <c r="I56" s="45"/>
      <c r="J56" s="45"/>
    </row>
    <row r="57" spans="1:10" ht="12" customHeight="1">
      <c r="A57" s="1" t="s">
        <v>630</v>
      </c>
      <c r="B57" s="45"/>
      <c r="C57" s="45"/>
      <c r="D57" s="45"/>
      <c r="E57" s="45"/>
      <c r="F57" s="45"/>
      <c r="G57" s="45"/>
      <c r="H57" s="45"/>
      <c r="I57" s="45"/>
      <c r="J57" s="45"/>
    </row>
  </sheetData>
  <phoneticPr fontId="0" type="noConversion"/>
  <pageMargins left="0.5" right="0.5" top="0.6" bottom="0.2" header="0.3" footer="0.5"/>
  <pageSetup scale="95" orientation="portrait" r:id="rId1"/>
  <headerFooter alignWithMargins="0">
    <oddHeader>&amp;C&amp;"Arial,Regular"&amp;11&amp;A</oddHeader>
  </headerFooter>
  <legacyDrawing r:id="rId2"/>
</worksheet>
</file>

<file path=xl/worksheets/sheet49.xml><?xml version="1.0" encoding="utf-8"?>
<worksheet xmlns="http://schemas.openxmlformats.org/spreadsheetml/2006/main" xmlns:r="http://schemas.openxmlformats.org/officeDocument/2006/relationships">
  <sheetPr codeName="Sheet56">
    <pageSetUpPr fitToPage="1"/>
  </sheetPr>
  <dimension ref="A1:F58"/>
  <sheetViews>
    <sheetView showGridLines="0" showZeros="0" workbookViewId="0"/>
  </sheetViews>
  <sheetFormatPr defaultColWidth="13.6640625" defaultRowHeight="12"/>
  <cols>
    <col min="1" max="1" width="37.5" style="1" customWidth="1"/>
    <col min="2" max="2" width="22" style="1" customWidth="1"/>
    <col min="3" max="4" width="22.5" style="1" customWidth="1"/>
    <col min="5" max="5" width="14.33203125" style="1" customWidth="1"/>
    <col min="6" max="6" width="19.6640625" style="1" customWidth="1"/>
    <col min="7" max="16384" width="13.6640625" style="1"/>
  </cols>
  <sheetData>
    <row r="1" spans="1:6" ht="6.95" customHeight="1">
      <c r="A1" s="651"/>
      <c r="B1" s="30"/>
      <c r="C1" s="30"/>
      <c r="D1" s="30"/>
      <c r="E1" s="30"/>
      <c r="F1" s="30"/>
    </row>
    <row r="2" spans="1:6" ht="15.95" customHeight="1">
      <c r="A2" s="723" t="s">
        <v>583</v>
      </c>
      <c r="B2" s="723"/>
      <c r="C2" s="723"/>
      <c r="D2" s="723"/>
      <c r="E2" s="723"/>
      <c r="F2" s="723"/>
    </row>
    <row r="3" spans="1:6" ht="21" customHeight="1">
      <c r="A3" s="265" t="str">
        <f>+'- 54 -'!A3</f>
        <v xml:space="preserve">FOR THE 2013 TAXATION YEAR </v>
      </c>
      <c r="B3" s="257"/>
      <c r="C3" s="257"/>
      <c r="D3" s="257"/>
      <c r="E3" s="267"/>
      <c r="F3" s="267"/>
    </row>
    <row r="4" spans="1:6" ht="14.25" customHeight="1">
      <c r="B4" s="7"/>
      <c r="C4" s="7"/>
      <c r="D4" s="7"/>
    </row>
    <row r="5" spans="1:6" ht="15.95" customHeight="1">
      <c r="B5" s="7"/>
      <c r="C5" s="7"/>
      <c r="D5" s="7"/>
    </row>
    <row r="6" spans="1:6" ht="15.95" customHeight="1">
      <c r="B6" s="612"/>
      <c r="C6" s="612"/>
      <c r="D6" s="612"/>
    </row>
    <row r="7" spans="1:6" ht="15.95" customHeight="1">
      <c r="B7" s="614"/>
      <c r="C7" s="615"/>
      <c r="D7" s="616"/>
    </row>
    <row r="8" spans="1:6" ht="15.95" customHeight="1">
      <c r="A8" s="20"/>
      <c r="B8" s="617" t="s">
        <v>584</v>
      </c>
      <c r="C8" s="618" t="s">
        <v>585</v>
      </c>
      <c r="D8" s="618" t="s">
        <v>586</v>
      </c>
    </row>
    <row r="9" spans="1:6" ht="15.95" customHeight="1">
      <c r="A9" s="22" t="s">
        <v>93</v>
      </c>
      <c r="B9" s="619" t="s">
        <v>147</v>
      </c>
      <c r="C9" s="620" t="s">
        <v>587</v>
      </c>
      <c r="D9" s="620" t="s">
        <v>147</v>
      </c>
    </row>
    <row r="10" spans="1:6" ht="5.0999999999999996" customHeight="1">
      <c r="A10" s="25"/>
      <c r="B10" s="236"/>
      <c r="C10" s="236"/>
      <c r="D10" s="236"/>
    </row>
    <row r="11" spans="1:6" ht="14.1" customHeight="1">
      <c r="A11" s="410" t="s">
        <v>235</v>
      </c>
      <c r="B11" s="408">
        <f>+Data!Q11</f>
        <v>7807199</v>
      </c>
      <c r="C11" s="408">
        <v>504331</v>
      </c>
      <c r="D11" s="408">
        <f>+Data!R11</f>
        <v>7302868</v>
      </c>
    </row>
    <row r="12" spans="1:6" ht="14.1" customHeight="1">
      <c r="A12" s="269" t="s">
        <v>236</v>
      </c>
      <c r="B12" s="171">
        <f>+Data!Q12</f>
        <v>13581123</v>
      </c>
      <c r="C12" s="171">
        <v>2736955</v>
      </c>
      <c r="D12" s="171">
        <f>+Data!R12</f>
        <v>10844168</v>
      </c>
    </row>
    <row r="13" spans="1:6" ht="14.1" customHeight="1">
      <c r="A13" s="410" t="s">
        <v>237</v>
      </c>
      <c r="B13" s="408">
        <f>+Data!Q13</f>
        <v>39877926</v>
      </c>
      <c r="C13" s="408">
        <v>1848000</v>
      </c>
      <c r="D13" s="408">
        <f>+Data!R13</f>
        <v>38029913</v>
      </c>
    </row>
    <row r="14" spans="1:6" ht="14.1" customHeight="1">
      <c r="A14" s="269" t="s">
        <v>636</v>
      </c>
      <c r="B14" s="171">
        <f>+Data!Q14</f>
        <v>0</v>
      </c>
      <c r="C14" s="171">
        <v>0</v>
      </c>
      <c r="D14" s="171">
        <f>+Data!R14</f>
        <v>0</v>
      </c>
    </row>
    <row r="15" spans="1:6" ht="14.1" customHeight="1">
      <c r="A15" s="410" t="s">
        <v>238</v>
      </c>
      <c r="B15" s="408">
        <f>+Data!Q15</f>
        <v>10661564</v>
      </c>
      <c r="C15" s="408">
        <v>1595317</v>
      </c>
      <c r="D15" s="408">
        <f>+Data!R15</f>
        <v>9066247</v>
      </c>
    </row>
    <row r="16" spans="1:6" ht="14.1" customHeight="1">
      <c r="A16" s="269" t="s">
        <v>239</v>
      </c>
      <c r="B16" s="171">
        <f>+Data!Q16</f>
        <v>4511152</v>
      </c>
      <c r="C16" s="171">
        <v>752713</v>
      </c>
      <c r="D16" s="171">
        <f>+Data!R16</f>
        <v>3758439</v>
      </c>
    </row>
    <row r="17" spans="1:4" ht="14.1" customHeight="1">
      <c r="A17" s="410" t="s">
        <v>240</v>
      </c>
      <c r="B17" s="408">
        <f>+Data!Q17</f>
        <v>8064236</v>
      </c>
      <c r="C17" s="408">
        <v>487785</v>
      </c>
      <c r="D17" s="408">
        <f>+Data!R17</f>
        <v>7576451</v>
      </c>
    </row>
    <row r="18" spans="1:4" ht="14.1" customHeight="1">
      <c r="A18" s="269" t="s">
        <v>241</v>
      </c>
      <c r="B18" s="171">
        <f>+Data!Q18</f>
        <v>3436787</v>
      </c>
      <c r="C18" s="171">
        <v>318474</v>
      </c>
      <c r="D18" s="171">
        <f>+Data!R18</f>
        <v>3118313</v>
      </c>
    </row>
    <row r="19" spans="1:4" ht="14.1" customHeight="1">
      <c r="A19" s="410" t="s">
        <v>242</v>
      </c>
      <c r="B19" s="408">
        <f>+Data!Q19</f>
        <v>16434868</v>
      </c>
      <c r="C19" s="408">
        <v>646173</v>
      </c>
      <c r="D19" s="408">
        <f>+Data!R19</f>
        <v>15788695</v>
      </c>
    </row>
    <row r="20" spans="1:4" ht="14.1" customHeight="1">
      <c r="A20" s="269" t="s">
        <v>243</v>
      </c>
      <c r="B20" s="171">
        <f>+Data!Q20</f>
        <v>27133792</v>
      </c>
      <c r="C20" s="171">
        <v>1508126</v>
      </c>
      <c r="D20" s="171">
        <f>+Data!R20</f>
        <v>25625666</v>
      </c>
    </row>
    <row r="21" spans="1:4" ht="14.1" customHeight="1">
      <c r="A21" s="410" t="s">
        <v>244</v>
      </c>
      <c r="B21" s="408">
        <f>+Data!Q21</f>
        <v>15573280</v>
      </c>
      <c r="C21" s="408">
        <v>1289551</v>
      </c>
      <c r="D21" s="408">
        <f>+Data!R21</f>
        <v>14283729</v>
      </c>
    </row>
    <row r="22" spans="1:4" ht="14.1" customHeight="1">
      <c r="A22" s="269" t="s">
        <v>245</v>
      </c>
      <c r="B22" s="171">
        <f>+Data!Q22</f>
        <v>4500156</v>
      </c>
      <c r="C22" s="171">
        <v>309407</v>
      </c>
      <c r="D22" s="171">
        <f>+Data!R22</f>
        <v>4190749</v>
      </c>
    </row>
    <row r="23" spans="1:4" ht="14.1" customHeight="1">
      <c r="A23" s="410" t="s">
        <v>246</v>
      </c>
      <c r="B23" s="408">
        <f>+Data!Q23</f>
        <v>4578716</v>
      </c>
      <c r="C23" s="408">
        <v>440073</v>
      </c>
      <c r="D23" s="408">
        <f>+Data!R23</f>
        <v>4138643</v>
      </c>
    </row>
    <row r="24" spans="1:4" ht="14.1" customHeight="1">
      <c r="A24" s="269" t="s">
        <v>247</v>
      </c>
      <c r="B24" s="171">
        <f>+Data!Q24</f>
        <v>26060345</v>
      </c>
      <c r="C24" s="171">
        <v>2692903</v>
      </c>
      <c r="D24" s="171">
        <f>+Data!R24</f>
        <v>23367442</v>
      </c>
    </row>
    <row r="25" spans="1:4" ht="14.1" customHeight="1">
      <c r="A25" s="410" t="s">
        <v>248</v>
      </c>
      <c r="B25" s="408">
        <f>+Data!Q25</f>
        <v>85458642</v>
      </c>
      <c r="C25" s="408">
        <v>6541003</v>
      </c>
      <c r="D25" s="408">
        <f>+Data!R25</f>
        <v>78917639</v>
      </c>
    </row>
    <row r="26" spans="1:4" ht="14.1" customHeight="1">
      <c r="A26" s="269" t="s">
        <v>249</v>
      </c>
      <c r="B26" s="171">
        <f>+Data!Q26</f>
        <v>13915496</v>
      </c>
      <c r="C26" s="171">
        <v>690360</v>
      </c>
      <c r="D26" s="171">
        <f>+Data!R26</f>
        <v>13225136</v>
      </c>
    </row>
    <row r="27" spans="1:4" ht="14.1" customHeight="1">
      <c r="A27" s="410" t="s">
        <v>250</v>
      </c>
      <c r="B27" s="408">
        <f>+Data!Q27</f>
        <v>8899776</v>
      </c>
      <c r="C27" s="408">
        <v>1086050</v>
      </c>
      <c r="D27" s="408">
        <f>+Data!R27</f>
        <v>7813726</v>
      </c>
    </row>
    <row r="28" spans="1:4" ht="14.1" customHeight="1">
      <c r="A28" s="269" t="s">
        <v>251</v>
      </c>
      <c r="B28" s="171">
        <f>+Data!Q28</f>
        <v>8913637</v>
      </c>
      <c r="C28" s="171">
        <v>817353</v>
      </c>
      <c r="D28" s="171">
        <f>+Data!R28</f>
        <v>8096284</v>
      </c>
    </row>
    <row r="29" spans="1:4" ht="14.1" customHeight="1">
      <c r="A29" s="410" t="s">
        <v>252</v>
      </c>
      <c r="B29" s="408">
        <f>+Data!Q29</f>
        <v>82251778</v>
      </c>
      <c r="C29" s="408">
        <v>4859689</v>
      </c>
      <c r="D29" s="408">
        <f>+Data!R29</f>
        <v>77392089</v>
      </c>
    </row>
    <row r="30" spans="1:4" ht="14.1" customHeight="1">
      <c r="A30" s="269" t="s">
        <v>253</v>
      </c>
      <c r="B30" s="171">
        <f>+Data!Q30</f>
        <v>5608184</v>
      </c>
      <c r="C30" s="171">
        <v>332215</v>
      </c>
      <c r="D30" s="171">
        <f>+Data!R30</f>
        <v>5275969</v>
      </c>
    </row>
    <row r="31" spans="1:4" ht="14.1" customHeight="1">
      <c r="A31" s="410" t="s">
        <v>254</v>
      </c>
      <c r="B31" s="408">
        <f>+Data!Q31</f>
        <v>14614929</v>
      </c>
      <c r="C31" s="408">
        <v>523036</v>
      </c>
      <c r="D31" s="408">
        <f>+Data!R31</f>
        <v>14091893</v>
      </c>
    </row>
    <row r="32" spans="1:4" ht="14.1" customHeight="1">
      <c r="A32" s="269" t="s">
        <v>255</v>
      </c>
      <c r="B32" s="171">
        <f>+Data!Q32</f>
        <v>12747187</v>
      </c>
      <c r="C32" s="171">
        <v>1153109</v>
      </c>
      <c r="D32" s="171">
        <f>+Data!R32</f>
        <v>11594078</v>
      </c>
    </row>
    <row r="33" spans="1:4" ht="14.1" customHeight="1">
      <c r="A33" s="410" t="s">
        <v>256</v>
      </c>
      <c r="B33" s="408">
        <f>+Data!Q33</f>
        <v>13003947</v>
      </c>
      <c r="C33" s="408">
        <v>893985</v>
      </c>
      <c r="D33" s="408">
        <f>+Data!R33</f>
        <v>12109962</v>
      </c>
    </row>
    <row r="34" spans="1:4" ht="14.1" customHeight="1">
      <c r="A34" s="269" t="s">
        <v>257</v>
      </c>
      <c r="B34" s="171">
        <f>+Data!Q34</f>
        <v>14507890</v>
      </c>
      <c r="C34" s="171">
        <v>869876</v>
      </c>
      <c r="D34" s="171">
        <f>+Data!R34</f>
        <v>13638014</v>
      </c>
    </row>
    <row r="35" spans="1:4" ht="14.1" customHeight="1">
      <c r="A35" s="410" t="s">
        <v>258</v>
      </c>
      <c r="B35" s="408">
        <f>+Data!Q35</f>
        <v>74736098</v>
      </c>
      <c r="C35" s="408">
        <v>1490523</v>
      </c>
      <c r="D35" s="408">
        <f>+Data!R35</f>
        <v>73245575</v>
      </c>
    </row>
    <row r="36" spans="1:4" ht="14.1" customHeight="1">
      <c r="A36" s="269" t="s">
        <v>259</v>
      </c>
      <c r="B36" s="171">
        <f>+Data!Q36</f>
        <v>10164478</v>
      </c>
      <c r="C36" s="171">
        <v>763891</v>
      </c>
      <c r="D36" s="171">
        <f>+Data!R36</f>
        <v>9400587</v>
      </c>
    </row>
    <row r="37" spans="1:4" ht="14.1" customHeight="1">
      <c r="A37" s="410" t="s">
        <v>260</v>
      </c>
      <c r="B37" s="408">
        <f>+Data!Q37</f>
        <v>21866968</v>
      </c>
      <c r="C37" s="408">
        <v>2579094</v>
      </c>
      <c r="D37" s="408">
        <f>+Data!R37</f>
        <v>19287874</v>
      </c>
    </row>
    <row r="38" spans="1:4" ht="14.1" customHeight="1">
      <c r="A38" s="269" t="s">
        <v>261</v>
      </c>
      <c r="B38" s="171">
        <f>+Data!Q38</f>
        <v>47993283</v>
      </c>
      <c r="C38" s="171">
        <v>5363834</v>
      </c>
      <c r="D38" s="171">
        <f>+Data!R38</f>
        <v>42629449</v>
      </c>
    </row>
    <row r="39" spans="1:4" ht="14.1" customHeight="1">
      <c r="A39" s="410" t="s">
        <v>262</v>
      </c>
      <c r="B39" s="408">
        <f>+Data!Q39</f>
        <v>10933589</v>
      </c>
      <c r="C39" s="408">
        <v>758456</v>
      </c>
      <c r="D39" s="408">
        <f>+Data!R39</f>
        <v>10175133</v>
      </c>
    </row>
    <row r="40" spans="1:4" ht="14.1" customHeight="1">
      <c r="A40" s="269" t="s">
        <v>263</v>
      </c>
      <c r="B40" s="171">
        <f>+Data!Q40</f>
        <v>52296561</v>
      </c>
      <c r="C40" s="171">
        <v>3480523</v>
      </c>
      <c r="D40" s="171">
        <f>+Data!R40</f>
        <v>48816038</v>
      </c>
    </row>
    <row r="41" spans="1:4" ht="14.1" customHeight="1">
      <c r="A41" s="410" t="s">
        <v>264</v>
      </c>
      <c r="B41" s="408">
        <f>+Data!Q41</f>
        <v>31139857</v>
      </c>
      <c r="C41" s="408">
        <v>2979697</v>
      </c>
      <c r="D41" s="408">
        <f>+Data!R41</f>
        <v>28160160</v>
      </c>
    </row>
    <row r="42" spans="1:4" ht="14.1" customHeight="1">
      <c r="A42" s="269" t="s">
        <v>265</v>
      </c>
      <c r="B42" s="171">
        <f>+Data!Q42</f>
        <v>7521491</v>
      </c>
      <c r="C42" s="171">
        <v>1056497</v>
      </c>
      <c r="D42" s="171">
        <f>+Data!R42</f>
        <v>6464994</v>
      </c>
    </row>
    <row r="43" spans="1:4" ht="14.1" customHeight="1">
      <c r="A43" s="410" t="s">
        <v>266</v>
      </c>
      <c r="B43" s="408">
        <f>+Data!Q43</f>
        <v>5605067</v>
      </c>
      <c r="C43" s="408">
        <v>0</v>
      </c>
      <c r="D43" s="408">
        <f>+Data!R43</f>
        <v>5605067</v>
      </c>
    </row>
    <row r="44" spans="1:4" ht="14.1" customHeight="1">
      <c r="A44" s="269" t="s">
        <v>267</v>
      </c>
      <c r="B44" s="171">
        <f>+Data!Q44</f>
        <v>3312853</v>
      </c>
      <c r="C44" s="171">
        <v>468919</v>
      </c>
      <c r="D44" s="171">
        <f>+Data!R44</f>
        <v>2843934</v>
      </c>
    </row>
    <row r="45" spans="1:4" ht="14.1" customHeight="1">
      <c r="A45" s="410" t="s">
        <v>268</v>
      </c>
      <c r="B45" s="408">
        <f>+Data!Q45</f>
        <v>7135370</v>
      </c>
      <c r="C45" s="408">
        <v>0</v>
      </c>
      <c r="D45" s="408">
        <f>+Data!R45</f>
        <v>7135370</v>
      </c>
    </row>
    <row r="46" spans="1:4" ht="14.1" customHeight="1">
      <c r="A46" s="269" t="s">
        <v>269</v>
      </c>
      <c r="B46" s="171">
        <f>+Data!Q46</f>
        <v>162807694</v>
      </c>
      <c r="C46" s="171">
        <v>9580396</v>
      </c>
      <c r="D46" s="171">
        <f>+Data!R46</f>
        <v>153227298</v>
      </c>
    </row>
    <row r="47" spans="1:4" ht="5.0999999999999996" customHeight="1">
      <c r="A47" s="148"/>
      <c r="B47" s="172"/>
      <c r="C47" s="172"/>
      <c r="D47" s="172"/>
    </row>
    <row r="48" spans="1:4" ht="14.1" customHeight="1">
      <c r="A48" s="411" t="s">
        <v>270</v>
      </c>
      <c r="B48" s="412">
        <f>SUM(B11:B47)</f>
        <v>877655919</v>
      </c>
      <c r="C48" s="412">
        <f>SUM(C11:C47)</f>
        <v>61418314</v>
      </c>
      <c r="D48" s="412">
        <f>SUM(D11:D47)</f>
        <v>816237592</v>
      </c>
    </row>
    <row r="49" spans="1:6" s="206" customFormat="1" ht="53.25" customHeight="1">
      <c r="A49" s="613"/>
      <c r="B49" s="613"/>
      <c r="C49" s="613"/>
      <c r="D49" s="613"/>
      <c r="E49" s="30"/>
      <c r="F49" s="30"/>
    </row>
    <row r="50" spans="1:6" s="206" customFormat="1" ht="15" customHeight="1">
      <c r="A50" s="31" t="s">
        <v>714</v>
      </c>
      <c r="B50" s="1"/>
      <c r="C50" s="1"/>
      <c r="D50" s="1"/>
      <c r="E50" s="1"/>
      <c r="F50" s="1"/>
    </row>
    <row r="51" spans="1:6" ht="12" customHeight="1">
      <c r="A51" s="515" t="s">
        <v>751</v>
      </c>
    </row>
    <row r="52" spans="1:6" ht="12" customHeight="1">
      <c r="A52" s="1" t="s">
        <v>715</v>
      </c>
    </row>
    <row r="53" spans="1:6" ht="14.45" customHeight="1"/>
    <row r="54" spans="1:6" ht="14.45" customHeight="1"/>
    <row r="55" spans="1:6" ht="14.45" customHeight="1"/>
    <row r="56" spans="1:6" ht="14.45" customHeight="1"/>
    <row r="57" spans="1:6" ht="14.45" customHeight="1"/>
    <row r="58" spans="1:6" ht="14.45" customHeight="1"/>
  </sheetData>
  <mergeCells count="1">
    <mergeCell ref="A2:F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5.xml><?xml version="1.0" encoding="utf-8"?>
<worksheet xmlns="http://schemas.openxmlformats.org/spreadsheetml/2006/main" xmlns:r="http://schemas.openxmlformats.org/officeDocument/2006/relationships">
  <sheetPr codeName="Sheet4"/>
  <dimension ref="A1:G55"/>
  <sheetViews>
    <sheetView showGridLines="0" showZeros="0" workbookViewId="0"/>
  </sheetViews>
  <sheetFormatPr defaultColWidth="15.83203125" defaultRowHeight="12"/>
  <cols>
    <col min="1" max="1" width="34.83203125" style="1" customWidth="1"/>
    <col min="2" max="3" width="18.83203125" style="1" customWidth="1"/>
    <col min="4" max="4" width="1.83203125" style="1" customWidth="1"/>
    <col min="5" max="6" width="18.83203125" style="1" customWidth="1"/>
    <col min="7" max="7" width="21.1640625" style="1" customWidth="1"/>
    <col min="8" max="16384" width="15.83203125" style="1"/>
  </cols>
  <sheetData>
    <row r="1" spans="1:7" ht="6.95" customHeight="1">
      <c r="A1" s="6"/>
      <c r="B1" s="6"/>
      <c r="C1" s="6"/>
      <c r="D1" s="7"/>
      <c r="E1" s="7"/>
    </row>
    <row r="2" spans="1:7" ht="15.95" customHeight="1">
      <c r="A2" s="71"/>
      <c r="B2" s="8" t="s">
        <v>19</v>
      </c>
      <c r="C2" s="9"/>
      <c r="D2" s="9"/>
      <c r="E2" s="82"/>
      <c r="F2" s="92"/>
      <c r="G2" s="92" t="s">
        <v>21</v>
      </c>
    </row>
    <row r="3" spans="1:7" ht="15.95" customHeight="1">
      <c r="A3" s="698"/>
      <c r="B3" s="10" t="str">
        <f>STATDATE</f>
        <v>ACTUAL SEPTEMBER 30, 2013</v>
      </c>
      <c r="C3" s="11"/>
      <c r="D3" s="11"/>
      <c r="E3" s="84"/>
      <c r="F3" s="84"/>
      <c r="G3" s="84"/>
    </row>
    <row r="4" spans="1:7" ht="15.95" customHeight="1">
      <c r="D4" s="7"/>
      <c r="E4" s="7"/>
    </row>
    <row r="5" spans="1:7" ht="15.95" customHeight="1"/>
    <row r="6" spans="1:7" ht="15.95" customHeight="1">
      <c r="B6" s="625"/>
      <c r="C6" s="626"/>
      <c r="D6" s="206"/>
      <c r="E6" s="513"/>
    </row>
    <row r="7" spans="1:7" ht="15.95" customHeight="1">
      <c r="B7" s="627" t="s">
        <v>591</v>
      </c>
      <c r="C7" s="628"/>
      <c r="D7" s="206"/>
      <c r="E7" s="514" t="s">
        <v>67</v>
      </c>
    </row>
    <row r="8" spans="1:7" ht="15.95" customHeight="1">
      <c r="A8" s="40"/>
      <c r="B8" s="17" t="s">
        <v>196</v>
      </c>
      <c r="C8" s="156"/>
      <c r="D8" s="17"/>
      <c r="E8" s="85" t="s">
        <v>420</v>
      </c>
    </row>
    <row r="9" spans="1:7" ht="15.95" customHeight="1">
      <c r="A9" s="93" t="s">
        <v>93</v>
      </c>
      <c r="B9" s="88" t="s">
        <v>35</v>
      </c>
      <c r="C9" s="88" t="s">
        <v>67</v>
      </c>
      <c r="D9" s="95"/>
      <c r="E9" s="88" t="s">
        <v>184</v>
      </c>
    </row>
    <row r="10" spans="1:7" ht="5.0999999999999996" customHeight="1">
      <c r="A10" s="5"/>
      <c r="B10" s="96"/>
      <c r="C10" s="5"/>
      <c r="D10" s="97"/>
    </row>
    <row r="11" spans="1:7" ht="14.1" customHeight="1">
      <c r="A11" s="328" t="s">
        <v>235</v>
      </c>
      <c r="B11" s="335">
        <v>0</v>
      </c>
      <c r="C11" s="335">
        <f>SUM('- 6 -'!B11:H11,B11)</f>
        <v>1483</v>
      </c>
      <c r="D11" s="98"/>
      <c r="E11" s="335">
        <f>C11</f>
        <v>1483</v>
      </c>
    </row>
    <row r="12" spans="1:7" ht="14.1" customHeight="1">
      <c r="A12" s="26" t="s">
        <v>236</v>
      </c>
      <c r="B12" s="79">
        <v>212.8</v>
      </c>
      <c r="C12" s="79">
        <f>SUM('- 6 -'!B12:H12,B12)</f>
        <v>2188.2000000000003</v>
      </c>
      <c r="D12" s="98"/>
      <c r="E12" s="79">
        <f t="shared" ref="E12:E46" si="0">C12</f>
        <v>2188.2000000000003</v>
      </c>
    </row>
    <row r="13" spans="1:7" ht="14.1" customHeight="1">
      <c r="A13" s="328" t="s">
        <v>237</v>
      </c>
      <c r="B13" s="335">
        <v>385.3</v>
      </c>
      <c r="C13" s="335">
        <f>SUM('- 6 -'!B13:H13,B13)</f>
        <v>8000.5</v>
      </c>
      <c r="D13" s="98"/>
      <c r="E13" s="335">
        <f t="shared" si="0"/>
        <v>8000.5</v>
      </c>
    </row>
    <row r="14" spans="1:7" ht="14.1" customHeight="1">
      <c r="A14" s="26" t="s">
        <v>636</v>
      </c>
      <c r="B14" s="79">
        <v>0</v>
      </c>
      <c r="C14" s="79">
        <f>SUM('- 6 -'!B14:H14,B14)</f>
        <v>5201</v>
      </c>
      <c r="D14" s="98"/>
      <c r="E14" s="79">
        <f t="shared" si="0"/>
        <v>5201</v>
      </c>
    </row>
    <row r="15" spans="1:7" ht="14.1" customHeight="1">
      <c r="A15" s="328" t="s">
        <v>238</v>
      </c>
      <c r="B15" s="335">
        <v>20</v>
      </c>
      <c r="C15" s="335">
        <f>SUM('- 6 -'!B15:H15,B15)</f>
        <v>1491.5</v>
      </c>
      <c r="D15" s="98"/>
      <c r="E15" s="335">
        <f t="shared" si="0"/>
        <v>1491.5</v>
      </c>
    </row>
    <row r="16" spans="1:7" ht="14.1" customHeight="1">
      <c r="A16" s="26" t="s">
        <v>239</v>
      </c>
      <c r="B16" s="79">
        <v>5</v>
      </c>
      <c r="C16" s="79">
        <f>SUM('- 6 -'!B16:H16,B16)</f>
        <v>962</v>
      </c>
      <c r="D16" s="98"/>
      <c r="E16" s="79">
        <f t="shared" si="0"/>
        <v>962</v>
      </c>
    </row>
    <row r="17" spans="1:5" ht="14.1" customHeight="1">
      <c r="A17" s="328" t="s">
        <v>240</v>
      </c>
      <c r="B17" s="335">
        <v>32.857142857142854</v>
      </c>
      <c r="C17" s="335">
        <f>SUM('- 6 -'!B17:H17,B17)</f>
        <v>1286.9571428571428</v>
      </c>
      <c r="D17" s="98"/>
      <c r="E17" s="335">
        <f t="shared" si="0"/>
        <v>1286.9571428571428</v>
      </c>
    </row>
    <row r="18" spans="1:5" ht="14.1" customHeight="1">
      <c r="A18" s="26" t="s">
        <v>241</v>
      </c>
      <c r="B18" s="79">
        <v>35.299999999999997</v>
      </c>
      <c r="C18" s="79">
        <f>SUM('- 6 -'!B18:H18,B18)</f>
        <v>6065.8</v>
      </c>
      <c r="D18" s="98"/>
      <c r="E18" s="79">
        <f t="shared" si="0"/>
        <v>6065.8</v>
      </c>
    </row>
    <row r="19" spans="1:5" ht="14.1" customHeight="1">
      <c r="A19" s="328" t="s">
        <v>242</v>
      </c>
      <c r="B19" s="335">
        <v>134.4</v>
      </c>
      <c r="C19" s="335">
        <f>SUM('- 6 -'!B19:H19,B19)</f>
        <v>4193.2</v>
      </c>
      <c r="D19" s="98"/>
      <c r="E19" s="335">
        <f t="shared" si="0"/>
        <v>4193.2</v>
      </c>
    </row>
    <row r="20" spans="1:5" ht="14.1" customHeight="1">
      <c r="A20" s="26" t="s">
        <v>243</v>
      </c>
      <c r="B20" s="79">
        <v>389.7</v>
      </c>
      <c r="C20" s="79">
        <f>SUM('- 6 -'!B20:H20,B20)</f>
        <v>7379</v>
      </c>
      <c r="D20" s="98"/>
      <c r="E20" s="79">
        <f t="shared" si="0"/>
        <v>7379</v>
      </c>
    </row>
    <row r="21" spans="1:5" ht="14.1" customHeight="1">
      <c r="A21" s="328" t="s">
        <v>244</v>
      </c>
      <c r="B21" s="335">
        <v>0</v>
      </c>
      <c r="C21" s="335">
        <f>SUM('- 6 -'!B21:H21,B21)</f>
        <v>2703</v>
      </c>
      <c r="D21" s="98"/>
      <c r="E21" s="335">
        <f t="shared" si="0"/>
        <v>2703</v>
      </c>
    </row>
    <row r="22" spans="1:5" ht="14.1" customHeight="1">
      <c r="A22" s="26" t="s">
        <v>245</v>
      </c>
      <c r="B22" s="79">
        <v>0</v>
      </c>
      <c r="C22" s="79">
        <f>SUM('- 6 -'!B22:H22,B22)</f>
        <v>1568.2</v>
      </c>
      <c r="D22" s="98"/>
      <c r="E22" s="79">
        <f t="shared" si="0"/>
        <v>1568.2</v>
      </c>
    </row>
    <row r="23" spans="1:5" ht="14.1" customHeight="1">
      <c r="A23" s="328" t="s">
        <v>246</v>
      </c>
      <c r="B23" s="335">
        <v>24</v>
      </c>
      <c r="C23" s="335">
        <f>SUM('- 6 -'!B23:H23,B23)</f>
        <v>1156.4000000000001</v>
      </c>
      <c r="D23" s="98"/>
      <c r="E23" s="335">
        <f t="shared" si="0"/>
        <v>1156.4000000000001</v>
      </c>
    </row>
    <row r="24" spans="1:5" ht="14.1" customHeight="1">
      <c r="A24" s="26" t="s">
        <v>247</v>
      </c>
      <c r="B24" s="79">
        <v>342</v>
      </c>
      <c r="C24" s="79">
        <f>SUM('- 6 -'!B24:H24,B24)</f>
        <v>4123.8999999999996</v>
      </c>
      <c r="D24" s="98"/>
      <c r="E24" s="79">
        <f t="shared" si="0"/>
        <v>4123.8999999999996</v>
      </c>
    </row>
    <row r="25" spans="1:5" ht="14.1" customHeight="1">
      <c r="A25" s="328" t="s">
        <v>248</v>
      </c>
      <c r="B25" s="335">
        <v>154</v>
      </c>
      <c r="C25" s="335">
        <f>SUM('- 6 -'!B25:H25,B25)</f>
        <v>13825</v>
      </c>
      <c r="D25" s="98"/>
      <c r="E25" s="335">
        <f t="shared" si="0"/>
        <v>13825</v>
      </c>
    </row>
    <row r="26" spans="1:5" ht="14.1" customHeight="1">
      <c r="A26" s="26" t="s">
        <v>249</v>
      </c>
      <c r="B26" s="79">
        <v>150</v>
      </c>
      <c r="C26" s="79">
        <f>SUM('- 6 -'!B26:H26,B26)</f>
        <v>3116</v>
      </c>
      <c r="D26" s="98"/>
      <c r="E26" s="79">
        <f t="shared" si="0"/>
        <v>3116</v>
      </c>
    </row>
    <row r="27" spans="1:5" ht="14.1" customHeight="1">
      <c r="A27" s="328" t="s">
        <v>250</v>
      </c>
      <c r="B27" s="335">
        <v>127.8</v>
      </c>
      <c r="C27" s="335">
        <f>SUM('- 6 -'!B27:H27,B27)</f>
        <v>2775.7000000000003</v>
      </c>
      <c r="D27" s="98"/>
      <c r="E27" s="335">
        <f t="shared" si="0"/>
        <v>2775.7000000000003</v>
      </c>
    </row>
    <row r="28" spans="1:5" ht="14.1" customHeight="1">
      <c r="A28" s="26" t="s">
        <v>251</v>
      </c>
      <c r="B28" s="79">
        <v>0</v>
      </c>
      <c r="C28" s="79">
        <f>SUM('- 6 -'!B28:H28,B28)</f>
        <v>2008.5</v>
      </c>
      <c r="D28" s="98"/>
      <c r="E28" s="79">
        <f t="shared" si="0"/>
        <v>2008.5</v>
      </c>
    </row>
    <row r="29" spans="1:5" ht="14.1" customHeight="1">
      <c r="A29" s="328" t="s">
        <v>252</v>
      </c>
      <c r="B29" s="335">
        <v>0</v>
      </c>
      <c r="C29" s="335">
        <f>SUM('- 6 -'!B29:H29,B29)</f>
        <v>12202.7</v>
      </c>
      <c r="D29" s="98"/>
      <c r="E29" s="335">
        <f t="shared" si="0"/>
        <v>12202.7</v>
      </c>
    </row>
    <row r="30" spans="1:5" ht="14.1" customHeight="1">
      <c r="A30" s="26" t="s">
        <v>253</v>
      </c>
      <c r="B30" s="79">
        <v>23.14</v>
      </c>
      <c r="C30" s="79">
        <f>SUM('- 6 -'!B30:H30,B30)</f>
        <v>1059.5400000000002</v>
      </c>
      <c r="D30" s="98"/>
      <c r="E30" s="79">
        <f t="shared" si="0"/>
        <v>1059.5400000000002</v>
      </c>
    </row>
    <row r="31" spans="1:5" ht="14.1" customHeight="1">
      <c r="A31" s="328" t="s">
        <v>254</v>
      </c>
      <c r="B31" s="335">
        <v>86</v>
      </c>
      <c r="C31" s="335">
        <f>SUM('- 6 -'!B31:H31,B31)</f>
        <v>3181.5</v>
      </c>
      <c r="D31" s="98"/>
      <c r="E31" s="335">
        <f t="shared" si="0"/>
        <v>3181.5</v>
      </c>
    </row>
    <row r="32" spans="1:5" ht="14.1" customHeight="1">
      <c r="A32" s="26" t="s">
        <v>255</v>
      </c>
      <c r="B32" s="79">
        <v>108.5</v>
      </c>
      <c r="C32" s="79">
        <f>SUM('- 6 -'!B32:H32,B32)</f>
        <v>2022</v>
      </c>
      <c r="D32" s="98"/>
      <c r="E32" s="79">
        <f t="shared" si="0"/>
        <v>2022</v>
      </c>
    </row>
    <row r="33" spans="1:7" ht="14.1" customHeight="1">
      <c r="A33" s="328" t="s">
        <v>256</v>
      </c>
      <c r="B33" s="335">
        <v>59.4</v>
      </c>
      <c r="C33" s="335">
        <f>SUM('- 6 -'!B33:H33,B33)</f>
        <v>1999.8000000000002</v>
      </c>
      <c r="D33" s="98"/>
      <c r="E33" s="335">
        <f t="shared" si="0"/>
        <v>1999.8000000000002</v>
      </c>
    </row>
    <row r="34" spans="1:7" ht="14.1" customHeight="1">
      <c r="A34" s="26" t="s">
        <v>257</v>
      </c>
      <c r="B34" s="79">
        <v>22.3</v>
      </c>
      <c r="C34" s="79">
        <f>SUM('- 6 -'!B34:H34,B34)</f>
        <v>1970</v>
      </c>
      <c r="D34" s="98"/>
      <c r="E34" s="79">
        <f t="shared" si="0"/>
        <v>1970</v>
      </c>
    </row>
    <row r="35" spans="1:7" ht="14.1" customHeight="1">
      <c r="A35" s="328" t="s">
        <v>258</v>
      </c>
      <c r="B35" s="335">
        <v>876</v>
      </c>
      <c r="C35" s="335">
        <f>SUM('- 6 -'!B35:H35,B35)</f>
        <v>15563.5</v>
      </c>
      <c r="D35" s="98"/>
      <c r="E35" s="335">
        <f t="shared" si="0"/>
        <v>15563.5</v>
      </c>
    </row>
    <row r="36" spans="1:7" ht="14.1" customHeight="1">
      <c r="A36" s="26" t="s">
        <v>259</v>
      </c>
      <c r="B36" s="79">
        <v>13.9</v>
      </c>
      <c r="C36" s="79">
        <f>SUM('- 6 -'!B36:H36,B36)</f>
        <v>1627.5</v>
      </c>
      <c r="D36" s="98"/>
      <c r="E36" s="79">
        <f t="shared" si="0"/>
        <v>1627.5</v>
      </c>
    </row>
    <row r="37" spans="1:7" ht="14.1" customHeight="1">
      <c r="A37" s="328" t="s">
        <v>260</v>
      </c>
      <c r="B37" s="335">
        <v>0</v>
      </c>
      <c r="C37" s="335">
        <f>SUM('- 6 -'!B37:H37,B37)</f>
        <v>3913.5</v>
      </c>
      <c r="D37" s="98"/>
      <c r="E37" s="335">
        <f t="shared" si="0"/>
        <v>3913.5</v>
      </c>
    </row>
    <row r="38" spans="1:7" ht="14.1" customHeight="1">
      <c r="A38" s="26" t="s">
        <v>261</v>
      </c>
      <c r="B38" s="79">
        <v>168.6</v>
      </c>
      <c r="C38" s="79">
        <f>SUM('- 6 -'!B38:H38,B38)</f>
        <v>10451.800000000001</v>
      </c>
      <c r="D38" s="98"/>
      <c r="E38" s="79">
        <f t="shared" si="0"/>
        <v>10451.800000000001</v>
      </c>
    </row>
    <row r="39" spans="1:7" ht="14.1" customHeight="1">
      <c r="A39" s="328" t="s">
        <v>262</v>
      </c>
      <c r="B39" s="335">
        <v>27</v>
      </c>
      <c r="C39" s="335">
        <f>SUM('- 6 -'!B39:H39,B39)</f>
        <v>1555.5</v>
      </c>
      <c r="D39" s="98"/>
      <c r="E39" s="335">
        <f t="shared" si="0"/>
        <v>1555.5</v>
      </c>
    </row>
    <row r="40" spans="1:7" ht="14.1" customHeight="1">
      <c r="A40" s="26" t="s">
        <v>263</v>
      </c>
      <c r="B40" s="79">
        <v>268.14999999999998</v>
      </c>
      <c r="C40" s="79">
        <f>SUM('- 6 -'!B40:H40,B40)</f>
        <v>7943.65</v>
      </c>
      <c r="D40" s="98"/>
      <c r="E40" s="79">
        <f t="shared" si="0"/>
        <v>7943.65</v>
      </c>
    </row>
    <row r="41" spans="1:7" ht="14.1" customHeight="1">
      <c r="A41" s="328" t="s">
        <v>264</v>
      </c>
      <c r="B41" s="335">
        <v>0</v>
      </c>
      <c r="C41" s="335">
        <f>SUM('- 6 -'!B41:H41,B41)</f>
        <v>4407</v>
      </c>
      <c r="D41" s="98"/>
      <c r="E41" s="335">
        <f t="shared" si="0"/>
        <v>4407</v>
      </c>
    </row>
    <row r="42" spans="1:7" ht="14.1" customHeight="1">
      <c r="A42" s="26" t="s">
        <v>265</v>
      </c>
      <c r="B42" s="79">
        <v>166.7</v>
      </c>
      <c r="C42" s="79">
        <f>SUM('- 6 -'!B42:H42,B42)</f>
        <v>1451.3</v>
      </c>
      <c r="D42" s="98"/>
      <c r="E42" s="79">
        <f t="shared" si="0"/>
        <v>1451.3</v>
      </c>
    </row>
    <row r="43" spans="1:7" ht="14.1" customHeight="1">
      <c r="A43" s="328" t="s">
        <v>266</v>
      </c>
      <c r="B43" s="335">
        <v>39</v>
      </c>
      <c r="C43" s="335">
        <f>SUM('- 6 -'!B43:H43,B43)</f>
        <v>978.8</v>
      </c>
      <c r="D43" s="98"/>
      <c r="E43" s="335">
        <f t="shared" si="0"/>
        <v>978.8</v>
      </c>
    </row>
    <row r="44" spans="1:7" ht="14.1" customHeight="1">
      <c r="A44" s="26" t="s">
        <v>267</v>
      </c>
      <c r="B44" s="79">
        <v>0</v>
      </c>
      <c r="C44" s="79">
        <f>SUM('- 6 -'!B44:H44,B44)</f>
        <v>701.5</v>
      </c>
      <c r="D44" s="98"/>
      <c r="E44" s="79">
        <f t="shared" si="0"/>
        <v>701.5</v>
      </c>
    </row>
    <row r="45" spans="1:7" ht="14.1" customHeight="1">
      <c r="A45" s="328" t="s">
        <v>268</v>
      </c>
      <c r="B45" s="335">
        <v>61.3</v>
      </c>
      <c r="C45" s="335">
        <f>SUM('- 6 -'!B45:H45,B45)</f>
        <v>1617.5</v>
      </c>
      <c r="D45" s="98"/>
      <c r="E45" s="335">
        <f t="shared" si="0"/>
        <v>1617.5</v>
      </c>
    </row>
    <row r="46" spans="1:7" ht="14.1" customHeight="1">
      <c r="A46" s="26" t="s">
        <v>269</v>
      </c>
      <c r="B46" s="79">
        <v>661.8</v>
      </c>
      <c r="C46" s="79">
        <f>SUM('- 6 -'!B46:H46,B46)</f>
        <v>29848.399999999998</v>
      </c>
      <c r="D46" s="98"/>
      <c r="E46" s="79">
        <f t="shared" si="0"/>
        <v>29848.399999999998</v>
      </c>
    </row>
    <row r="47" spans="1:7" ht="5.0999999999999996" customHeight="1">
      <c r="A47"/>
      <c r="B47"/>
      <c r="C47"/>
      <c r="D47"/>
      <c r="E47"/>
      <c r="F47"/>
      <c r="G47"/>
    </row>
    <row r="48" spans="1:7" ht="14.1" customHeight="1">
      <c r="A48" s="330" t="s">
        <v>270</v>
      </c>
      <c r="B48" s="338">
        <f>SUM(B11:B46)</f>
        <v>4594.9471428571433</v>
      </c>
      <c r="C48" s="338">
        <f>SUM(C11:C46)</f>
        <v>172023.34714285712</v>
      </c>
      <c r="D48" s="99"/>
      <c r="E48" s="338">
        <f>SUM(E11:E46)</f>
        <v>172023.34714285712</v>
      </c>
    </row>
    <row r="49" spans="1:7" ht="5.0999999999999996" customHeight="1">
      <c r="A49" s="28" t="s">
        <v>16</v>
      </c>
      <c r="B49" s="80"/>
      <c r="C49" s="80"/>
      <c r="D49" s="97"/>
      <c r="E49" s="80"/>
    </row>
    <row r="50" spans="1:7" ht="14.1" customHeight="1">
      <c r="A50" s="26" t="s">
        <v>271</v>
      </c>
      <c r="B50" s="79">
        <v>0</v>
      </c>
      <c r="C50" s="79">
        <f>SUM('- 6 -'!B50:H50,B50)</f>
        <v>176.5</v>
      </c>
      <c r="D50" s="98"/>
      <c r="E50" s="79">
        <f>C50</f>
        <v>176.5</v>
      </c>
    </row>
    <row r="51" spans="1:7" ht="14.1" customHeight="1">
      <c r="A51" s="328" t="s">
        <v>272</v>
      </c>
      <c r="B51" s="335">
        <v>654</v>
      </c>
      <c r="C51" s="335">
        <f>SUM('- 6 -'!B51:H51,B51)</f>
        <v>722.9</v>
      </c>
      <c r="D51" s="98"/>
      <c r="E51" s="335">
        <f>C51</f>
        <v>722.9</v>
      </c>
    </row>
    <row r="52" spans="1:7" ht="50.1" customHeight="1">
      <c r="A52" s="544"/>
      <c r="B52" s="544"/>
      <c r="C52" s="544"/>
      <c r="D52" s="544"/>
      <c r="E52" s="544"/>
      <c r="F52" s="544"/>
      <c r="G52" s="544"/>
    </row>
    <row r="53" spans="1:7">
      <c r="A53" s="151" t="s">
        <v>689</v>
      </c>
    </row>
    <row r="54" spans="1:7">
      <c r="A54" s="32" t="s">
        <v>688</v>
      </c>
    </row>
    <row r="55" spans="1:7">
      <c r="A55" s="32"/>
    </row>
  </sheetData>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sheetPr codeName="Sheet64">
    <pageSetUpPr fitToPage="1"/>
  </sheetPr>
  <dimension ref="A1:F52"/>
  <sheetViews>
    <sheetView showGridLines="0" showZeros="0" workbookViewId="0"/>
  </sheetViews>
  <sheetFormatPr defaultColWidth="15.83203125" defaultRowHeight="12"/>
  <cols>
    <col min="1" max="1" width="35.83203125" style="1" customWidth="1"/>
    <col min="2" max="3" width="21.83203125" style="1" customWidth="1"/>
    <col min="4" max="4" width="23.83203125" style="1" customWidth="1"/>
    <col min="5" max="5" width="2.83203125" style="1" customWidth="1"/>
    <col min="6" max="6" width="27.83203125" style="1" customWidth="1"/>
    <col min="7" max="19" width="15.83203125" style="1"/>
    <col min="20" max="20" width="21" style="1" bestFit="1" customWidth="1"/>
    <col min="21" max="21" width="15" style="1" bestFit="1" customWidth="1"/>
    <col min="22" max="16384" width="15.83203125" style="1"/>
  </cols>
  <sheetData>
    <row r="1" spans="1:6" ht="6.95" customHeight="1">
      <c r="A1" s="6"/>
    </row>
    <row r="2" spans="1:6" ht="15.95" customHeight="1">
      <c r="A2" s="494"/>
      <c r="B2" s="237" t="s">
        <v>355</v>
      </c>
      <c r="C2" s="238"/>
      <c r="D2" s="238"/>
      <c r="E2" s="239"/>
      <c r="F2" s="239"/>
    </row>
    <row r="3" spans="1:6" ht="15.95" customHeight="1">
      <c r="A3" s="695"/>
      <c r="B3" s="475" t="str">
        <f>TAXYEAR</f>
        <v xml:space="preserve">FOR THE 2013 TAXATION YEAR </v>
      </c>
      <c r="C3" s="474"/>
      <c r="D3" s="474"/>
      <c r="E3" s="493"/>
      <c r="F3" s="493"/>
    </row>
    <row r="4" spans="1:6" ht="15.95" customHeight="1">
      <c r="B4"/>
      <c r="C4" s="7"/>
      <c r="D4" s="7"/>
      <c r="E4" s="7"/>
      <c r="F4" s="7"/>
    </row>
    <row r="5" spans="1:6" ht="15.95" customHeight="1">
      <c r="B5"/>
      <c r="C5" s="7"/>
      <c r="D5" s="7"/>
      <c r="E5" s="7"/>
      <c r="F5" s="7"/>
    </row>
    <row r="6" spans="1:6" ht="15.95" customHeight="1">
      <c r="B6"/>
      <c r="C6" s="7"/>
      <c r="D6" s="7"/>
      <c r="E6" s="7"/>
      <c r="F6" s="7"/>
    </row>
    <row r="7" spans="1:6" ht="15.95" customHeight="1">
      <c r="B7" s="349" t="s">
        <v>89</v>
      </c>
      <c r="C7" s="414"/>
      <c r="D7" s="414"/>
      <c r="E7" s="7"/>
      <c r="F7" s="414" t="s">
        <v>126</v>
      </c>
    </row>
    <row r="8" spans="1:6" ht="15.95" customHeight="1">
      <c r="A8" s="20"/>
      <c r="B8" s="392" t="s">
        <v>149</v>
      </c>
      <c r="C8" s="415"/>
      <c r="D8" s="415"/>
      <c r="E8" s="7"/>
      <c r="F8" s="406" t="s">
        <v>73</v>
      </c>
    </row>
    <row r="9" spans="1:6" ht="15.95" customHeight="1">
      <c r="A9" s="22" t="s">
        <v>93</v>
      </c>
      <c r="B9" s="344" t="s">
        <v>147</v>
      </c>
      <c r="C9" s="353" t="s">
        <v>160</v>
      </c>
      <c r="D9" s="353" t="s">
        <v>67</v>
      </c>
      <c r="E9" s="7"/>
      <c r="F9" s="353" t="s">
        <v>5</v>
      </c>
    </row>
    <row r="10" spans="1:6" ht="5.0999999999999996" customHeight="1">
      <c r="A10" s="25"/>
      <c r="B10" s="236">
        <v>38577</v>
      </c>
      <c r="C10" s="236"/>
      <c r="D10" s="236"/>
      <c r="E10" s="236"/>
      <c r="F10" s="236"/>
    </row>
    <row r="11" spans="1:6" ht="14.1" customHeight="1">
      <c r="A11" s="410" t="s">
        <v>235</v>
      </c>
      <c r="B11" s="408">
        <f>'- 52 -'!C11</f>
        <v>1450290.5690000001</v>
      </c>
      <c r="C11" s="408">
        <f>+Data!R11</f>
        <v>7302868</v>
      </c>
      <c r="D11" s="408">
        <f t="shared" ref="D11:D46" si="0">SUM(B11,C11)</f>
        <v>8753158.5690000001</v>
      </c>
      <c r="F11" s="408">
        <f>+Data!O11</f>
        <v>334569</v>
      </c>
    </row>
    <row r="12" spans="1:6" ht="14.1" customHeight="1">
      <c r="A12" s="269" t="s">
        <v>236</v>
      </c>
      <c r="B12" s="171">
        <f>'- 52 -'!C12</f>
        <v>1810250.6148999999</v>
      </c>
      <c r="C12" s="171">
        <f>+Data!R12</f>
        <v>10844168</v>
      </c>
      <c r="D12" s="171">
        <f t="shared" si="0"/>
        <v>12654418.6149</v>
      </c>
      <c r="F12" s="171">
        <f>+Data!O12</f>
        <v>267863</v>
      </c>
    </row>
    <row r="13" spans="1:6" ht="14.1" customHeight="1">
      <c r="A13" s="410" t="s">
        <v>237</v>
      </c>
      <c r="B13" s="408">
        <f>'- 52 -'!C13</f>
        <v>8662584.8126999997</v>
      </c>
      <c r="C13" s="408">
        <f>+Data!R13</f>
        <v>38029913</v>
      </c>
      <c r="D13" s="408">
        <f t="shared" si="0"/>
        <v>46692497.812700003</v>
      </c>
      <c r="F13" s="408">
        <f>+Data!O13</f>
        <v>293805</v>
      </c>
    </row>
    <row r="14" spans="1:6" ht="14.1" customHeight="1">
      <c r="A14" s="269" t="s">
        <v>636</v>
      </c>
      <c r="B14" s="171">
        <f>'- 52 -'!C14</f>
        <v>0</v>
      </c>
      <c r="C14" s="171">
        <f>+Data!R14</f>
        <v>0</v>
      </c>
      <c r="D14" s="171">
        <f t="shared" si="0"/>
        <v>0</v>
      </c>
      <c r="F14" s="171">
        <f>+Data!O14</f>
        <v>332918</v>
      </c>
    </row>
    <row r="15" spans="1:6" ht="14.1" customHeight="1">
      <c r="A15" s="410" t="s">
        <v>238</v>
      </c>
      <c r="B15" s="408">
        <f>'- 52 -'!C15</f>
        <v>1230422.3295</v>
      </c>
      <c r="C15" s="408">
        <f>+Data!R15</f>
        <v>9066247</v>
      </c>
      <c r="D15" s="408">
        <f t="shared" si="0"/>
        <v>10296669.329500001</v>
      </c>
      <c r="F15" s="408">
        <f>+Data!O15</f>
        <v>523644</v>
      </c>
    </row>
    <row r="16" spans="1:6" ht="14.1" customHeight="1">
      <c r="A16" s="269" t="s">
        <v>239</v>
      </c>
      <c r="B16" s="171">
        <f>'- 52 -'!C16</f>
        <v>390167.35940000002</v>
      </c>
      <c r="C16" s="171">
        <f>+Data!R16</f>
        <v>3758439</v>
      </c>
      <c r="D16" s="171">
        <f t="shared" si="0"/>
        <v>4148606.3594</v>
      </c>
      <c r="F16" s="171">
        <f>+Data!O16</f>
        <v>161888</v>
      </c>
    </row>
    <row r="17" spans="1:6" ht="14.1" customHeight="1">
      <c r="A17" s="410" t="s">
        <v>240</v>
      </c>
      <c r="B17" s="408">
        <f>'- 52 -'!C17</f>
        <v>3908723.4459000002</v>
      </c>
      <c r="C17" s="408">
        <f>+Data!R17</f>
        <v>7576451</v>
      </c>
      <c r="D17" s="408">
        <f t="shared" si="0"/>
        <v>11485174.445900001</v>
      </c>
      <c r="F17" s="408">
        <f>+Data!O17</f>
        <v>500788</v>
      </c>
    </row>
    <row r="18" spans="1:6" ht="14.1" customHeight="1">
      <c r="A18" s="269" t="s">
        <v>241</v>
      </c>
      <c r="B18" s="171">
        <f>'- 52 -'!C18</f>
        <v>740615.84869999997</v>
      </c>
      <c r="C18" s="171">
        <f>+Data!R18</f>
        <v>3118313</v>
      </c>
      <c r="D18" s="171">
        <f t="shared" si="0"/>
        <v>3858928.8487</v>
      </c>
      <c r="F18" s="171">
        <f>+Data!O18</f>
        <v>74484</v>
      </c>
    </row>
    <row r="19" spans="1:6" ht="14.1" customHeight="1">
      <c r="A19" s="410" t="s">
        <v>242</v>
      </c>
      <c r="B19" s="408">
        <f>'- 52 -'!C19</f>
        <v>2550568.8207999999</v>
      </c>
      <c r="C19" s="408">
        <f>+Data!R19</f>
        <v>15788695</v>
      </c>
      <c r="D19" s="408">
        <f t="shared" si="0"/>
        <v>18339263.820799999</v>
      </c>
      <c r="F19" s="408">
        <f>+Data!O19</f>
        <v>191134</v>
      </c>
    </row>
    <row r="20" spans="1:6" ht="14.1" customHeight="1">
      <c r="A20" s="269" t="s">
        <v>243</v>
      </c>
      <c r="B20" s="171">
        <f>'- 52 -'!C20</f>
        <v>3576147.2474000002</v>
      </c>
      <c r="C20" s="171">
        <f>+Data!R20</f>
        <v>25625666</v>
      </c>
      <c r="D20" s="171">
        <f t="shared" si="0"/>
        <v>29201813.247400001</v>
      </c>
      <c r="F20" s="171">
        <f>+Data!O20</f>
        <v>200957</v>
      </c>
    </row>
    <row r="21" spans="1:6" ht="14.1" customHeight="1">
      <c r="A21" s="410" t="s">
        <v>244</v>
      </c>
      <c r="B21" s="408">
        <f>'- 52 -'!C21</f>
        <v>2467739.5378999999</v>
      </c>
      <c r="C21" s="408">
        <f>+Data!R21</f>
        <v>14283729</v>
      </c>
      <c r="D21" s="408">
        <f t="shared" si="0"/>
        <v>16751468.537900001</v>
      </c>
      <c r="F21" s="408">
        <f>+Data!O21</f>
        <v>326239</v>
      </c>
    </row>
    <row r="22" spans="1:6" ht="14.1" customHeight="1">
      <c r="A22" s="269" t="s">
        <v>245</v>
      </c>
      <c r="B22" s="171">
        <f>'- 52 -'!C22</f>
        <v>681566.16709999996</v>
      </c>
      <c r="C22" s="171">
        <f>+Data!R22</f>
        <v>4190749</v>
      </c>
      <c r="D22" s="171">
        <f t="shared" si="0"/>
        <v>4872315.1671000002</v>
      </c>
      <c r="F22" s="171">
        <f>+Data!O22</f>
        <v>118193</v>
      </c>
    </row>
    <row r="23" spans="1:6" ht="14.1" customHeight="1">
      <c r="A23" s="410" t="s">
        <v>246</v>
      </c>
      <c r="B23" s="408">
        <f>'- 52 -'!C23</f>
        <v>308289.20850000001</v>
      </c>
      <c r="C23" s="408">
        <f>+Data!R23</f>
        <v>4138643</v>
      </c>
      <c r="D23" s="408">
        <f t="shared" si="0"/>
        <v>4446932.2084999997</v>
      </c>
      <c r="F23" s="408">
        <f>+Data!O23</f>
        <v>192554</v>
      </c>
    </row>
    <row r="24" spans="1:6" ht="14.1" customHeight="1">
      <c r="A24" s="269" t="s">
        <v>247</v>
      </c>
      <c r="B24" s="171">
        <f>'- 52 -'!C24</f>
        <v>2367627.3347999998</v>
      </c>
      <c r="C24" s="171">
        <f>+Data!R24</f>
        <v>23367442</v>
      </c>
      <c r="D24" s="171">
        <f t="shared" si="0"/>
        <v>25735069.334800001</v>
      </c>
      <c r="F24" s="171">
        <f>+Data!O24</f>
        <v>378335</v>
      </c>
    </row>
    <row r="25" spans="1:6" ht="14.1" customHeight="1">
      <c r="A25" s="410" t="s">
        <v>248</v>
      </c>
      <c r="B25" s="408">
        <f>'- 52 -'!C25</f>
        <v>11567405.1129</v>
      </c>
      <c r="C25" s="408">
        <f>+Data!R25</f>
        <v>78917639</v>
      </c>
      <c r="D25" s="408">
        <f t="shared" si="0"/>
        <v>90485044.112900004</v>
      </c>
      <c r="F25" s="408">
        <f>+Data!O25</f>
        <v>386163</v>
      </c>
    </row>
    <row r="26" spans="1:6" ht="14.1" customHeight="1">
      <c r="A26" s="269" t="s">
        <v>249</v>
      </c>
      <c r="B26" s="171">
        <f>'- 52 -'!C26</f>
        <v>1370937.8865</v>
      </c>
      <c r="C26" s="171">
        <f>+Data!R26</f>
        <v>13225136</v>
      </c>
      <c r="D26" s="171">
        <f t="shared" si="0"/>
        <v>14596073.886500001</v>
      </c>
      <c r="F26" s="171">
        <f>+Data!O26</f>
        <v>239481</v>
      </c>
    </row>
    <row r="27" spans="1:6" ht="14.1" customHeight="1">
      <c r="A27" s="410" t="s">
        <v>250</v>
      </c>
      <c r="B27" s="408">
        <f>'- 52 -'!C27</f>
        <v>1342573.9236000001</v>
      </c>
      <c r="C27" s="408">
        <f>+Data!R27</f>
        <v>7813726</v>
      </c>
      <c r="D27" s="408">
        <f t="shared" si="0"/>
        <v>9156299.9235999994</v>
      </c>
      <c r="F27" s="408">
        <f>+Data!O27</f>
        <v>183297</v>
      </c>
    </row>
    <row r="28" spans="1:6" ht="14.1" customHeight="1">
      <c r="A28" s="269" t="s">
        <v>251</v>
      </c>
      <c r="B28" s="171">
        <f>'- 52 -'!C28</f>
        <v>1865211.3753</v>
      </c>
      <c r="C28" s="171">
        <f>+Data!R28</f>
        <v>8096284</v>
      </c>
      <c r="D28" s="171">
        <f t="shared" si="0"/>
        <v>9961495.3752999995</v>
      </c>
      <c r="F28" s="171">
        <f>+Data!O28</f>
        <v>328838</v>
      </c>
    </row>
    <row r="29" spans="1:6" ht="14.1" customHeight="1">
      <c r="A29" s="410" t="s">
        <v>252</v>
      </c>
      <c r="B29" s="408">
        <f>'- 52 -'!C29</f>
        <v>12018186.553100001</v>
      </c>
      <c r="C29" s="408">
        <f>+Data!R29</f>
        <v>77392089</v>
      </c>
      <c r="D29" s="408">
        <f t="shared" si="0"/>
        <v>89410275.553100005</v>
      </c>
      <c r="F29" s="408">
        <f>+Data!O29</f>
        <v>477729</v>
      </c>
    </row>
    <row r="30" spans="1:6" ht="14.1" customHeight="1">
      <c r="A30" s="269" t="s">
        <v>253</v>
      </c>
      <c r="B30" s="171">
        <f>'- 52 -'!C30</f>
        <v>949419.01600000006</v>
      </c>
      <c r="C30" s="171">
        <f>+Data!R30</f>
        <v>5275969</v>
      </c>
      <c r="D30" s="171">
        <f t="shared" si="0"/>
        <v>6225388.0159999998</v>
      </c>
      <c r="F30" s="171">
        <f>+Data!O30</f>
        <v>281298</v>
      </c>
    </row>
    <row r="31" spans="1:6" ht="14.1" customHeight="1">
      <c r="A31" s="410" t="s">
        <v>254</v>
      </c>
      <c r="B31" s="408">
        <f>'- 52 -'!C31</f>
        <v>3410264.1482000002</v>
      </c>
      <c r="C31" s="408">
        <f>+Data!R31</f>
        <v>14091893</v>
      </c>
      <c r="D31" s="408">
        <f t="shared" si="0"/>
        <v>17502157.148200002</v>
      </c>
      <c r="F31" s="408">
        <f>+Data!O31</f>
        <v>292151</v>
      </c>
    </row>
    <row r="32" spans="1:6" ht="14.1" customHeight="1">
      <c r="A32" s="269" t="s">
        <v>255</v>
      </c>
      <c r="B32" s="171">
        <f>'- 52 -'!C32</f>
        <v>1380023.5630999999</v>
      </c>
      <c r="C32" s="171">
        <f>+Data!R32</f>
        <v>11594078</v>
      </c>
      <c r="D32" s="171">
        <f t="shared" si="0"/>
        <v>12974101.563099999</v>
      </c>
      <c r="F32" s="171">
        <f>+Data!O32</f>
        <v>359016</v>
      </c>
    </row>
    <row r="33" spans="1:6" ht="14.1" customHeight="1">
      <c r="A33" s="410" t="s">
        <v>256</v>
      </c>
      <c r="B33" s="408">
        <f>'- 52 -'!C33</f>
        <v>1686959.4196000001</v>
      </c>
      <c r="C33" s="408">
        <f>+Data!R33</f>
        <v>12109962</v>
      </c>
      <c r="D33" s="408">
        <f t="shared" si="0"/>
        <v>13796921.419600001</v>
      </c>
      <c r="F33" s="408">
        <f>+Data!O33</f>
        <v>336280</v>
      </c>
    </row>
    <row r="34" spans="1:6" ht="14.1" customHeight="1">
      <c r="A34" s="269" t="s">
        <v>257</v>
      </c>
      <c r="B34" s="171">
        <f>'- 52 -'!C34</f>
        <v>2222320.9827000001</v>
      </c>
      <c r="C34" s="171">
        <f>+Data!R34</f>
        <v>13638014</v>
      </c>
      <c r="D34" s="171">
        <f t="shared" si="0"/>
        <v>15860334.9827</v>
      </c>
      <c r="F34" s="171">
        <f>+Data!O34</f>
        <v>356869</v>
      </c>
    </row>
    <row r="35" spans="1:6" ht="14.1" customHeight="1">
      <c r="A35" s="410" t="s">
        <v>258</v>
      </c>
      <c r="B35" s="408">
        <f>'- 52 -'!C35</f>
        <v>8938559.6664000005</v>
      </c>
      <c r="C35" s="408">
        <f>+Data!R35</f>
        <v>73245575</v>
      </c>
      <c r="D35" s="408">
        <f t="shared" si="0"/>
        <v>82184134.6664</v>
      </c>
      <c r="F35" s="408">
        <f>+Data!O35</f>
        <v>322250</v>
      </c>
    </row>
    <row r="36" spans="1:6" ht="14.1" customHeight="1">
      <c r="A36" s="269" t="s">
        <v>259</v>
      </c>
      <c r="B36" s="171">
        <f>'- 52 -'!C36</f>
        <v>1845465.804</v>
      </c>
      <c r="C36" s="171">
        <f>+Data!R36</f>
        <v>9400587</v>
      </c>
      <c r="D36" s="171">
        <f t="shared" si="0"/>
        <v>11246052.804</v>
      </c>
      <c r="F36" s="171">
        <f>+Data!O36</f>
        <v>385158</v>
      </c>
    </row>
    <row r="37" spans="1:6" ht="14.1" customHeight="1">
      <c r="A37" s="410" t="s">
        <v>260</v>
      </c>
      <c r="B37" s="408">
        <f>'- 52 -'!C37</f>
        <v>1722730.5004</v>
      </c>
      <c r="C37" s="408">
        <f>+Data!R37</f>
        <v>19287874</v>
      </c>
      <c r="D37" s="408">
        <f t="shared" si="0"/>
        <v>21010604.500399999</v>
      </c>
      <c r="F37" s="408">
        <f>+Data!O37</f>
        <v>244382</v>
      </c>
    </row>
    <row r="38" spans="1:6" ht="14.1" customHeight="1">
      <c r="A38" s="269" t="s">
        <v>261</v>
      </c>
      <c r="B38" s="171">
        <f>'- 52 -'!C38</f>
        <v>3468769.6498000002</v>
      </c>
      <c r="C38" s="171">
        <f>+Data!R38</f>
        <v>42629449</v>
      </c>
      <c r="D38" s="171">
        <f t="shared" si="0"/>
        <v>46098218.649800003</v>
      </c>
      <c r="F38" s="171">
        <f>+Data!O38</f>
        <v>250226</v>
      </c>
    </row>
    <row r="39" spans="1:6" ht="14.1" customHeight="1">
      <c r="A39" s="410" t="s">
        <v>262</v>
      </c>
      <c r="B39" s="408">
        <f>'- 52 -'!C39</f>
        <v>2632059.7757999999</v>
      </c>
      <c r="C39" s="408">
        <f>+Data!R39</f>
        <v>10175133</v>
      </c>
      <c r="D39" s="408">
        <f t="shared" si="0"/>
        <v>12807192.775800001</v>
      </c>
      <c r="F39" s="408">
        <f>+Data!O39</f>
        <v>435619</v>
      </c>
    </row>
    <row r="40" spans="1:6" ht="14.1" customHeight="1">
      <c r="A40" s="269" t="s">
        <v>263</v>
      </c>
      <c r="B40" s="171">
        <f>'- 52 -'!C40</f>
        <v>14682517.5042</v>
      </c>
      <c r="C40" s="171">
        <f>+Data!R40</f>
        <v>48816038</v>
      </c>
      <c r="D40" s="171">
        <f t="shared" si="0"/>
        <v>63498555.504199997</v>
      </c>
      <c r="F40" s="171">
        <f>+Data!O40</f>
        <v>462268</v>
      </c>
    </row>
    <row r="41" spans="1:6" ht="14.1" customHeight="1">
      <c r="A41" s="410" t="s">
        <v>264</v>
      </c>
      <c r="B41" s="408">
        <f>'- 52 -'!C41</f>
        <v>3567684.3020000001</v>
      </c>
      <c r="C41" s="408">
        <f>+Data!R41</f>
        <v>28160160</v>
      </c>
      <c r="D41" s="408">
        <f t="shared" si="0"/>
        <v>31727844.302000001</v>
      </c>
      <c r="F41" s="408">
        <f>+Data!O41</f>
        <v>396963</v>
      </c>
    </row>
    <row r="42" spans="1:6" ht="14.1" customHeight="1">
      <c r="A42" s="269" t="s">
        <v>265</v>
      </c>
      <c r="B42" s="171">
        <f>'- 52 -'!C42</f>
        <v>785180.99660000007</v>
      </c>
      <c r="C42" s="171">
        <f>+Data!R42</f>
        <v>6464994</v>
      </c>
      <c r="D42" s="171">
        <f t="shared" si="0"/>
        <v>7250174.9966000002</v>
      </c>
      <c r="F42" s="171">
        <f>+Data!O42</f>
        <v>241928</v>
      </c>
    </row>
    <row r="43" spans="1:6" ht="14.1" customHeight="1">
      <c r="A43" s="410" t="s">
        <v>266</v>
      </c>
      <c r="B43" s="408">
        <f>'- 52 -'!C43</f>
        <v>606029.36939999997</v>
      </c>
      <c r="C43" s="408">
        <f>+Data!R43</f>
        <v>5605067</v>
      </c>
      <c r="D43" s="408">
        <f t="shared" si="0"/>
        <v>6211096.3694000002</v>
      </c>
      <c r="F43" s="408">
        <f>+Data!O43</f>
        <v>354995</v>
      </c>
    </row>
    <row r="44" spans="1:6" ht="14.1" customHeight="1">
      <c r="A44" s="269" t="s">
        <v>267</v>
      </c>
      <c r="B44" s="171">
        <f>'- 52 -'!C44</f>
        <v>157573.3523</v>
      </c>
      <c r="C44" s="171">
        <f>+Data!R44</f>
        <v>2843934</v>
      </c>
      <c r="D44" s="171">
        <f t="shared" si="0"/>
        <v>3001507.3522999999</v>
      </c>
      <c r="F44" s="171">
        <f>+Data!O44</f>
        <v>186381</v>
      </c>
    </row>
    <row r="45" spans="1:6" ht="14.1" customHeight="1">
      <c r="A45" s="410" t="s">
        <v>268</v>
      </c>
      <c r="B45" s="408">
        <f>'- 52 -'!C45</f>
        <v>975495.4118</v>
      </c>
      <c r="C45" s="408">
        <f>+Data!R45</f>
        <v>7135370</v>
      </c>
      <c r="D45" s="408">
        <f t="shared" si="0"/>
        <v>8110865.4117999999</v>
      </c>
      <c r="F45" s="408">
        <f>+Data!O45</f>
        <v>247105</v>
      </c>
    </row>
    <row r="46" spans="1:6" ht="14.1" customHeight="1">
      <c r="A46" s="269" t="s">
        <v>269</v>
      </c>
      <c r="B46" s="171">
        <f>'- 52 -'!C46</f>
        <v>43597759.232299998</v>
      </c>
      <c r="C46" s="171">
        <f>+Data!R46</f>
        <v>153227298</v>
      </c>
      <c r="D46" s="171">
        <f t="shared" si="0"/>
        <v>196825057.23229998</v>
      </c>
      <c r="F46" s="171">
        <f>+Data!O46</f>
        <v>313494</v>
      </c>
    </row>
    <row r="47" spans="1:6" ht="5.0999999999999996" customHeight="1">
      <c r="A47" s="148"/>
      <c r="B47" s="172"/>
      <c r="C47" s="172"/>
      <c r="D47" s="172"/>
      <c r="F47" s="172"/>
    </row>
    <row r="48" spans="1:6" ht="14.1" customHeight="1">
      <c r="A48" s="411" t="s">
        <v>270</v>
      </c>
      <c r="B48" s="412">
        <f>SUM(B11:B46)</f>
        <v>150938120.84260002</v>
      </c>
      <c r="C48" s="412">
        <f>+Data!R48</f>
        <v>816237592</v>
      </c>
      <c r="D48" s="412">
        <f>SUM(D11:D46)</f>
        <v>967175712.84260011</v>
      </c>
      <c r="F48" s="412">
        <f>+Data!O48</f>
        <v>322846.28653302381</v>
      </c>
    </row>
    <row r="49" spans="1:6" ht="50.1" customHeight="1">
      <c r="A49" s="276" t="s">
        <v>16</v>
      </c>
      <c r="B49" s="30"/>
      <c r="C49" s="30"/>
      <c r="D49" s="30"/>
      <c r="E49" s="30"/>
      <c r="F49" s="30"/>
    </row>
    <row r="50" spans="1:6" ht="15" customHeight="1">
      <c r="A50" s="31" t="s">
        <v>637</v>
      </c>
    </row>
    <row r="51" spans="1:6" ht="12" customHeight="1">
      <c r="A51" s="31" t="s">
        <v>681</v>
      </c>
    </row>
    <row r="52" spans="1:6" ht="12" customHeight="1">
      <c r="A52" s="148" t="s">
        <v>638</v>
      </c>
    </row>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sheetPr codeName="Sheet45">
    <pageSetUpPr fitToPage="1"/>
  </sheetPr>
  <dimension ref="A1:G54"/>
  <sheetViews>
    <sheetView showGridLines="0" showZeros="0" workbookViewId="0"/>
  </sheetViews>
  <sheetFormatPr defaultColWidth="19.83203125" defaultRowHeight="12"/>
  <cols>
    <col min="1" max="1" width="32.83203125" style="1" customWidth="1"/>
    <col min="2" max="2" width="18.1640625" style="1" customWidth="1"/>
    <col min="3" max="3" width="19.33203125" style="1" customWidth="1"/>
    <col min="4" max="4" width="15" style="1" customWidth="1"/>
    <col min="5" max="6" width="16" style="1" customWidth="1"/>
    <col min="7" max="7" width="15.6640625" style="1" customWidth="1"/>
    <col min="8" max="16384" width="19.83203125" style="1"/>
  </cols>
  <sheetData>
    <row r="1" spans="1:7" ht="6.95" customHeight="1">
      <c r="A1" s="6"/>
      <c r="B1" s="6"/>
      <c r="C1" s="6"/>
      <c r="D1" s="6"/>
      <c r="E1" s="6"/>
      <c r="F1" s="6"/>
      <c r="G1" s="6"/>
    </row>
    <row r="2" spans="1:7" ht="15.95" customHeight="1">
      <c r="A2" s="298"/>
      <c r="B2" s="306" t="str">
        <f>REVYEAR</f>
        <v>ANALYSIS OF OPERATING FUND REVENUE: 2013/2014 ACTUAL</v>
      </c>
      <c r="C2" s="306"/>
      <c r="D2" s="307"/>
      <c r="E2" s="303"/>
      <c r="F2" s="303"/>
      <c r="G2" s="244" t="s">
        <v>205</v>
      </c>
    </row>
    <row r="3" spans="1:7" ht="9.75" customHeight="1">
      <c r="A3" s="693"/>
      <c r="B3" s="6"/>
      <c r="C3" s="6"/>
      <c r="D3" s="6"/>
      <c r="E3" s="6"/>
      <c r="F3" s="6"/>
      <c r="G3" s="6"/>
    </row>
    <row r="4" spans="1:7" ht="15.95" customHeight="1">
      <c r="B4" s="437" t="s">
        <v>89</v>
      </c>
      <c r="C4" s="440"/>
      <c r="D4" s="362"/>
      <c r="E4" s="362"/>
      <c r="F4" s="362"/>
      <c r="G4" s="352"/>
    </row>
    <row r="5" spans="1:7" ht="15.95" customHeight="1">
      <c r="B5" s="438" t="s">
        <v>228</v>
      </c>
      <c r="C5" s="441"/>
      <c r="D5" s="433"/>
      <c r="E5" s="354"/>
      <c r="F5" s="354"/>
      <c r="G5" s="363"/>
    </row>
    <row r="6" spans="1:7" ht="15.95" customHeight="1">
      <c r="B6" s="130" t="s">
        <v>111</v>
      </c>
      <c r="C6" s="47"/>
      <c r="D6" s="48"/>
      <c r="E6" s="48"/>
      <c r="F6" s="241"/>
      <c r="G6" s="310"/>
    </row>
    <row r="7" spans="1:7" ht="15.95" customHeight="1">
      <c r="B7" s="250"/>
      <c r="C7" s="735" t="s">
        <v>657</v>
      </c>
      <c r="D7" s="40"/>
      <c r="E7" s="40"/>
      <c r="F7" s="40"/>
      <c r="G7" s="40"/>
    </row>
    <row r="8" spans="1:7" ht="20.25" customHeight="1">
      <c r="A8" s="75"/>
      <c r="B8" s="302" t="s">
        <v>224</v>
      </c>
      <c r="C8" s="736"/>
      <c r="D8" s="689"/>
      <c r="E8" s="252" t="s">
        <v>201</v>
      </c>
      <c r="F8" s="252" t="s">
        <v>202</v>
      </c>
      <c r="G8" s="252" t="s">
        <v>128</v>
      </c>
    </row>
    <row r="9" spans="1:7" ht="14.25">
      <c r="A9" s="42" t="s">
        <v>93</v>
      </c>
      <c r="B9" s="53" t="s">
        <v>6</v>
      </c>
      <c r="C9" s="737"/>
      <c r="D9" s="690" t="s">
        <v>724</v>
      </c>
      <c r="E9" s="94" t="s">
        <v>167</v>
      </c>
      <c r="F9" s="94" t="s">
        <v>35</v>
      </c>
      <c r="G9" s="94" t="s">
        <v>152</v>
      </c>
    </row>
    <row r="10" spans="1:7" ht="5.0999999999999996" customHeight="1">
      <c r="A10" s="5"/>
      <c r="E10" s="6"/>
      <c r="F10" s="6"/>
      <c r="G10" s="6"/>
    </row>
    <row r="11" spans="1:7" ht="14.1" customHeight="1">
      <c r="A11" s="410" t="s">
        <v>235</v>
      </c>
      <c r="B11" s="408">
        <v>2883756</v>
      </c>
      <c r="C11" s="408">
        <v>126597</v>
      </c>
      <c r="D11" s="408">
        <v>161802</v>
      </c>
      <c r="E11" s="408">
        <v>89790</v>
      </c>
      <c r="F11" s="408">
        <v>89790</v>
      </c>
      <c r="G11" s="408">
        <v>137678</v>
      </c>
    </row>
    <row r="12" spans="1:7" ht="14.1" customHeight="1">
      <c r="A12" s="269" t="s">
        <v>236</v>
      </c>
      <c r="B12" s="171">
        <v>4152492</v>
      </c>
      <c r="C12" s="171">
        <v>0</v>
      </c>
      <c r="D12" s="171">
        <v>401381</v>
      </c>
      <c r="E12" s="171">
        <v>94211</v>
      </c>
      <c r="F12" s="171">
        <v>129294</v>
      </c>
      <c r="G12" s="171">
        <v>198251</v>
      </c>
    </row>
    <row r="13" spans="1:7" ht="14.1" customHeight="1">
      <c r="A13" s="410" t="s">
        <v>237</v>
      </c>
      <c r="B13" s="408">
        <v>14994951</v>
      </c>
      <c r="C13" s="408">
        <v>0</v>
      </c>
      <c r="D13" s="408">
        <v>110830</v>
      </c>
      <c r="E13" s="408">
        <v>466890</v>
      </c>
      <c r="F13" s="408">
        <v>466890</v>
      </c>
      <c r="G13" s="408">
        <v>715898</v>
      </c>
    </row>
    <row r="14" spans="1:7" ht="14.1" customHeight="1">
      <c r="A14" s="269" t="s">
        <v>636</v>
      </c>
      <c r="B14" s="171">
        <v>9322248</v>
      </c>
      <c r="C14" s="171">
        <v>83956</v>
      </c>
      <c r="D14" s="171">
        <v>760077</v>
      </c>
      <c r="E14" s="171">
        <v>290262</v>
      </c>
      <c r="F14" s="171">
        <v>290262</v>
      </c>
      <c r="G14" s="171">
        <v>445068</v>
      </c>
    </row>
    <row r="15" spans="1:7" ht="14.1" customHeight="1">
      <c r="A15" s="410" t="s">
        <v>238</v>
      </c>
      <c r="B15" s="408">
        <v>2913624</v>
      </c>
      <c r="C15" s="408">
        <v>0</v>
      </c>
      <c r="D15" s="408">
        <v>245493</v>
      </c>
      <c r="E15" s="408">
        <v>90720</v>
      </c>
      <c r="F15" s="408">
        <v>90720</v>
      </c>
      <c r="G15" s="408">
        <v>139104</v>
      </c>
    </row>
    <row r="16" spans="1:7" ht="14.1" customHeight="1">
      <c r="A16" s="269" t="s">
        <v>239</v>
      </c>
      <c r="B16" s="171">
        <v>1843368</v>
      </c>
      <c r="C16" s="171">
        <v>19015</v>
      </c>
      <c r="D16" s="171">
        <v>0</v>
      </c>
      <c r="E16" s="171">
        <v>57396</v>
      </c>
      <c r="F16" s="171">
        <v>57396</v>
      </c>
      <c r="G16" s="171">
        <v>88007</v>
      </c>
    </row>
    <row r="17" spans="1:7" ht="14.1" customHeight="1">
      <c r="A17" s="410" t="s">
        <v>240</v>
      </c>
      <c r="B17" s="408">
        <v>2433801</v>
      </c>
      <c r="C17" s="408">
        <v>0</v>
      </c>
      <c r="D17" s="408">
        <v>287518</v>
      </c>
      <c r="E17" s="408">
        <v>75780</v>
      </c>
      <c r="F17" s="408">
        <v>75780</v>
      </c>
      <c r="G17" s="408">
        <v>116196</v>
      </c>
    </row>
    <row r="18" spans="1:7" ht="14.1" customHeight="1">
      <c r="A18" s="269" t="s">
        <v>241</v>
      </c>
      <c r="B18" s="171">
        <v>4642336</v>
      </c>
      <c r="C18" s="171">
        <v>0</v>
      </c>
      <c r="D18" s="171">
        <v>1030463</v>
      </c>
      <c r="E18" s="171">
        <v>144546</v>
      </c>
      <c r="F18" s="171">
        <v>144546</v>
      </c>
      <c r="G18" s="171">
        <v>221637</v>
      </c>
    </row>
    <row r="19" spans="1:7" ht="14.1" customHeight="1">
      <c r="A19" s="410" t="s">
        <v>242</v>
      </c>
      <c r="B19" s="408">
        <v>8032121</v>
      </c>
      <c r="C19" s="408">
        <v>30499</v>
      </c>
      <c r="D19" s="408">
        <v>185835</v>
      </c>
      <c r="E19" s="408">
        <v>250092</v>
      </c>
      <c r="F19" s="408">
        <v>250092</v>
      </c>
      <c r="G19" s="408">
        <v>383474</v>
      </c>
    </row>
    <row r="20" spans="1:7" ht="14.1" customHeight="1">
      <c r="A20" s="269" t="s">
        <v>243</v>
      </c>
      <c r="B20" s="171">
        <v>14218177</v>
      </c>
      <c r="C20" s="171">
        <v>0</v>
      </c>
      <c r="D20" s="171">
        <v>260545</v>
      </c>
      <c r="E20" s="171">
        <v>442704</v>
      </c>
      <c r="F20" s="171">
        <v>442704</v>
      </c>
      <c r="G20" s="171">
        <v>678813</v>
      </c>
    </row>
    <row r="21" spans="1:7" ht="14.1" customHeight="1">
      <c r="A21" s="410" t="s">
        <v>244</v>
      </c>
      <c r="B21" s="408">
        <v>5312354</v>
      </c>
      <c r="C21" s="408">
        <v>113116</v>
      </c>
      <c r="D21" s="408">
        <v>451227</v>
      </c>
      <c r="E21" s="408">
        <v>127214</v>
      </c>
      <c r="F21" s="408">
        <v>165408</v>
      </c>
      <c r="G21" s="408">
        <v>253626</v>
      </c>
    </row>
    <row r="22" spans="1:7" ht="14.1" customHeight="1">
      <c r="A22" s="269" t="s">
        <v>245</v>
      </c>
      <c r="B22" s="171">
        <v>3074529</v>
      </c>
      <c r="C22" s="171">
        <v>0</v>
      </c>
      <c r="D22" s="171">
        <v>34034</v>
      </c>
      <c r="E22" s="171">
        <v>95730</v>
      </c>
      <c r="F22" s="171">
        <v>95730</v>
      </c>
      <c r="G22" s="171">
        <v>146786</v>
      </c>
    </row>
    <row r="23" spans="1:7" ht="14.1" customHeight="1">
      <c r="A23" s="410" t="s">
        <v>246</v>
      </c>
      <c r="B23" s="408">
        <v>2072681</v>
      </c>
      <c r="C23" s="408">
        <v>0</v>
      </c>
      <c r="D23" s="408">
        <v>387251</v>
      </c>
      <c r="E23" s="408">
        <v>64536</v>
      </c>
      <c r="F23" s="408">
        <v>64536</v>
      </c>
      <c r="G23" s="408">
        <v>98955</v>
      </c>
    </row>
    <row r="24" spans="1:7" ht="14.1" customHeight="1">
      <c r="A24" s="269" t="s">
        <v>247</v>
      </c>
      <c r="B24" s="171">
        <v>8014778</v>
      </c>
      <c r="C24" s="171">
        <v>0</v>
      </c>
      <c r="D24" s="171">
        <v>355877</v>
      </c>
      <c r="E24" s="171">
        <v>249552</v>
      </c>
      <c r="F24" s="171">
        <v>249552</v>
      </c>
      <c r="G24" s="171">
        <v>382646</v>
      </c>
    </row>
    <row r="25" spans="1:7" ht="14.1" customHeight="1">
      <c r="A25" s="410" t="s">
        <v>248</v>
      </c>
      <c r="B25" s="408">
        <v>26119136</v>
      </c>
      <c r="C25" s="408">
        <v>0</v>
      </c>
      <c r="D25" s="408">
        <v>0</v>
      </c>
      <c r="E25" s="408">
        <v>813258</v>
      </c>
      <c r="F25" s="408">
        <v>813258</v>
      </c>
      <c r="G25" s="408">
        <v>1246996</v>
      </c>
    </row>
    <row r="26" spans="1:7" ht="14.1" customHeight="1">
      <c r="A26" s="269" t="s">
        <v>249</v>
      </c>
      <c r="B26" s="171">
        <v>5700837</v>
      </c>
      <c r="C26" s="171">
        <v>0</v>
      </c>
      <c r="D26" s="171">
        <v>588203</v>
      </c>
      <c r="E26" s="171">
        <v>177504</v>
      </c>
      <c r="F26" s="171">
        <v>177504</v>
      </c>
      <c r="G26" s="171">
        <v>272173</v>
      </c>
    </row>
    <row r="27" spans="1:7" ht="14.1" customHeight="1">
      <c r="A27" s="410" t="s">
        <v>250</v>
      </c>
      <c r="B27" s="408">
        <v>5172065</v>
      </c>
      <c r="C27" s="408">
        <v>0</v>
      </c>
      <c r="D27" s="408">
        <v>0</v>
      </c>
      <c r="E27" s="408">
        <v>161040</v>
      </c>
      <c r="F27" s="408">
        <v>161040</v>
      </c>
      <c r="G27" s="408">
        <v>246928</v>
      </c>
    </row>
    <row r="28" spans="1:7" ht="14.1" customHeight="1">
      <c r="A28" s="269" t="s">
        <v>251</v>
      </c>
      <c r="B28" s="171">
        <v>2897823</v>
      </c>
      <c r="C28" s="171">
        <v>28321</v>
      </c>
      <c r="D28" s="171">
        <v>517135</v>
      </c>
      <c r="E28" s="171">
        <v>90228</v>
      </c>
      <c r="F28" s="171">
        <v>90228</v>
      </c>
      <c r="G28" s="171">
        <v>138350</v>
      </c>
    </row>
    <row r="29" spans="1:7" ht="14.1" customHeight="1">
      <c r="A29" s="410" t="s">
        <v>252</v>
      </c>
      <c r="B29" s="408">
        <v>23271801</v>
      </c>
      <c r="C29" s="408">
        <v>0</v>
      </c>
      <c r="D29" s="408">
        <v>0</v>
      </c>
      <c r="E29" s="408">
        <v>724722</v>
      </c>
      <c r="F29" s="408">
        <v>724602</v>
      </c>
      <c r="G29" s="408">
        <v>1111056</v>
      </c>
    </row>
    <row r="30" spans="1:7" ht="14.1" customHeight="1">
      <c r="A30" s="269" t="s">
        <v>253</v>
      </c>
      <c r="B30" s="171">
        <v>2069213</v>
      </c>
      <c r="C30" s="171">
        <v>66736</v>
      </c>
      <c r="D30" s="171">
        <v>297439</v>
      </c>
      <c r="E30" s="171">
        <v>64428</v>
      </c>
      <c r="F30" s="171">
        <v>64428</v>
      </c>
      <c r="G30" s="171">
        <v>98790</v>
      </c>
    </row>
    <row r="31" spans="1:7" ht="14.1" customHeight="1">
      <c r="A31" s="410" t="s">
        <v>254</v>
      </c>
      <c r="B31" s="408">
        <v>5885058</v>
      </c>
      <c r="C31" s="408">
        <v>0</v>
      </c>
      <c r="D31" s="408">
        <v>184607</v>
      </c>
      <c r="E31" s="408">
        <v>190957</v>
      </c>
      <c r="F31" s="408">
        <v>183240</v>
      </c>
      <c r="G31" s="408">
        <v>280968</v>
      </c>
    </row>
    <row r="32" spans="1:7" ht="14.1" customHeight="1">
      <c r="A32" s="269" t="s">
        <v>255</v>
      </c>
      <c r="B32" s="171">
        <v>3926648</v>
      </c>
      <c r="C32" s="171">
        <v>0</v>
      </c>
      <c r="D32" s="171">
        <v>595955</v>
      </c>
      <c r="E32" s="171">
        <v>122262</v>
      </c>
      <c r="F32" s="171">
        <v>122262</v>
      </c>
      <c r="G32" s="171">
        <v>187468</v>
      </c>
    </row>
    <row r="33" spans="1:7" ht="14.1" customHeight="1">
      <c r="A33" s="410" t="s">
        <v>256</v>
      </c>
      <c r="B33" s="408">
        <v>3830876</v>
      </c>
      <c r="C33" s="408">
        <v>29070</v>
      </c>
      <c r="D33" s="408">
        <v>826125</v>
      </c>
      <c r="E33" s="408">
        <v>119280</v>
      </c>
      <c r="F33" s="408">
        <v>119280</v>
      </c>
      <c r="G33" s="408">
        <v>182896</v>
      </c>
    </row>
    <row r="34" spans="1:7" ht="14.1" customHeight="1">
      <c r="A34" s="269" t="s">
        <v>257</v>
      </c>
      <c r="B34" s="171">
        <v>3903331</v>
      </c>
      <c r="C34" s="171">
        <v>47144</v>
      </c>
      <c r="D34" s="171">
        <v>572027</v>
      </c>
      <c r="E34" s="171">
        <v>121536</v>
      </c>
      <c r="F34" s="171">
        <v>121536</v>
      </c>
      <c r="G34" s="171">
        <v>186355</v>
      </c>
    </row>
    <row r="35" spans="1:7" ht="14.1" customHeight="1">
      <c r="A35" s="410" t="s">
        <v>258</v>
      </c>
      <c r="B35" s="408">
        <v>29993755</v>
      </c>
      <c r="C35" s="408">
        <v>0</v>
      </c>
      <c r="D35" s="408">
        <v>0</v>
      </c>
      <c r="E35" s="408">
        <v>910971</v>
      </c>
      <c r="F35" s="408">
        <v>933900</v>
      </c>
      <c r="G35" s="408">
        <v>1431980</v>
      </c>
    </row>
    <row r="36" spans="1:7" ht="14.1" customHeight="1">
      <c r="A36" s="269" t="s">
        <v>259</v>
      </c>
      <c r="B36" s="171">
        <v>2987621</v>
      </c>
      <c r="C36" s="171">
        <v>82198</v>
      </c>
      <c r="D36" s="171">
        <v>417330</v>
      </c>
      <c r="E36" s="171">
        <v>93024</v>
      </c>
      <c r="F36" s="171">
        <v>93024</v>
      </c>
      <c r="G36" s="171">
        <v>142637</v>
      </c>
    </row>
    <row r="37" spans="1:7" ht="14.1" customHeight="1">
      <c r="A37" s="410" t="s">
        <v>260</v>
      </c>
      <c r="B37" s="408">
        <v>7157263</v>
      </c>
      <c r="C37" s="408">
        <v>0</v>
      </c>
      <c r="D37" s="408">
        <v>464163</v>
      </c>
      <c r="E37" s="408">
        <v>222852</v>
      </c>
      <c r="F37" s="408">
        <v>222852</v>
      </c>
      <c r="G37" s="408">
        <v>341706</v>
      </c>
    </row>
    <row r="38" spans="1:7" ht="14.1" customHeight="1">
      <c r="A38" s="269" t="s">
        <v>261</v>
      </c>
      <c r="B38" s="171">
        <v>19791639</v>
      </c>
      <c r="C38" s="171">
        <v>0</v>
      </c>
      <c r="D38" s="171">
        <v>0</v>
      </c>
      <c r="E38" s="171">
        <v>616242</v>
      </c>
      <c r="F38" s="171">
        <v>616242</v>
      </c>
      <c r="G38" s="171">
        <v>944904</v>
      </c>
    </row>
    <row r="39" spans="1:7" ht="14.1" customHeight="1">
      <c r="A39" s="410" t="s">
        <v>262</v>
      </c>
      <c r="B39" s="408">
        <v>3053910</v>
      </c>
      <c r="C39" s="408">
        <v>0</v>
      </c>
      <c r="D39" s="408">
        <v>520301</v>
      </c>
      <c r="E39" s="408">
        <v>95088</v>
      </c>
      <c r="F39" s="408">
        <v>95088</v>
      </c>
      <c r="G39" s="408">
        <v>145802</v>
      </c>
    </row>
    <row r="40" spans="1:7" ht="14.1" customHeight="1">
      <c r="A40" s="269" t="s">
        <v>263</v>
      </c>
      <c r="B40" s="171">
        <v>15249122</v>
      </c>
      <c r="C40" s="171">
        <v>0</v>
      </c>
      <c r="D40" s="171">
        <v>0</v>
      </c>
      <c r="E40" s="171">
        <v>474804</v>
      </c>
      <c r="F40" s="171">
        <v>474804</v>
      </c>
      <c r="G40" s="171">
        <v>728033</v>
      </c>
    </row>
    <row r="41" spans="1:7" ht="14.1" customHeight="1">
      <c r="A41" s="410" t="s">
        <v>264</v>
      </c>
      <c r="B41" s="408">
        <v>8448698</v>
      </c>
      <c r="C41" s="408">
        <v>105325</v>
      </c>
      <c r="D41" s="408">
        <v>500269</v>
      </c>
      <c r="E41" s="408">
        <v>263088</v>
      </c>
      <c r="F41" s="408">
        <v>263088</v>
      </c>
      <c r="G41" s="408">
        <v>403402</v>
      </c>
    </row>
    <row r="42" spans="1:7" ht="14.1" customHeight="1">
      <c r="A42" s="269" t="s">
        <v>265</v>
      </c>
      <c r="B42" s="171">
        <v>2686623</v>
      </c>
      <c r="C42" s="171">
        <v>0</v>
      </c>
      <c r="D42" s="171">
        <v>301790</v>
      </c>
      <c r="E42" s="171">
        <v>83652</v>
      </c>
      <c r="F42" s="171">
        <v>83652</v>
      </c>
      <c r="G42" s="171">
        <v>128266</v>
      </c>
    </row>
    <row r="43" spans="1:7" ht="14.1" customHeight="1">
      <c r="A43" s="410" t="s">
        <v>266</v>
      </c>
      <c r="B43" s="408">
        <v>1879789</v>
      </c>
      <c r="C43" s="408">
        <v>53129</v>
      </c>
      <c r="D43" s="408">
        <v>241172</v>
      </c>
      <c r="E43" s="408">
        <v>58575</v>
      </c>
      <c r="F43" s="408">
        <v>58530</v>
      </c>
      <c r="G43" s="408">
        <v>89746</v>
      </c>
    </row>
    <row r="44" spans="1:7" ht="14.1" customHeight="1">
      <c r="A44" s="269" t="s">
        <v>267</v>
      </c>
      <c r="B44" s="171">
        <v>1374915</v>
      </c>
      <c r="C44" s="171">
        <v>25518</v>
      </c>
      <c r="D44" s="171">
        <v>302286</v>
      </c>
      <c r="E44" s="171">
        <v>42810</v>
      </c>
      <c r="F44" s="171">
        <v>42810</v>
      </c>
      <c r="G44" s="171">
        <v>65642</v>
      </c>
    </row>
    <row r="45" spans="1:7" ht="14.1" customHeight="1">
      <c r="A45" s="410" t="s">
        <v>268</v>
      </c>
      <c r="B45" s="408">
        <v>3080695</v>
      </c>
      <c r="C45" s="408">
        <v>0</v>
      </c>
      <c r="D45" s="408">
        <v>20645</v>
      </c>
      <c r="E45" s="408">
        <v>95922</v>
      </c>
      <c r="F45" s="408">
        <v>95922</v>
      </c>
      <c r="G45" s="408">
        <v>147080</v>
      </c>
    </row>
    <row r="46" spans="1:7" ht="14.1" customHeight="1">
      <c r="A46" s="269" t="s">
        <v>269</v>
      </c>
      <c r="B46" s="171">
        <v>57426679</v>
      </c>
      <c r="C46" s="171">
        <v>0</v>
      </c>
      <c r="D46" s="171">
        <v>0</v>
      </c>
      <c r="E46" s="171">
        <v>1764289</v>
      </c>
      <c r="F46" s="171">
        <v>1788090</v>
      </c>
      <c r="G46" s="171">
        <v>2741738</v>
      </c>
    </row>
    <row r="47" spans="1:7" ht="5.0999999999999996" customHeight="1">
      <c r="A47" s="148"/>
      <c r="B47" s="172"/>
      <c r="C47" s="172"/>
      <c r="D47" s="172"/>
      <c r="E47" s="172"/>
      <c r="F47" s="172"/>
      <c r="G47" s="172"/>
    </row>
    <row r="48" spans="1:7" ht="14.1" customHeight="1">
      <c r="A48" s="411" t="s">
        <v>270</v>
      </c>
      <c r="B48" s="412">
        <f t="shared" ref="B48:G48" si="0">SUM(B11:B46)</f>
        <v>319818713</v>
      </c>
      <c r="C48" s="412">
        <f t="shared" si="0"/>
        <v>810624</v>
      </c>
      <c r="D48" s="412">
        <f t="shared" si="0"/>
        <v>11021780</v>
      </c>
      <c r="E48" s="412">
        <f t="shared" si="0"/>
        <v>9845955</v>
      </c>
      <c r="F48" s="412">
        <f t="shared" si="0"/>
        <v>9958080</v>
      </c>
      <c r="G48" s="412">
        <f t="shared" si="0"/>
        <v>15269055</v>
      </c>
    </row>
    <row r="49" spans="1:7" ht="5.0999999999999996" customHeight="1">
      <c r="A49" s="148" t="s">
        <v>16</v>
      </c>
      <c r="B49" s="172"/>
      <c r="C49" s="172"/>
      <c r="D49" s="172"/>
      <c r="E49" s="172"/>
      <c r="F49" s="172"/>
      <c r="G49" s="172"/>
    </row>
    <row r="50" spans="1:7" ht="14.1" customHeight="1">
      <c r="A50" s="269" t="s">
        <v>271</v>
      </c>
      <c r="B50" s="171">
        <v>204476</v>
      </c>
      <c r="C50" s="171">
        <v>45525</v>
      </c>
      <c r="D50" s="171">
        <v>0</v>
      </c>
      <c r="E50" s="171">
        <v>10020</v>
      </c>
      <c r="F50" s="171">
        <v>10020</v>
      </c>
      <c r="G50" s="171">
        <v>15364</v>
      </c>
    </row>
    <row r="51" spans="1:7" ht="14.1" customHeight="1">
      <c r="A51" s="410" t="s">
        <v>272</v>
      </c>
      <c r="B51" s="408">
        <v>0</v>
      </c>
      <c r="C51" s="408">
        <v>0</v>
      </c>
      <c r="D51" s="408">
        <v>0</v>
      </c>
      <c r="E51" s="408">
        <v>0</v>
      </c>
      <c r="F51" s="408">
        <v>0</v>
      </c>
      <c r="G51" s="408">
        <v>0</v>
      </c>
    </row>
    <row r="52" spans="1:7" ht="50.1" customHeight="1">
      <c r="A52" s="30"/>
      <c r="B52" s="30"/>
      <c r="C52" s="30"/>
      <c r="D52" s="30"/>
      <c r="E52" s="30"/>
      <c r="F52" s="30"/>
      <c r="G52" s="30"/>
    </row>
    <row r="53" spans="1:7" ht="15" customHeight="1">
      <c r="A53" s="45" t="str">
        <f>"(1)  Based on a grant per eligible pupil at "&amp;Data!C89&amp;" "&amp;Data!B89</f>
        <v>(1)  Based on a grant per eligible pupil at September 30, 2012</v>
      </c>
      <c r="D53" s="45"/>
      <c r="E53" s="45"/>
      <c r="F53" s="45"/>
      <c r="G53" s="45"/>
    </row>
    <row r="54" spans="1:7" ht="12" customHeight="1">
      <c r="A54" s="45" t="s">
        <v>631</v>
      </c>
      <c r="D54" s="45"/>
      <c r="E54" s="45"/>
      <c r="F54" s="45"/>
      <c r="G54" s="45"/>
    </row>
  </sheetData>
  <mergeCells count="1">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sheetPr codeName="Sheet451">
    <pageSetUpPr fitToPage="1"/>
  </sheetPr>
  <dimension ref="A1:G54"/>
  <sheetViews>
    <sheetView showGridLines="0" showZeros="0" workbookViewId="0"/>
  </sheetViews>
  <sheetFormatPr defaultColWidth="19.83203125" defaultRowHeight="12"/>
  <cols>
    <col min="1" max="1" width="32.83203125" style="1" customWidth="1"/>
    <col min="2" max="2" width="16.33203125" style="1" customWidth="1"/>
    <col min="3" max="3" width="16.6640625" style="1" customWidth="1"/>
    <col min="4" max="4" width="18.33203125" style="1" customWidth="1"/>
    <col min="5" max="5" width="15.83203125" style="1" customWidth="1"/>
    <col min="6" max="6" width="15.1640625" style="1" customWidth="1"/>
    <col min="7" max="7" width="15.83203125" style="1" customWidth="1"/>
    <col min="8" max="16384" width="19.83203125" style="1"/>
  </cols>
  <sheetData>
    <row r="1" spans="1:7" ht="6.95" customHeight="1">
      <c r="A1" s="6"/>
      <c r="B1" s="6"/>
      <c r="C1" s="6"/>
      <c r="D1" s="6"/>
      <c r="E1" s="6"/>
      <c r="F1" s="6"/>
      <c r="G1" s="6"/>
    </row>
    <row r="2" spans="1:7" ht="15.95" customHeight="1">
      <c r="A2" s="298"/>
      <c r="B2" s="306" t="str">
        <f>REVYEAR</f>
        <v>ANALYSIS OF OPERATING FUND REVENUE: 2013/2014 ACTUAL</v>
      </c>
      <c r="C2" s="307"/>
      <c r="D2" s="303"/>
      <c r="E2" s="303"/>
      <c r="F2" s="308"/>
      <c r="G2" s="244" t="s">
        <v>206</v>
      </c>
    </row>
    <row r="3" spans="1:7" ht="15.95" customHeight="1">
      <c r="A3" s="693"/>
      <c r="B3" s="234"/>
      <c r="C3" s="6"/>
      <c r="D3" s="6"/>
      <c r="E3" s="6"/>
      <c r="F3" s="6"/>
      <c r="G3" s="6"/>
    </row>
    <row r="4" spans="1:7" ht="15.95" customHeight="1">
      <c r="B4" s="437" t="str">
        <f>'- 58 -'!B4</f>
        <v>EDUCATION</v>
      </c>
      <c r="C4" s="362"/>
      <c r="D4" s="362"/>
      <c r="E4" s="362"/>
      <c r="F4" s="362"/>
      <c r="G4" s="352"/>
    </row>
    <row r="5" spans="1:7" ht="15.95" customHeight="1">
      <c r="B5" s="438" t="s">
        <v>227</v>
      </c>
      <c r="C5" s="433"/>
      <c r="D5" s="433"/>
      <c r="E5" s="433"/>
      <c r="F5" s="354"/>
      <c r="G5" s="439"/>
    </row>
    <row r="6" spans="1:7" ht="15.95" customHeight="1">
      <c r="B6" s="301" t="s">
        <v>111</v>
      </c>
      <c r="C6" s="48"/>
      <c r="D6" s="48"/>
      <c r="E6" s="48"/>
      <c r="F6" s="48"/>
      <c r="G6" s="131"/>
    </row>
    <row r="7" spans="1:7" ht="15.95" customHeight="1">
      <c r="B7" s="250"/>
      <c r="C7" s="40"/>
      <c r="D7" s="40"/>
      <c r="E7" s="40"/>
      <c r="F7" s="40"/>
      <c r="G7" s="250" t="s">
        <v>67</v>
      </c>
    </row>
    <row r="8" spans="1:7" ht="15.95" customHeight="1">
      <c r="A8" s="75"/>
      <c r="B8" s="479" t="s">
        <v>433</v>
      </c>
      <c r="C8" s="252" t="s">
        <v>127</v>
      </c>
      <c r="D8" s="252" t="s">
        <v>129</v>
      </c>
      <c r="E8" s="252" t="s">
        <v>646</v>
      </c>
      <c r="F8" s="309"/>
      <c r="G8" s="252" t="s">
        <v>130</v>
      </c>
    </row>
    <row r="9" spans="1:7" ht="15.95" customHeight="1">
      <c r="A9" s="42" t="s">
        <v>93</v>
      </c>
      <c r="B9" s="480" t="s">
        <v>525</v>
      </c>
      <c r="C9" s="94" t="s">
        <v>151</v>
      </c>
      <c r="D9" s="94" t="s">
        <v>153</v>
      </c>
      <c r="E9" s="94" t="s">
        <v>89</v>
      </c>
      <c r="F9" s="94" t="s">
        <v>150</v>
      </c>
      <c r="G9" s="94" t="s">
        <v>149</v>
      </c>
    </row>
    <row r="10" spans="1:7" ht="5.0999999999999996" customHeight="1">
      <c r="A10" s="5"/>
      <c r="B10" s="6"/>
      <c r="F10" s="6"/>
      <c r="G10" s="6"/>
    </row>
    <row r="11" spans="1:7" ht="14.1" customHeight="1">
      <c r="A11" s="410" t="s">
        <v>235</v>
      </c>
      <c r="B11" s="408">
        <v>475075</v>
      </c>
      <c r="C11" s="408">
        <v>122713</v>
      </c>
      <c r="D11" s="408">
        <v>68839</v>
      </c>
      <c r="E11" s="408">
        <v>29000</v>
      </c>
      <c r="F11" s="408">
        <v>849870</v>
      </c>
      <c r="G11" s="408">
        <f>SUM('- 58 -'!$B11:G11,B11:F11)</f>
        <v>5034910</v>
      </c>
    </row>
    <row r="12" spans="1:7" ht="14.1" customHeight="1">
      <c r="A12" s="269" t="s">
        <v>236</v>
      </c>
      <c r="B12" s="171">
        <v>698439</v>
      </c>
      <c r="C12" s="171">
        <v>176702</v>
      </c>
      <c r="D12" s="171">
        <v>99125</v>
      </c>
      <c r="E12" s="171">
        <v>46875</v>
      </c>
      <c r="F12" s="171">
        <v>1225215</v>
      </c>
      <c r="G12" s="171">
        <f>SUM('- 58 -'!$B12:G12,B12:F12)</f>
        <v>7221985</v>
      </c>
    </row>
    <row r="13" spans="1:7" ht="14.1" customHeight="1">
      <c r="A13" s="410" t="s">
        <v>237</v>
      </c>
      <c r="B13" s="408">
        <v>2548773</v>
      </c>
      <c r="C13" s="408">
        <v>638083</v>
      </c>
      <c r="D13" s="408">
        <v>357949</v>
      </c>
      <c r="E13" s="408">
        <v>187125</v>
      </c>
      <c r="F13" s="408">
        <v>3052350</v>
      </c>
      <c r="G13" s="408">
        <f>SUM('- 58 -'!$B13:G13,B13:F13)</f>
        <v>23539739</v>
      </c>
    </row>
    <row r="14" spans="1:7" ht="14.1" customHeight="1">
      <c r="A14" s="269" t="s">
        <v>636</v>
      </c>
      <c r="B14" s="171">
        <v>1537444</v>
      </c>
      <c r="C14" s="171">
        <v>396691</v>
      </c>
      <c r="D14" s="171">
        <v>188670</v>
      </c>
      <c r="E14" s="171">
        <v>81500</v>
      </c>
      <c r="F14" s="171">
        <v>2595780</v>
      </c>
      <c r="G14" s="171">
        <f>SUM('- 58 -'!$B14:G14,B14:F14)</f>
        <v>15991958</v>
      </c>
    </row>
    <row r="15" spans="1:7" ht="14.1" customHeight="1">
      <c r="A15" s="410" t="s">
        <v>238</v>
      </c>
      <c r="B15" s="408">
        <v>490561</v>
      </c>
      <c r="C15" s="408">
        <v>123984</v>
      </c>
      <c r="D15" s="408">
        <v>58968</v>
      </c>
      <c r="E15" s="408">
        <v>33125</v>
      </c>
      <c r="F15" s="408">
        <v>863550</v>
      </c>
      <c r="G15" s="408">
        <f>SUM('- 58 -'!$B15:G15,B15:F15)</f>
        <v>5049849</v>
      </c>
    </row>
    <row r="16" spans="1:7" ht="14.1" customHeight="1">
      <c r="A16" s="269" t="s">
        <v>239</v>
      </c>
      <c r="B16" s="171">
        <v>324607</v>
      </c>
      <c r="C16" s="171">
        <v>78441</v>
      </c>
      <c r="D16" s="171">
        <v>48787</v>
      </c>
      <c r="E16" s="171">
        <v>29250</v>
      </c>
      <c r="F16" s="171">
        <v>558315</v>
      </c>
      <c r="G16" s="171">
        <f>SUM('- 58 -'!$B16:G16,B16:F16)</f>
        <v>3104582</v>
      </c>
    </row>
    <row r="17" spans="1:7" ht="14.1" customHeight="1">
      <c r="A17" s="410" t="s">
        <v>240</v>
      </c>
      <c r="B17" s="408">
        <v>392259</v>
      </c>
      <c r="C17" s="408">
        <v>103566</v>
      </c>
      <c r="D17" s="408">
        <v>58098</v>
      </c>
      <c r="E17" s="408">
        <v>28500</v>
      </c>
      <c r="F17" s="408">
        <v>860130</v>
      </c>
      <c r="G17" s="408">
        <f>SUM('- 58 -'!$B17:G17,B17:F17)</f>
        <v>4431628</v>
      </c>
    </row>
    <row r="18" spans="1:7" ht="14.1" customHeight="1">
      <c r="A18" s="269" t="s">
        <v>241</v>
      </c>
      <c r="B18" s="171">
        <v>1290180</v>
      </c>
      <c r="C18" s="171">
        <v>197546</v>
      </c>
      <c r="D18" s="171">
        <v>93955</v>
      </c>
      <c r="E18" s="171">
        <v>32250</v>
      </c>
      <c r="F18" s="171">
        <v>4129650</v>
      </c>
      <c r="G18" s="171">
        <f>SUM('- 58 -'!$B18:G18,B18:F18)</f>
        <v>11927109</v>
      </c>
    </row>
    <row r="19" spans="1:7" ht="14.1" customHeight="1">
      <c r="A19" s="410" t="s">
        <v>242</v>
      </c>
      <c r="B19" s="408">
        <v>1325235</v>
      </c>
      <c r="C19" s="408">
        <v>341792</v>
      </c>
      <c r="D19" s="408">
        <v>191737</v>
      </c>
      <c r="E19" s="408">
        <v>83625</v>
      </c>
      <c r="F19" s="408">
        <v>1434690</v>
      </c>
      <c r="G19" s="408">
        <f>SUM('- 58 -'!$B19:G19,B19:F19)</f>
        <v>12509192</v>
      </c>
    </row>
    <row r="20" spans="1:7" ht="14.1" customHeight="1">
      <c r="A20" s="269" t="s">
        <v>243</v>
      </c>
      <c r="B20" s="171">
        <v>2405264</v>
      </c>
      <c r="C20" s="171">
        <v>605029</v>
      </c>
      <c r="D20" s="171">
        <v>287758</v>
      </c>
      <c r="E20" s="171">
        <v>152125</v>
      </c>
      <c r="F20" s="171">
        <v>2600910</v>
      </c>
      <c r="G20" s="171">
        <f>SUM('- 58 -'!$B20:G20,B20:F20)</f>
        <v>22094029</v>
      </c>
    </row>
    <row r="21" spans="1:7" ht="14.1" customHeight="1">
      <c r="A21" s="410" t="s">
        <v>244</v>
      </c>
      <c r="B21" s="408">
        <v>881987</v>
      </c>
      <c r="C21" s="408">
        <v>226058</v>
      </c>
      <c r="D21" s="408">
        <v>107515</v>
      </c>
      <c r="E21" s="408">
        <v>70500</v>
      </c>
      <c r="F21" s="408">
        <v>1557810</v>
      </c>
      <c r="G21" s="408">
        <f>SUM('- 58 -'!$B21:G21,B21:F21)</f>
        <v>9266815</v>
      </c>
    </row>
    <row r="22" spans="1:7" ht="14.1" customHeight="1">
      <c r="A22" s="269" t="s">
        <v>245</v>
      </c>
      <c r="B22" s="171">
        <v>551466</v>
      </c>
      <c r="C22" s="171">
        <v>130831</v>
      </c>
      <c r="D22" s="171">
        <v>81371</v>
      </c>
      <c r="E22" s="171">
        <v>30750</v>
      </c>
      <c r="F22" s="171">
        <v>956745</v>
      </c>
      <c r="G22" s="171">
        <f>SUM('- 58 -'!$B22:G22,B22:F22)</f>
        <v>5197972</v>
      </c>
    </row>
    <row r="23" spans="1:7" ht="14.1" customHeight="1">
      <c r="A23" s="410" t="s">
        <v>246</v>
      </c>
      <c r="B23" s="408">
        <v>382604</v>
      </c>
      <c r="C23" s="408">
        <v>88199</v>
      </c>
      <c r="D23" s="408">
        <v>49478</v>
      </c>
      <c r="E23" s="408">
        <v>24375</v>
      </c>
      <c r="F23" s="408">
        <v>810540</v>
      </c>
      <c r="G23" s="408">
        <f>SUM('- 58 -'!$B23:G23,B23:F23)</f>
        <v>4043155</v>
      </c>
    </row>
    <row r="24" spans="1:7" ht="14.1" customHeight="1">
      <c r="A24" s="269" t="s">
        <v>247</v>
      </c>
      <c r="B24" s="171">
        <v>1357620</v>
      </c>
      <c r="C24" s="171">
        <v>341054</v>
      </c>
      <c r="D24" s="171">
        <v>162209</v>
      </c>
      <c r="E24" s="171">
        <v>104000</v>
      </c>
      <c r="F24" s="171">
        <v>2046015</v>
      </c>
      <c r="G24" s="171">
        <f>SUM('- 58 -'!$B24:G24,B24:F24)</f>
        <v>13263303</v>
      </c>
    </row>
    <row r="25" spans="1:7" ht="14.1" customHeight="1">
      <c r="A25" s="410" t="s">
        <v>248</v>
      </c>
      <c r="B25" s="408">
        <v>4617967</v>
      </c>
      <c r="C25" s="408">
        <v>1111453</v>
      </c>
      <c r="D25" s="408">
        <v>528618</v>
      </c>
      <c r="E25" s="408">
        <v>332750</v>
      </c>
      <c r="F25" s="408">
        <v>6472350</v>
      </c>
      <c r="G25" s="408">
        <f>SUM('- 58 -'!$B25:G25,B25:F25)</f>
        <v>42055786</v>
      </c>
    </row>
    <row r="26" spans="1:7" ht="14.1" customHeight="1">
      <c r="A26" s="269" t="s">
        <v>249</v>
      </c>
      <c r="B26" s="171">
        <v>995599</v>
      </c>
      <c r="C26" s="171">
        <v>242589</v>
      </c>
      <c r="D26" s="171">
        <v>136086</v>
      </c>
      <c r="E26" s="171">
        <v>68000</v>
      </c>
      <c r="F26" s="171">
        <v>2322180</v>
      </c>
      <c r="G26" s="171">
        <f>SUM('- 58 -'!$B26:G26,B26:F26)</f>
        <v>10680675</v>
      </c>
    </row>
    <row r="27" spans="1:7" ht="14.1" customHeight="1">
      <c r="A27" s="410" t="s">
        <v>250</v>
      </c>
      <c r="B27" s="408">
        <v>995657</v>
      </c>
      <c r="C27" s="408">
        <v>220088</v>
      </c>
      <c r="D27" s="408">
        <v>136884</v>
      </c>
      <c r="E27" s="408">
        <v>52376</v>
      </c>
      <c r="F27" s="408">
        <v>1314136</v>
      </c>
      <c r="G27" s="408">
        <f>SUM('- 58 -'!$B27:G27,B27:F27)</f>
        <v>8460214</v>
      </c>
    </row>
    <row r="28" spans="1:7" ht="14.1" customHeight="1">
      <c r="A28" s="269" t="s">
        <v>251</v>
      </c>
      <c r="B28" s="171">
        <v>479682</v>
      </c>
      <c r="C28" s="171">
        <v>123312</v>
      </c>
      <c r="D28" s="171">
        <v>69175</v>
      </c>
      <c r="E28" s="171">
        <v>33663</v>
      </c>
      <c r="F28" s="171">
        <v>1298745</v>
      </c>
      <c r="G28" s="171">
        <f>SUM('- 58 -'!$B28:G28,B28:F28)</f>
        <v>5766662</v>
      </c>
    </row>
    <row r="29" spans="1:7" ht="14.1" customHeight="1">
      <c r="A29" s="410" t="s">
        <v>252</v>
      </c>
      <c r="B29" s="408">
        <v>3892808</v>
      </c>
      <c r="C29" s="408">
        <v>990289</v>
      </c>
      <c r="D29" s="408">
        <v>470991</v>
      </c>
      <c r="E29" s="408">
        <v>296875</v>
      </c>
      <c r="F29" s="408">
        <v>5000895</v>
      </c>
      <c r="G29" s="408">
        <f>SUM('- 58 -'!$B29:G29,B29:F29)</f>
        <v>36484039</v>
      </c>
    </row>
    <row r="30" spans="1:7" ht="14.1" customHeight="1">
      <c r="A30" s="269" t="s">
        <v>253</v>
      </c>
      <c r="B30" s="171">
        <v>353526</v>
      </c>
      <c r="C30" s="171">
        <v>88052</v>
      </c>
      <c r="D30" s="171">
        <v>49395</v>
      </c>
      <c r="E30" s="171">
        <v>23000</v>
      </c>
      <c r="F30" s="171">
        <v>792585</v>
      </c>
      <c r="G30" s="171">
        <f>SUM('- 58 -'!$B30:G30,B30:F30)</f>
        <v>3967592</v>
      </c>
    </row>
    <row r="31" spans="1:7" ht="14.1" customHeight="1">
      <c r="A31" s="410" t="s">
        <v>254</v>
      </c>
      <c r="B31" s="408">
        <v>1065888</v>
      </c>
      <c r="C31" s="408">
        <v>250428</v>
      </c>
      <c r="D31" s="408">
        <v>119106</v>
      </c>
      <c r="E31" s="408">
        <v>60500</v>
      </c>
      <c r="F31" s="408">
        <v>1798065</v>
      </c>
      <c r="G31" s="408">
        <f>SUM('- 58 -'!$B31:G31,B31:F31)</f>
        <v>10018817</v>
      </c>
    </row>
    <row r="32" spans="1:7" ht="14.1" customHeight="1">
      <c r="A32" s="269" t="s">
        <v>255</v>
      </c>
      <c r="B32" s="171">
        <v>654165</v>
      </c>
      <c r="C32" s="171">
        <v>167091</v>
      </c>
      <c r="D32" s="171">
        <v>79470</v>
      </c>
      <c r="E32" s="171">
        <v>39000</v>
      </c>
      <c r="F32" s="171">
        <v>1405620</v>
      </c>
      <c r="G32" s="171">
        <f>SUM('- 58 -'!$B32:G32,B32:F32)</f>
        <v>7299941</v>
      </c>
    </row>
    <row r="33" spans="1:7" ht="14.1" customHeight="1">
      <c r="A33" s="410" t="s">
        <v>256</v>
      </c>
      <c r="B33" s="408">
        <v>642810</v>
      </c>
      <c r="C33" s="408">
        <v>163016</v>
      </c>
      <c r="D33" s="408">
        <v>91448</v>
      </c>
      <c r="E33" s="408">
        <v>43250</v>
      </c>
      <c r="F33" s="408">
        <v>1757880</v>
      </c>
      <c r="G33" s="408">
        <f>SUM('- 58 -'!$B33:G33,B33:F33)</f>
        <v>7805931</v>
      </c>
    </row>
    <row r="34" spans="1:7" ht="14.1" customHeight="1">
      <c r="A34" s="269" t="s">
        <v>257</v>
      </c>
      <c r="B34" s="171">
        <v>645719</v>
      </c>
      <c r="C34" s="171">
        <v>166099</v>
      </c>
      <c r="D34" s="171">
        <v>78998</v>
      </c>
      <c r="E34" s="171">
        <v>41625</v>
      </c>
      <c r="F34" s="171">
        <v>1220085</v>
      </c>
      <c r="G34" s="171">
        <f>SUM('- 58 -'!$B34:G34,B34:F34)</f>
        <v>7104455</v>
      </c>
    </row>
    <row r="35" spans="1:7" ht="14.1" customHeight="1">
      <c r="A35" s="410" t="s">
        <v>258</v>
      </c>
      <c r="B35" s="408">
        <v>5124578</v>
      </c>
      <c r="C35" s="408">
        <v>1276330</v>
      </c>
      <c r="D35" s="408">
        <v>607035</v>
      </c>
      <c r="E35" s="408">
        <v>377525</v>
      </c>
      <c r="F35" s="408">
        <v>7091370</v>
      </c>
      <c r="G35" s="408">
        <f>SUM('- 58 -'!$B35:G35,B35:F35)</f>
        <v>47747444</v>
      </c>
    </row>
    <row r="36" spans="1:7" ht="14.1" customHeight="1">
      <c r="A36" s="269" t="s">
        <v>259</v>
      </c>
      <c r="B36" s="171">
        <v>522603</v>
      </c>
      <c r="C36" s="171">
        <v>127133</v>
      </c>
      <c r="D36" s="171">
        <v>71318</v>
      </c>
      <c r="E36" s="171">
        <v>33750</v>
      </c>
      <c r="F36" s="171">
        <v>1175625</v>
      </c>
      <c r="G36" s="171">
        <f>SUM('- 58 -'!$B36:G36,B36:F36)</f>
        <v>5746263</v>
      </c>
    </row>
    <row r="37" spans="1:7" ht="14.1" customHeight="1">
      <c r="A37" s="410" t="s">
        <v>260</v>
      </c>
      <c r="B37" s="408">
        <v>1222580</v>
      </c>
      <c r="C37" s="408">
        <v>304564</v>
      </c>
      <c r="D37" s="408">
        <v>144854</v>
      </c>
      <c r="E37" s="408">
        <v>70375</v>
      </c>
      <c r="F37" s="408">
        <v>1727100</v>
      </c>
      <c r="G37" s="408">
        <f>SUM('- 58 -'!$B37:G37,B37:F37)</f>
        <v>11878309</v>
      </c>
    </row>
    <row r="38" spans="1:7" ht="14.1" customHeight="1">
      <c r="A38" s="269" t="s">
        <v>261</v>
      </c>
      <c r="B38" s="171">
        <v>3512336</v>
      </c>
      <c r="C38" s="171">
        <v>842197</v>
      </c>
      <c r="D38" s="171">
        <v>400557</v>
      </c>
      <c r="E38" s="171">
        <v>265000</v>
      </c>
      <c r="F38" s="171">
        <v>3428550</v>
      </c>
      <c r="G38" s="171">
        <f>SUM('- 58 -'!$B38:G38,B38:F38)</f>
        <v>30417667</v>
      </c>
    </row>
    <row r="39" spans="1:7" ht="14.1" customHeight="1">
      <c r="A39" s="410" t="s">
        <v>262</v>
      </c>
      <c r="B39" s="408">
        <v>497336</v>
      </c>
      <c r="C39" s="408">
        <v>129954</v>
      </c>
      <c r="D39" s="408">
        <v>72901</v>
      </c>
      <c r="E39" s="408">
        <v>31913</v>
      </c>
      <c r="F39" s="408">
        <v>1040535</v>
      </c>
      <c r="G39" s="408">
        <f>SUM('- 58 -'!$B39:G39,B39:F39)</f>
        <v>5682828</v>
      </c>
    </row>
    <row r="40" spans="1:7" ht="14.1" customHeight="1">
      <c r="A40" s="269" t="s">
        <v>263</v>
      </c>
      <c r="B40" s="171">
        <v>2675983</v>
      </c>
      <c r="C40" s="171">
        <v>648899</v>
      </c>
      <c r="D40" s="171">
        <v>308623</v>
      </c>
      <c r="E40" s="171">
        <v>205500</v>
      </c>
      <c r="F40" s="171">
        <v>4230540</v>
      </c>
      <c r="G40" s="171">
        <f>SUM('- 58 -'!$B40:G40,B40:F40)</f>
        <v>24996308</v>
      </c>
    </row>
    <row r="41" spans="1:7" ht="14.1" customHeight="1">
      <c r="A41" s="410" t="s">
        <v>264</v>
      </c>
      <c r="B41" s="408">
        <v>1409277</v>
      </c>
      <c r="C41" s="408">
        <v>359554</v>
      </c>
      <c r="D41" s="408">
        <v>201701</v>
      </c>
      <c r="E41" s="408">
        <v>93125</v>
      </c>
      <c r="F41" s="408">
        <v>2181105</v>
      </c>
      <c r="G41" s="408">
        <f>SUM('- 58 -'!$B41:G41,B41:F41)</f>
        <v>14228632</v>
      </c>
    </row>
    <row r="42" spans="1:7" ht="14.1" customHeight="1">
      <c r="A42" s="269" t="s">
        <v>265</v>
      </c>
      <c r="B42" s="171">
        <v>482036</v>
      </c>
      <c r="C42" s="171">
        <v>114324</v>
      </c>
      <c r="D42" s="171">
        <v>71104</v>
      </c>
      <c r="E42" s="171">
        <v>31875</v>
      </c>
      <c r="F42" s="171">
        <v>1052505</v>
      </c>
      <c r="G42" s="171">
        <f>SUM('- 58 -'!$B42:G42,B42:F42)</f>
        <v>5035827</v>
      </c>
    </row>
    <row r="43" spans="1:7" ht="14.1" customHeight="1">
      <c r="A43" s="410" t="s">
        <v>266</v>
      </c>
      <c r="B43" s="408">
        <v>308086</v>
      </c>
      <c r="C43" s="408">
        <v>79991</v>
      </c>
      <c r="D43" s="408">
        <v>44873</v>
      </c>
      <c r="E43" s="408">
        <v>23625</v>
      </c>
      <c r="F43" s="408">
        <v>592523</v>
      </c>
      <c r="G43" s="408">
        <f>SUM('- 58 -'!$B43:G43,B43:F43)</f>
        <v>3430039</v>
      </c>
    </row>
    <row r="44" spans="1:7" ht="14.1" customHeight="1">
      <c r="A44" s="269" t="s">
        <v>267</v>
      </c>
      <c r="B44" s="171">
        <v>339628</v>
      </c>
      <c r="C44" s="171">
        <v>58507</v>
      </c>
      <c r="D44" s="171">
        <v>32821</v>
      </c>
      <c r="E44" s="171">
        <v>12500</v>
      </c>
      <c r="F44" s="171">
        <v>628425</v>
      </c>
      <c r="G44" s="171">
        <f>SUM('- 58 -'!$B44:G44,B44:F44)</f>
        <v>2925862</v>
      </c>
    </row>
    <row r="45" spans="1:7" ht="14.1" customHeight="1">
      <c r="A45" s="410" t="s">
        <v>268</v>
      </c>
      <c r="B45" s="408">
        <v>510709</v>
      </c>
      <c r="C45" s="408">
        <v>131093</v>
      </c>
      <c r="D45" s="408">
        <v>73540</v>
      </c>
      <c r="E45" s="408">
        <v>36375</v>
      </c>
      <c r="F45" s="408">
        <v>589950</v>
      </c>
      <c r="G45" s="408">
        <f>SUM('- 58 -'!$B45:G45,B45:F45)</f>
        <v>4781931</v>
      </c>
    </row>
    <row r="46" spans="1:7" ht="14.1" customHeight="1">
      <c r="A46" s="269" t="s">
        <v>269</v>
      </c>
      <c r="B46" s="171">
        <v>16537580</v>
      </c>
      <c r="C46" s="171">
        <v>2443723</v>
      </c>
      <c r="D46" s="171">
        <v>1162259</v>
      </c>
      <c r="E46" s="171">
        <v>748625</v>
      </c>
      <c r="F46" s="171">
        <v>14594850</v>
      </c>
      <c r="G46" s="171">
        <f>SUM('- 58 -'!$B46:G46,B46:F46)</f>
        <v>99207833</v>
      </c>
    </row>
    <row r="47" spans="1:7" ht="5.0999999999999996" customHeight="1">
      <c r="A47" s="148"/>
      <c r="B47" s="172"/>
      <c r="C47" s="172"/>
      <c r="D47" s="172"/>
      <c r="E47" s="172"/>
      <c r="F47" s="172"/>
      <c r="G47" s="172"/>
    </row>
    <row r="48" spans="1:7" ht="14.1" customHeight="1">
      <c r="A48" s="411" t="s">
        <v>270</v>
      </c>
      <c r="B48" s="412">
        <f t="shared" ref="B48:G48" si="0">SUM(B11:B46)</f>
        <v>62148067</v>
      </c>
      <c r="C48" s="412">
        <f t="shared" si="0"/>
        <v>13609375</v>
      </c>
      <c r="D48" s="412">
        <f t="shared" si="0"/>
        <v>6806216</v>
      </c>
      <c r="E48" s="412">
        <f t="shared" si="0"/>
        <v>3854227</v>
      </c>
      <c r="F48" s="412">
        <f t="shared" si="0"/>
        <v>85257189</v>
      </c>
      <c r="G48" s="412">
        <f t="shared" si="0"/>
        <v>538399281</v>
      </c>
    </row>
    <row r="49" spans="1:7" ht="5.0999999999999996" customHeight="1">
      <c r="A49" s="148" t="s">
        <v>16</v>
      </c>
      <c r="B49" s="172"/>
      <c r="C49" s="172"/>
      <c r="D49" s="172"/>
      <c r="E49" s="172"/>
      <c r="F49" s="172"/>
      <c r="G49" s="172"/>
    </row>
    <row r="50" spans="1:7" ht="14.1" customHeight="1">
      <c r="A50" s="269" t="s">
        <v>271</v>
      </c>
      <c r="B50" s="171">
        <v>53283</v>
      </c>
      <c r="C50" s="171">
        <v>13694</v>
      </c>
      <c r="D50" s="171">
        <v>7682</v>
      </c>
      <c r="E50" s="171">
        <v>3375</v>
      </c>
      <c r="F50" s="171">
        <v>236835</v>
      </c>
      <c r="G50" s="171">
        <f>SUM('- 58 -'!$B50:G50,B50:F50)</f>
        <v>600274</v>
      </c>
    </row>
    <row r="51" spans="1:7" ht="14.1" customHeight="1">
      <c r="A51" s="410" t="s">
        <v>272</v>
      </c>
      <c r="B51" s="408">
        <v>0</v>
      </c>
      <c r="C51" s="408">
        <v>0</v>
      </c>
      <c r="D51" s="408">
        <v>0</v>
      </c>
      <c r="E51" s="408">
        <v>0</v>
      </c>
      <c r="F51" s="408">
        <v>0</v>
      </c>
      <c r="G51" s="408">
        <f>SUM('- 58 -'!$B51:G51,B51:F51)</f>
        <v>0</v>
      </c>
    </row>
    <row r="52" spans="1:7" ht="50.1" customHeight="1">
      <c r="A52" s="30"/>
      <c r="B52" s="30"/>
      <c r="C52" s="30"/>
      <c r="D52" s="30"/>
      <c r="E52" s="30"/>
      <c r="F52" s="30"/>
      <c r="G52" s="30"/>
    </row>
    <row r="53" spans="1:7" ht="15" customHeight="1">
      <c r="A53" s="45" t="s">
        <v>530</v>
      </c>
      <c r="B53" s="45"/>
      <c r="D53" s="45"/>
      <c r="E53" s="45"/>
      <c r="F53" s="45"/>
      <c r="G53" s="45"/>
    </row>
    <row r="54" spans="1:7">
      <c r="A54" s="45"/>
    </row>
  </sheetData>
  <phoneticPr fontId="6" type="noConversion"/>
  <pageMargins left="0.5" right="0.5" top="0.6" bottom="0.2" header="0.3" footer="0.5"/>
  <pageSetup scale="90"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sheetPr codeName="Sheet47">
    <pageSetUpPr fitToPage="1"/>
  </sheetPr>
  <dimension ref="A1:F56"/>
  <sheetViews>
    <sheetView showGridLines="0" showZeros="0" workbookViewId="0"/>
  </sheetViews>
  <sheetFormatPr defaultColWidth="19.83203125" defaultRowHeight="12"/>
  <cols>
    <col min="1" max="1" width="29.1640625" style="1" customWidth="1"/>
    <col min="2" max="2" width="22.83203125" style="1" customWidth="1"/>
    <col min="3" max="3" width="17.6640625" style="1" customWidth="1"/>
    <col min="4" max="4" width="18.1640625" style="1" customWidth="1"/>
    <col min="5" max="5" width="20.6640625" style="1" customWidth="1"/>
    <col min="6" max="6" width="23.5" style="1" customWidth="1"/>
    <col min="7" max="7" width="14.83203125" style="1" customWidth="1"/>
    <col min="8" max="16384" width="19.83203125" style="1"/>
  </cols>
  <sheetData>
    <row r="1" spans="1:6" ht="6.95" customHeight="1">
      <c r="A1" s="6"/>
      <c r="B1" s="6"/>
      <c r="C1" s="6"/>
      <c r="D1" s="6"/>
      <c r="E1" s="6"/>
      <c r="F1" s="6"/>
    </row>
    <row r="2" spans="1:6" ht="15.95" customHeight="1">
      <c r="A2" s="298"/>
      <c r="B2" s="233" t="str">
        <f>REVYEAR</f>
        <v>ANALYSIS OF OPERATING FUND REVENUE: 2013/2014 ACTUAL</v>
      </c>
      <c r="C2" s="299"/>
      <c r="D2" s="303"/>
      <c r="E2" s="303"/>
      <c r="F2" s="244" t="s">
        <v>207</v>
      </c>
    </row>
    <row r="3" spans="1:6" ht="15.95" customHeight="1">
      <c r="A3" s="693"/>
      <c r="B3" s="234"/>
      <c r="C3" s="6"/>
      <c r="D3" s="6"/>
      <c r="E3" s="6"/>
      <c r="F3" s="6"/>
    </row>
    <row r="4" spans="1:6" ht="15.95" customHeight="1">
      <c r="B4" s="437" t="str">
        <f>'- 58 -'!B4</f>
        <v>EDUCATION</v>
      </c>
      <c r="C4" s="362"/>
      <c r="D4" s="352"/>
      <c r="E4" s="352"/>
      <c r="F4" s="352"/>
    </row>
    <row r="5" spans="1:6" ht="15.95" customHeight="1">
      <c r="B5" s="438" t="s">
        <v>227</v>
      </c>
      <c r="C5" s="433"/>
      <c r="D5" s="439"/>
      <c r="E5" s="439"/>
      <c r="F5" s="439"/>
    </row>
    <row r="6" spans="1:6" ht="15.95" customHeight="1">
      <c r="B6" s="301" t="s">
        <v>112</v>
      </c>
      <c r="C6" s="48"/>
      <c r="D6" s="48"/>
      <c r="E6" s="47"/>
      <c r="F6" s="189"/>
    </row>
    <row r="7" spans="1:6" ht="15.95" customHeight="1">
      <c r="B7" s="250"/>
      <c r="C7" s="250"/>
      <c r="D7" s="250" t="s">
        <v>435</v>
      </c>
      <c r="E7" s="250" t="s">
        <v>196</v>
      </c>
      <c r="F7" s="250" t="s">
        <v>210</v>
      </c>
    </row>
    <row r="8" spans="1:6" ht="15.95" customHeight="1">
      <c r="A8" s="75"/>
      <c r="B8" s="302" t="s">
        <v>658</v>
      </c>
      <c r="C8" s="252" t="s">
        <v>125</v>
      </c>
      <c r="D8" s="252" t="s">
        <v>424</v>
      </c>
      <c r="E8" s="252" t="s">
        <v>35</v>
      </c>
      <c r="F8" s="252" t="s">
        <v>211</v>
      </c>
    </row>
    <row r="9" spans="1:6" ht="15.95" customHeight="1">
      <c r="A9" s="42" t="s">
        <v>93</v>
      </c>
      <c r="B9" s="311"/>
      <c r="C9" s="94" t="s">
        <v>7</v>
      </c>
      <c r="D9" s="94" t="s">
        <v>97</v>
      </c>
      <c r="E9" s="94" t="s">
        <v>89</v>
      </c>
      <c r="F9" s="94" t="s">
        <v>219</v>
      </c>
    </row>
    <row r="10" spans="1:6" ht="5.0999999999999996" customHeight="1">
      <c r="A10" s="5"/>
      <c r="B10" s="6"/>
      <c r="C10" s="6"/>
      <c r="D10" s="6"/>
      <c r="E10" s="6"/>
    </row>
    <row r="11" spans="1:6" ht="14.1" customHeight="1">
      <c r="A11" s="410" t="s">
        <v>235</v>
      </c>
      <c r="B11" s="408">
        <v>659641</v>
      </c>
      <c r="C11" s="408">
        <v>625752</v>
      </c>
      <c r="D11" s="408">
        <v>153100</v>
      </c>
      <c r="E11" s="408">
        <v>56376</v>
      </c>
      <c r="F11" s="408">
        <v>37500</v>
      </c>
    </row>
    <row r="12" spans="1:6" ht="14.1" customHeight="1">
      <c r="A12" s="269" t="s">
        <v>236</v>
      </c>
      <c r="B12" s="171">
        <v>1258791</v>
      </c>
      <c r="C12" s="171">
        <v>1186571</v>
      </c>
      <c r="D12" s="171">
        <v>114150</v>
      </c>
      <c r="E12" s="171">
        <v>197890</v>
      </c>
      <c r="F12" s="171">
        <v>45000</v>
      </c>
    </row>
    <row r="13" spans="1:6" ht="14.1" customHeight="1">
      <c r="A13" s="410" t="s">
        <v>237</v>
      </c>
      <c r="B13" s="408">
        <v>1002404</v>
      </c>
      <c r="C13" s="408">
        <v>3040157</v>
      </c>
      <c r="D13" s="408">
        <v>796075</v>
      </c>
      <c r="E13" s="408">
        <v>567215</v>
      </c>
      <c r="F13" s="408">
        <v>342500</v>
      </c>
    </row>
    <row r="14" spans="1:6" ht="14.1" customHeight="1">
      <c r="A14" s="269" t="s">
        <v>636</v>
      </c>
      <c r="B14" s="171">
        <v>3101121</v>
      </c>
      <c r="C14" s="171">
        <v>1644991</v>
      </c>
      <c r="D14" s="171">
        <v>237525</v>
      </c>
      <c r="E14" s="171">
        <v>26235</v>
      </c>
      <c r="F14" s="171">
        <v>294500</v>
      </c>
    </row>
    <row r="15" spans="1:6" ht="14.1" customHeight="1">
      <c r="A15" s="410" t="s">
        <v>238</v>
      </c>
      <c r="B15" s="408">
        <v>898704</v>
      </c>
      <c r="C15" s="408">
        <v>1020581</v>
      </c>
      <c r="D15" s="408">
        <v>6800</v>
      </c>
      <c r="E15" s="408">
        <v>79145</v>
      </c>
      <c r="F15" s="408">
        <v>87500</v>
      </c>
    </row>
    <row r="16" spans="1:6" ht="14.1" customHeight="1">
      <c r="A16" s="269" t="s">
        <v>239</v>
      </c>
      <c r="B16" s="171">
        <v>101100</v>
      </c>
      <c r="C16" s="171">
        <v>455184</v>
      </c>
      <c r="D16" s="171">
        <v>750</v>
      </c>
      <c r="E16" s="171">
        <v>31295</v>
      </c>
      <c r="F16" s="171">
        <v>78500</v>
      </c>
    </row>
    <row r="17" spans="1:6" ht="14.1" customHeight="1">
      <c r="A17" s="410" t="s">
        <v>240</v>
      </c>
      <c r="B17" s="408">
        <v>902808</v>
      </c>
      <c r="C17" s="408">
        <v>692975</v>
      </c>
      <c r="D17" s="408">
        <v>15950</v>
      </c>
      <c r="E17" s="408">
        <v>68035</v>
      </c>
      <c r="F17" s="408">
        <v>15000</v>
      </c>
    </row>
    <row r="18" spans="1:6" ht="14.1" customHeight="1">
      <c r="A18" s="269" t="s">
        <v>241</v>
      </c>
      <c r="B18" s="171">
        <v>1377742</v>
      </c>
      <c r="C18" s="171">
        <v>1792203</v>
      </c>
      <c r="D18" s="171">
        <v>2250</v>
      </c>
      <c r="E18" s="171">
        <v>134585</v>
      </c>
      <c r="F18" s="171">
        <v>723200</v>
      </c>
    </row>
    <row r="19" spans="1:6" ht="14.1" customHeight="1">
      <c r="A19" s="410" t="s">
        <v>242</v>
      </c>
      <c r="B19" s="408">
        <v>1480588</v>
      </c>
      <c r="C19" s="408">
        <v>1791334</v>
      </c>
      <c r="D19" s="408">
        <v>609680</v>
      </c>
      <c r="E19" s="408">
        <v>322080</v>
      </c>
      <c r="F19" s="408">
        <v>15000</v>
      </c>
    </row>
    <row r="20" spans="1:6" ht="14.1" customHeight="1">
      <c r="A20" s="269" t="s">
        <v>243</v>
      </c>
      <c r="B20" s="171">
        <v>2610857</v>
      </c>
      <c r="C20" s="171">
        <v>3606974</v>
      </c>
      <c r="D20" s="171">
        <v>607050</v>
      </c>
      <c r="E20" s="171">
        <v>502755</v>
      </c>
      <c r="F20" s="171">
        <v>97500</v>
      </c>
    </row>
    <row r="21" spans="1:6" ht="14.1" customHeight="1">
      <c r="A21" s="410" t="s">
        <v>244</v>
      </c>
      <c r="B21" s="408">
        <v>1243639</v>
      </c>
      <c r="C21" s="408">
        <v>1328174</v>
      </c>
      <c r="D21" s="408">
        <v>43550</v>
      </c>
      <c r="E21" s="408">
        <v>100403</v>
      </c>
      <c r="F21" s="408">
        <v>90000</v>
      </c>
    </row>
    <row r="22" spans="1:6" ht="14.1" customHeight="1">
      <c r="A22" s="269" t="s">
        <v>245</v>
      </c>
      <c r="B22" s="171">
        <v>278638</v>
      </c>
      <c r="C22" s="171">
        <v>1069622</v>
      </c>
      <c r="D22" s="171">
        <v>6500</v>
      </c>
      <c r="E22" s="171">
        <v>45650</v>
      </c>
      <c r="F22" s="171">
        <v>142500</v>
      </c>
    </row>
    <row r="23" spans="1:6" ht="14.1" customHeight="1">
      <c r="A23" s="410" t="s">
        <v>246</v>
      </c>
      <c r="B23" s="408">
        <v>1024989</v>
      </c>
      <c r="C23" s="408">
        <v>838291</v>
      </c>
      <c r="D23" s="408">
        <v>16650</v>
      </c>
      <c r="E23" s="408">
        <v>57916</v>
      </c>
      <c r="F23" s="408">
        <v>97500</v>
      </c>
    </row>
    <row r="24" spans="1:6" ht="14.1" customHeight="1">
      <c r="A24" s="269" t="s">
        <v>247</v>
      </c>
      <c r="B24" s="171">
        <v>1743580</v>
      </c>
      <c r="C24" s="171">
        <v>2515973</v>
      </c>
      <c r="D24" s="171">
        <v>22400</v>
      </c>
      <c r="E24" s="171">
        <v>417835</v>
      </c>
      <c r="F24" s="171">
        <v>292000</v>
      </c>
    </row>
    <row r="25" spans="1:6" ht="14.1" customHeight="1">
      <c r="A25" s="410" t="s">
        <v>248</v>
      </c>
      <c r="B25" s="408">
        <v>1199896</v>
      </c>
      <c r="C25" s="408">
        <v>7712617</v>
      </c>
      <c r="D25" s="408">
        <v>817720</v>
      </c>
      <c r="E25" s="408">
        <v>683706</v>
      </c>
      <c r="F25" s="408">
        <v>597500</v>
      </c>
    </row>
    <row r="26" spans="1:6" ht="14.1" customHeight="1">
      <c r="A26" s="269" t="s">
        <v>249</v>
      </c>
      <c r="B26" s="171">
        <v>1564673</v>
      </c>
      <c r="C26" s="171">
        <v>1317118</v>
      </c>
      <c r="D26" s="171">
        <v>14650</v>
      </c>
      <c r="E26" s="171">
        <v>245933</v>
      </c>
      <c r="F26" s="171">
        <v>215000</v>
      </c>
    </row>
    <row r="27" spans="1:6" ht="14.1" customHeight="1">
      <c r="A27" s="410" t="s">
        <v>250</v>
      </c>
      <c r="B27" s="408">
        <v>44093</v>
      </c>
      <c r="C27" s="408">
        <v>1603084</v>
      </c>
      <c r="D27" s="408">
        <v>98500</v>
      </c>
      <c r="E27" s="408">
        <v>248381</v>
      </c>
      <c r="F27" s="408">
        <v>267000</v>
      </c>
    </row>
    <row r="28" spans="1:6" ht="14.1" customHeight="1">
      <c r="A28" s="269" t="s">
        <v>251</v>
      </c>
      <c r="B28" s="171">
        <v>1286448</v>
      </c>
      <c r="C28" s="171">
        <v>641626</v>
      </c>
      <c r="D28" s="171">
        <v>34250</v>
      </c>
      <c r="E28" s="171">
        <v>70070</v>
      </c>
      <c r="F28" s="171">
        <v>71000</v>
      </c>
    </row>
    <row r="29" spans="1:6" ht="14.1" customHeight="1">
      <c r="A29" s="410" t="s">
        <v>252</v>
      </c>
      <c r="B29" s="408">
        <v>850375</v>
      </c>
      <c r="C29" s="408">
        <v>6907069</v>
      </c>
      <c r="D29" s="408">
        <v>1072150</v>
      </c>
      <c r="E29" s="408">
        <v>337151</v>
      </c>
      <c r="F29" s="408">
        <v>270000</v>
      </c>
    </row>
    <row r="30" spans="1:6" ht="14.1" customHeight="1">
      <c r="A30" s="269" t="s">
        <v>253</v>
      </c>
      <c r="B30" s="171">
        <v>702044</v>
      </c>
      <c r="C30" s="171">
        <v>578141</v>
      </c>
      <c r="D30" s="171">
        <v>49000</v>
      </c>
      <c r="E30" s="171">
        <v>58245</v>
      </c>
      <c r="F30" s="171">
        <v>42500</v>
      </c>
    </row>
    <row r="31" spans="1:6" ht="14.1" customHeight="1">
      <c r="A31" s="410" t="s">
        <v>254</v>
      </c>
      <c r="B31" s="408">
        <v>813878</v>
      </c>
      <c r="C31" s="408">
        <v>1686661</v>
      </c>
      <c r="D31" s="408">
        <v>112925</v>
      </c>
      <c r="E31" s="408">
        <v>173800</v>
      </c>
      <c r="F31" s="408">
        <v>228500</v>
      </c>
    </row>
    <row r="32" spans="1:6" ht="14.1" customHeight="1">
      <c r="A32" s="269" t="s">
        <v>255</v>
      </c>
      <c r="B32" s="171">
        <v>1299135</v>
      </c>
      <c r="C32" s="171">
        <v>820442</v>
      </c>
      <c r="D32" s="171">
        <v>92250</v>
      </c>
      <c r="E32" s="171">
        <v>121358</v>
      </c>
      <c r="F32" s="171">
        <v>82500</v>
      </c>
    </row>
    <row r="33" spans="1:6" ht="14.1" customHeight="1">
      <c r="A33" s="410" t="s">
        <v>256</v>
      </c>
      <c r="B33" s="408">
        <v>1418260</v>
      </c>
      <c r="C33" s="408">
        <v>833114</v>
      </c>
      <c r="D33" s="408">
        <v>131075</v>
      </c>
      <c r="E33" s="408">
        <v>84756</v>
      </c>
      <c r="F33" s="408">
        <v>37500</v>
      </c>
    </row>
    <row r="34" spans="1:6" ht="14.1" customHeight="1">
      <c r="A34" s="269" t="s">
        <v>257</v>
      </c>
      <c r="B34" s="171">
        <v>1386893</v>
      </c>
      <c r="C34" s="171">
        <v>1150435</v>
      </c>
      <c r="D34" s="171">
        <v>82225</v>
      </c>
      <c r="E34" s="171">
        <v>79035</v>
      </c>
      <c r="F34" s="171">
        <v>90000</v>
      </c>
    </row>
    <row r="35" spans="1:6" ht="14.1" customHeight="1">
      <c r="A35" s="410" t="s">
        <v>258</v>
      </c>
      <c r="B35" s="408">
        <v>1684324</v>
      </c>
      <c r="C35" s="408">
        <v>8646337</v>
      </c>
      <c r="D35" s="408">
        <v>659250</v>
      </c>
      <c r="E35" s="408">
        <v>1014448</v>
      </c>
      <c r="F35" s="408">
        <v>682500</v>
      </c>
    </row>
    <row r="36" spans="1:6" ht="14.1" customHeight="1">
      <c r="A36" s="269" t="s">
        <v>259</v>
      </c>
      <c r="B36" s="171">
        <v>903906</v>
      </c>
      <c r="C36" s="171">
        <v>744077</v>
      </c>
      <c r="D36" s="171">
        <v>41250</v>
      </c>
      <c r="E36" s="171">
        <v>25246</v>
      </c>
      <c r="F36" s="171">
        <v>65000</v>
      </c>
    </row>
    <row r="37" spans="1:6" ht="14.1" customHeight="1">
      <c r="A37" s="410" t="s">
        <v>260</v>
      </c>
      <c r="B37" s="408">
        <v>1839884</v>
      </c>
      <c r="C37" s="408">
        <v>2400284</v>
      </c>
      <c r="D37" s="408">
        <v>166650</v>
      </c>
      <c r="E37" s="408">
        <v>136896</v>
      </c>
      <c r="F37" s="408">
        <v>232500</v>
      </c>
    </row>
    <row r="38" spans="1:6" ht="14.1" customHeight="1">
      <c r="A38" s="269" t="s">
        <v>261</v>
      </c>
      <c r="B38" s="171">
        <v>1122417</v>
      </c>
      <c r="C38" s="171">
        <v>6363100</v>
      </c>
      <c r="D38" s="171">
        <v>951700</v>
      </c>
      <c r="E38" s="171">
        <v>449708</v>
      </c>
      <c r="F38" s="171">
        <v>352900</v>
      </c>
    </row>
    <row r="39" spans="1:6" ht="14.1" customHeight="1">
      <c r="A39" s="410" t="s">
        <v>262</v>
      </c>
      <c r="B39" s="408">
        <v>1140591</v>
      </c>
      <c r="C39" s="408">
        <v>562924</v>
      </c>
      <c r="D39" s="408">
        <v>51350</v>
      </c>
      <c r="E39" s="408">
        <v>31955</v>
      </c>
      <c r="F39" s="408">
        <v>22500</v>
      </c>
    </row>
    <row r="40" spans="1:6" ht="14.1" customHeight="1">
      <c r="A40" s="269" t="s">
        <v>263</v>
      </c>
      <c r="B40" s="171">
        <v>619940</v>
      </c>
      <c r="C40" s="171">
        <v>4437331</v>
      </c>
      <c r="D40" s="171">
        <v>345225</v>
      </c>
      <c r="E40" s="171">
        <v>638385</v>
      </c>
      <c r="F40" s="171">
        <v>356200</v>
      </c>
    </row>
    <row r="41" spans="1:6" ht="14.1" customHeight="1">
      <c r="A41" s="410" t="s">
        <v>264</v>
      </c>
      <c r="B41" s="408">
        <v>2814089</v>
      </c>
      <c r="C41" s="408">
        <v>2691653</v>
      </c>
      <c r="D41" s="408">
        <v>80500</v>
      </c>
      <c r="E41" s="408">
        <v>167200</v>
      </c>
      <c r="F41" s="408">
        <v>199500</v>
      </c>
    </row>
    <row r="42" spans="1:6" ht="14.1" customHeight="1">
      <c r="A42" s="269" t="s">
        <v>265</v>
      </c>
      <c r="B42" s="171">
        <v>1061473</v>
      </c>
      <c r="C42" s="171">
        <v>996450</v>
      </c>
      <c r="D42" s="171">
        <v>3800</v>
      </c>
      <c r="E42" s="171">
        <v>230230</v>
      </c>
      <c r="F42" s="171">
        <v>140000</v>
      </c>
    </row>
    <row r="43" spans="1:6" ht="14.1" customHeight="1">
      <c r="A43" s="410" t="s">
        <v>266</v>
      </c>
      <c r="B43" s="408">
        <v>614550</v>
      </c>
      <c r="C43" s="408">
        <v>392178</v>
      </c>
      <c r="D43" s="408">
        <v>43650</v>
      </c>
      <c r="E43" s="408">
        <v>32340</v>
      </c>
      <c r="F43" s="408">
        <v>22500</v>
      </c>
    </row>
    <row r="44" spans="1:6" ht="14.1" customHeight="1">
      <c r="A44" s="269" t="s">
        <v>267</v>
      </c>
      <c r="B44" s="171">
        <v>814630</v>
      </c>
      <c r="C44" s="171">
        <v>581655</v>
      </c>
      <c r="D44" s="171">
        <v>12800</v>
      </c>
      <c r="E44" s="171">
        <v>27115</v>
      </c>
      <c r="F44" s="171">
        <v>90000</v>
      </c>
    </row>
    <row r="45" spans="1:6" ht="14.1" customHeight="1">
      <c r="A45" s="410" t="s">
        <v>268</v>
      </c>
      <c r="B45" s="408">
        <v>494757</v>
      </c>
      <c r="C45" s="408">
        <v>779959</v>
      </c>
      <c r="D45" s="408">
        <v>92925</v>
      </c>
      <c r="E45" s="408">
        <v>113740</v>
      </c>
      <c r="F45" s="408">
        <v>22500</v>
      </c>
    </row>
    <row r="46" spans="1:6" ht="14.1" customHeight="1">
      <c r="A46" s="269" t="s">
        <v>269</v>
      </c>
      <c r="B46" s="171">
        <v>1431222</v>
      </c>
      <c r="C46" s="171">
        <v>16619303</v>
      </c>
      <c r="D46" s="171">
        <v>3160620</v>
      </c>
      <c r="E46" s="171">
        <v>1708163</v>
      </c>
      <c r="F46" s="171">
        <v>2289400</v>
      </c>
    </row>
    <row r="47" spans="1:6" ht="5.0999999999999996" customHeight="1">
      <c r="A47" s="148"/>
      <c r="B47" s="172"/>
      <c r="C47" s="172"/>
      <c r="D47" s="172"/>
      <c r="E47" s="172"/>
      <c r="F47" s="172"/>
    </row>
    <row r="48" spans="1:6" ht="14.1" customHeight="1">
      <c r="A48" s="411" t="s">
        <v>270</v>
      </c>
      <c r="B48" s="412">
        <f>SUM(B11:B46)</f>
        <v>42792080</v>
      </c>
      <c r="C48" s="412">
        <f>SUM(C11:C46)</f>
        <v>90074340</v>
      </c>
      <c r="D48" s="412">
        <f>SUM(D11:D46)</f>
        <v>10746895</v>
      </c>
      <c r="E48" s="412">
        <f>SUM(E11:E46)</f>
        <v>9285276</v>
      </c>
      <c r="F48" s="412">
        <f>SUM(F11:F46)</f>
        <v>8735200</v>
      </c>
    </row>
    <row r="49" spans="1:6" ht="5.0999999999999996" customHeight="1">
      <c r="A49" s="148" t="s">
        <v>16</v>
      </c>
      <c r="B49" s="172"/>
      <c r="C49" s="172"/>
      <c r="D49" s="172"/>
      <c r="E49" s="172"/>
      <c r="F49" s="172"/>
    </row>
    <row r="50" spans="1:6" ht="14.1" customHeight="1">
      <c r="A50" s="269" t="s">
        <v>271</v>
      </c>
      <c r="B50" s="171">
        <v>1190</v>
      </c>
      <c r="C50" s="171">
        <v>130655</v>
      </c>
      <c r="D50" s="171">
        <v>0</v>
      </c>
      <c r="E50" s="171">
        <v>6380</v>
      </c>
      <c r="F50" s="171">
        <v>0</v>
      </c>
    </row>
    <row r="51" spans="1:6" ht="14.1" customHeight="1">
      <c r="A51" s="410" t="s">
        <v>272</v>
      </c>
      <c r="B51" s="408">
        <v>0</v>
      </c>
      <c r="C51" s="408">
        <v>0</v>
      </c>
      <c r="D51" s="408">
        <v>0</v>
      </c>
      <c r="E51" s="408">
        <v>0</v>
      </c>
      <c r="F51" s="408">
        <v>0</v>
      </c>
    </row>
    <row r="52" spans="1:6" ht="50.1" customHeight="1">
      <c r="A52" s="30"/>
      <c r="B52" s="30"/>
      <c r="C52" s="30"/>
      <c r="D52" s="30"/>
      <c r="E52" s="30"/>
      <c r="F52" s="30"/>
    </row>
    <row r="53" spans="1:6" ht="15" customHeight="1">
      <c r="A53" s="45" t="s">
        <v>632</v>
      </c>
      <c r="B53" s="275"/>
      <c r="C53" s="45"/>
      <c r="D53" s="45"/>
      <c r="E53" s="45"/>
      <c r="F53" s="45"/>
    </row>
    <row r="54" spans="1:6" ht="12" customHeight="1">
      <c r="A54" s="568" t="str">
        <f>"(2)  Includes support for coordinators, clinicians and level 2 and 3 pupils. Note: total special needs support is " &amp;TEXT(C48+'- 59 -'!B48,"$0,000,000")&amp; " (Student Services,"</f>
        <v>(2)  Includes support for coordinators, clinicians and level 2 and 3 pupils. Note: total special needs support is $152,222,407 (Student Services,</v>
      </c>
      <c r="B54" s="45"/>
      <c r="C54" s="45"/>
      <c r="D54" s="45"/>
      <c r="E54" s="45"/>
      <c r="F54" s="304"/>
    </row>
    <row r="55" spans="1:6" ht="12" customHeight="1">
      <c r="A55" s="1" t="s">
        <v>683</v>
      </c>
      <c r="B55" s="45"/>
      <c r="C55" s="45"/>
      <c r="D55" s="45"/>
      <c r="E55" s="45"/>
      <c r="F55" s="45"/>
    </row>
    <row r="56" spans="1:6" ht="14.1" customHeight="1">
      <c r="A56" s="45"/>
      <c r="B56" s="45"/>
      <c r="C56" s="305"/>
      <c r="D56" s="45"/>
      <c r="E56" s="45"/>
      <c r="F56" s="45"/>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sheetPr codeName="Sheet46">
    <pageSetUpPr fitToPage="1"/>
  </sheetPr>
  <dimension ref="A1:F53"/>
  <sheetViews>
    <sheetView showGridLines="0" showZeros="0" workbookViewId="0"/>
  </sheetViews>
  <sheetFormatPr defaultColWidth="19.83203125" defaultRowHeight="12"/>
  <cols>
    <col min="1" max="1" width="34.1640625" style="1" customWidth="1"/>
    <col min="2" max="2" width="18.83203125" style="1" customWidth="1"/>
    <col min="3" max="3" width="19.83203125" style="1" customWidth="1"/>
    <col min="4" max="5" width="19.1640625" style="1" customWidth="1"/>
    <col min="6" max="6" width="17.83203125" style="1" customWidth="1"/>
    <col min="7" max="16384" width="19.83203125" style="1"/>
  </cols>
  <sheetData>
    <row r="1" spans="1:6" ht="6.95" customHeight="1">
      <c r="A1" s="6"/>
      <c r="B1" s="6"/>
      <c r="C1" s="6"/>
      <c r="D1" s="6"/>
      <c r="E1" s="6"/>
      <c r="F1" s="6"/>
    </row>
    <row r="2" spans="1:6" ht="15.95" customHeight="1">
      <c r="A2" s="298"/>
      <c r="B2" s="233" t="str">
        <f>REVYEAR</f>
        <v>ANALYSIS OF OPERATING FUND REVENUE: 2013/2014 ACTUAL</v>
      </c>
      <c r="C2" s="299"/>
      <c r="D2" s="299"/>
      <c r="E2" s="299"/>
      <c r="F2" s="244" t="s">
        <v>208</v>
      </c>
    </row>
    <row r="3" spans="1:6" ht="15.95" customHeight="1">
      <c r="A3" s="693"/>
      <c r="B3" s="6"/>
      <c r="C3" s="6"/>
      <c r="D3" s="6"/>
      <c r="E3" s="6"/>
      <c r="F3" s="6"/>
    </row>
    <row r="4" spans="1:6" ht="15.95" customHeight="1">
      <c r="B4" s="437" t="str">
        <f>'- 58 -'!B4</f>
        <v>EDUCATION</v>
      </c>
      <c r="C4" s="358"/>
      <c r="D4" s="358"/>
      <c r="E4" s="362"/>
      <c r="F4" s="352"/>
    </row>
    <row r="5" spans="1:6" ht="15.95" customHeight="1">
      <c r="B5" s="438" t="s">
        <v>227</v>
      </c>
      <c r="C5" s="436"/>
      <c r="D5" s="436"/>
      <c r="E5" s="433"/>
      <c r="F5" s="439"/>
    </row>
    <row r="6" spans="1:6" ht="15.95" customHeight="1">
      <c r="B6" s="301" t="s">
        <v>112</v>
      </c>
      <c r="C6" s="47"/>
      <c r="D6" s="47"/>
      <c r="E6" s="189"/>
      <c r="F6" s="189"/>
    </row>
    <row r="7" spans="1:6" ht="15.95" customHeight="1">
      <c r="B7" s="250" t="s">
        <v>82</v>
      </c>
      <c r="C7" s="250" t="s">
        <v>203</v>
      </c>
      <c r="D7" s="250" t="s">
        <v>203</v>
      </c>
      <c r="E7" s="40"/>
      <c r="F7" s="250" t="s">
        <v>67</v>
      </c>
    </row>
    <row r="8" spans="1:6" ht="15.95" customHeight="1">
      <c r="A8" s="75"/>
      <c r="B8" s="302" t="s">
        <v>97</v>
      </c>
      <c r="C8" s="252" t="s">
        <v>434</v>
      </c>
      <c r="D8" s="252" t="s">
        <v>213</v>
      </c>
      <c r="E8" s="252" t="s">
        <v>57</v>
      </c>
      <c r="F8" s="252" t="s">
        <v>131</v>
      </c>
    </row>
    <row r="9" spans="1:6" ht="15.95" customHeight="1">
      <c r="A9" s="42" t="s">
        <v>93</v>
      </c>
      <c r="B9" s="53" t="s">
        <v>212</v>
      </c>
      <c r="C9" s="690" t="s">
        <v>725</v>
      </c>
      <c r="D9" s="94" t="s">
        <v>204</v>
      </c>
      <c r="E9" s="94" t="s">
        <v>8</v>
      </c>
      <c r="F9" s="94" t="s">
        <v>149</v>
      </c>
    </row>
    <row r="10" spans="1:6" ht="5.0999999999999996" customHeight="1">
      <c r="A10" s="5"/>
      <c r="B10" s="6"/>
      <c r="C10" s="6"/>
      <c r="D10" s="6"/>
      <c r="E10" s="6"/>
      <c r="F10" s="6"/>
    </row>
    <row r="11" spans="1:6" ht="14.1" customHeight="1">
      <c r="A11" s="410" t="s">
        <v>235</v>
      </c>
      <c r="B11" s="408">
        <v>3927</v>
      </c>
      <c r="C11" s="408">
        <v>21450</v>
      </c>
      <c r="D11" s="408">
        <v>62370</v>
      </c>
      <c r="E11" s="408">
        <v>110846</v>
      </c>
      <c r="F11" s="408">
        <f>SUM('- 60 -'!$B11:F11,B11:E11)</f>
        <v>1730962</v>
      </c>
    </row>
    <row r="12" spans="1:6" ht="14.1" customHeight="1">
      <c r="A12" s="269" t="s">
        <v>236</v>
      </c>
      <c r="B12" s="171">
        <v>26529</v>
      </c>
      <c r="C12" s="171">
        <v>28674</v>
      </c>
      <c r="D12" s="171">
        <v>70785</v>
      </c>
      <c r="E12" s="171">
        <v>290787</v>
      </c>
      <c r="F12" s="171">
        <f>SUM('- 60 -'!$B12:F12,B12:E12)</f>
        <v>3219177</v>
      </c>
    </row>
    <row r="13" spans="1:6" ht="14.1" customHeight="1">
      <c r="A13" s="410" t="s">
        <v>237</v>
      </c>
      <c r="B13" s="408">
        <v>181443</v>
      </c>
      <c r="C13" s="408">
        <v>146441</v>
      </c>
      <c r="D13" s="408">
        <v>391660</v>
      </c>
      <c r="E13" s="408">
        <v>522711</v>
      </c>
      <c r="F13" s="408">
        <f>SUM('- 60 -'!$B13:F13,B13:E13)</f>
        <v>6990606</v>
      </c>
    </row>
    <row r="14" spans="1:6" ht="14.1" customHeight="1">
      <c r="A14" s="269" t="s">
        <v>636</v>
      </c>
      <c r="B14" s="171">
        <v>1422903</v>
      </c>
      <c r="C14" s="171">
        <v>91731</v>
      </c>
      <c r="D14" s="171">
        <v>246015</v>
      </c>
      <c r="E14" s="171">
        <v>614479</v>
      </c>
      <c r="F14" s="171">
        <f>SUM('- 60 -'!$B14:F14,B14:E14)</f>
        <v>7679500</v>
      </c>
    </row>
    <row r="15" spans="1:6" ht="14.1" customHeight="1">
      <c r="A15" s="410" t="s">
        <v>238</v>
      </c>
      <c r="B15" s="408">
        <v>5751</v>
      </c>
      <c r="C15" s="408">
        <v>18190</v>
      </c>
      <c r="D15" s="408">
        <v>52965</v>
      </c>
      <c r="E15" s="408">
        <v>74865</v>
      </c>
      <c r="F15" s="408">
        <f>SUM('- 60 -'!$B15:F15,B15:E15)</f>
        <v>2244501</v>
      </c>
    </row>
    <row r="16" spans="1:6" ht="14.1" customHeight="1">
      <c r="A16" s="269" t="s">
        <v>239</v>
      </c>
      <c r="B16" s="171">
        <v>22969</v>
      </c>
      <c r="C16" s="171">
        <v>13940</v>
      </c>
      <c r="D16" s="171">
        <v>40590</v>
      </c>
      <c r="E16" s="171">
        <v>677831</v>
      </c>
      <c r="F16" s="171">
        <f>SUM('- 60 -'!$B16:F16,B16:E16)</f>
        <v>1422159</v>
      </c>
    </row>
    <row r="17" spans="1:6" ht="14.1" customHeight="1">
      <c r="A17" s="410" t="s">
        <v>240</v>
      </c>
      <c r="B17" s="408">
        <v>1895</v>
      </c>
      <c r="C17" s="408">
        <v>18269</v>
      </c>
      <c r="D17" s="408">
        <v>48510</v>
      </c>
      <c r="E17" s="408">
        <v>121931</v>
      </c>
      <c r="F17" s="408">
        <f>SUM('- 60 -'!$B17:F17,B17:E17)</f>
        <v>1885373</v>
      </c>
    </row>
    <row r="18" spans="1:6" ht="14.1" customHeight="1">
      <c r="A18" s="269" t="s">
        <v>241</v>
      </c>
      <c r="B18" s="171">
        <v>420</v>
      </c>
      <c r="C18" s="171">
        <v>42288</v>
      </c>
      <c r="D18" s="171">
        <v>171835</v>
      </c>
      <c r="E18" s="171">
        <v>2764708</v>
      </c>
      <c r="F18" s="171">
        <f>SUM('- 60 -'!$B18:F18,B18:E18)</f>
        <v>7009231</v>
      </c>
    </row>
    <row r="19" spans="1:6" ht="14.1" customHeight="1">
      <c r="A19" s="410" t="s">
        <v>242</v>
      </c>
      <c r="B19" s="408">
        <v>4007</v>
      </c>
      <c r="C19" s="408">
        <v>62005</v>
      </c>
      <c r="D19" s="408">
        <v>163350</v>
      </c>
      <c r="E19" s="408">
        <v>108260</v>
      </c>
      <c r="F19" s="408">
        <f>SUM('- 60 -'!$B19:F19,B19:E19)</f>
        <v>4556304</v>
      </c>
    </row>
    <row r="20" spans="1:6" ht="14.1" customHeight="1">
      <c r="A20" s="269" t="s">
        <v>243</v>
      </c>
      <c r="B20" s="171">
        <v>26514</v>
      </c>
      <c r="C20" s="171">
        <v>115441</v>
      </c>
      <c r="D20" s="171">
        <v>310860</v>
      </c>
      <c r="E20" s="171">
        <v>148383</v>
      </c>
      <c r="F20" s="171">
        <f>SUM('- 60 -'!$B20:F20,B20:E20)</f>
        <v>8026334</v>
      </c>
    </row>
    <row r="21" spans="1:6" ht="14.1" customHeight="1">
      <c r="A21" s="410" t="s">
        <v>244</v>
      </c>
      <c r="B21" s="408">
        <v>47015</v>
      </c>
      <c r="C21" s="408">
        <v>34405</v>
      </c>
      <c r="D21" s="408">
        <v>98010</v>
      </c>
      <c r="E21" s="408">
        <v>394090</v>
      </c>
      <c r="F21" s="408">
        <f>SUM('- 60 -'!$B21:F21,B21:E21)</f>
        <v>3379286</v>
      </c>
    </row>
    <row r="22" spans="1:6" ht="14.1" customHeight="1">
      <c r="A22" s="269" t="s">
        <v>245</v>
      </c>
      <c r="B22" s="171">
        <v>41190</v>
      </c>
      <c r="C22" s="171">
        <v>31306</v>
      </c>
      <c r="D22" s="171">
        <v>78210</v>
      </c>
      <c r="E22" s="171">
        <v>1109640</v>
      </c>
      <c r="F22" s="171">
        <f>SUM('- 60 -'!$B22:F22,B22:E22)</f>
        <v>2803256</v>
      </c>
    </row>
    <row r="23" spans="1:6" ht="14.1" customHeight="1">
      <c r="A23" s="410" t="s">
        <v>246</v>
      </c>
      <c r="B23" s="408">
        <v>2261</v>
      </c>
      <c r="C23" s="408">
        <v>16385</v>
      </c>
      <c r="D23" s="408">
        <v>40095</v>
      </c>
      <c r="E23" s="408">
        <v>116167</v>
      </c>
      <c r="F23" s="408">
        <f>SUM('- 60 -'!$B23:F23,B23:E23)</f>
        <v>2210254</v>
      </c>
    </row>
    <row r="24" spans="1:6" ht="14.1" customHeight="1">
      <c r="A24" s="269" t="s">
        <v>247</v>
      </c>
      <c r="B24" s="171">
        <v>117765</v>
      </c>
      <c r="C24" s="171">
        <v>53611</v>
      </c>
      <c r="D24" s="171">
        <v>203560</v>
      </c>
      <c r="E24" s="171">
        <v>336430</v>
      </c>
      <c r="F24" s="171">
        <f>SUM('- 60 -'!$B24:F24,B24:E24)</f>
        <v>5703154</v>
      </c>
    </row>
    <row r="25" spans="1:6" ht="14.1" customHeight="1">
      <c r="A25" s="410" t="s">
        <v>248</v>
      </c>
      <c r="B25" s="408">
        <v>1134295</v>
      </c>
      <c r="C25" s="408">
        <v>190136</v>
      </c>
      <c r="D25" s="408">
        <v>489060</v>
      </c>
      <c r="E25" s="408">
        <v>305363</v>
      </c>
      <c r="F25" s="408">
        <f>SUM('- 60 -'!$B25:F25,B25:E25)</f>
        <v>13130293</v>
      </c>
    </row>
    <row r="26" spans="1:6" ht="14.1" customHeight="1">
      <c r="A26" s="269" t="s">
        <v>249</v>
      </c>
      <c r="B26" s="171">
        <v>69819</v>
      </c>
      <c r="C26" s="171">
        <v>39804</v>
      </c>
      <c r="D26" s="171">
        <v>171900</v>
      </c>
      <c r="E26" s="171">
        <v>196838</v>
      </c>
      <c r="F26" s="171">
        <f>SUM('- 60 -'!$B26:F26,B26:E26)</f>
        <v>3835735</v>
      </c>
    </row>
    <row r="27" spans="1:6" ht="14.1" customHeight="1">
      <c r="A27" s="410" t="s">
        <v>250</v>
      </c>
      <c r="B27" s="408">
        <v>70563</v>
      </c>
      <c r="C27" s="408">
        <v>49732</v>
      </c>
      <c r="D27" s="408">
        <v>126296</v>
      </c>
      <c r="E27" s="408">
        <v>2021806</v>
      </c>
      <c r="F27" s="408">
        <f>SUM('- 60 -'!$B27:F27,B27:E27)</f>
        <v>4529455</v>
      </c>
    </row>
    <row r="28" spans="1:6" ht="14.1" customHeight="1">
      <c r="A28" s="269" t="s">
        <v>251</v>
      </c>
      <c r="B28" s="171">
        <v>6284</v>
      </c>
      <c r="C28" s="171">
        <v>19890</v>
      </c>
      <c r="D28" s="171">
        <v>57915</v>
      </c>
      <c r="E28" s="171">
        <v>249342</v>
      </c>
      <c r="F28" s="171">
        <f>SUM('- 60 -'!$B28:F28,B28:E28)</f>
        <v>2436825</v>
      </c>
    </row>
    <row r="29" spans="1:6" ht="14.1" customHeight="1">
      <c r="A29" s="410" t="s">
        <v>252</v>
      </c>
      <c r="B29" s="408">
        <v>633768</v>
      </c>
      <c r="C29" s="408">
        <v>153348</v>
      </c>
      <c r="D29" s="408">
        <v>422730</v>
      </c>
      <c r="E29" s="408">
        <v>186270</v>
      </c>
      <c r="F29" s="408">
        <f>SUM('- 60 -'!$B29:F29,B29:E29)</f>
        <v>10832861</v>
      </c>
    </row>
    <row r="30" spans="1:6" ht="14.1" customHeight="1">
      <c r="A30" s="269" t="s">
        <v>253</v>
      </c>
      <c r="B30" s="171">
        <v>2561</v>
      </c>
      <c r="C30" s="171">
        <v>13108</v>
      </c>
      <c r="D30" s="171">
        <v>37620</v>
      </c>
      <c r="E30" s="171">
        <v>188993</v>
      </c>
      <c r="F30" s="171">
        <f>SUM('- 60 -'!$B30:F30,B30:E30)</f>
        <v>1672212</v>
      </c>
    </row>
    <row r="31" spans="1:6" ht="14.1" customHeight="1">
      <c r="A31" s="410" t="s">
        <v>254</v>
      </c>
      <c r="B31" s="408">
        <v>72543</v>
      </c>
      <c r="C31" s="408">
        <v>48718</v>
      </c>
      <c r="D31" s="408">
        <v>113355</v>
      </c>
      <c r="E31" s="408">
        <v>201287</v>
      </c>
      <c r="F31" s="408">
        <f>SUM('- 60 -'!$B31:F31,B31:E31)</f>
        <v>3451667</v>
      </c>
    </row>
    <row r="32" spans="1:6" ht="14.1" customHeight="1">
      <c r="A32" s="269" t="s">
        <v>255</v>
      </c>
      <c r="B32" s="171">
        <v>40081</v>
      </c>
      <c r="C32" s="171">
        <v>30794</v>
      </c>
      <c r="D32" s="171">
        <v>88605</v>
      </c>
      <c r="E32" s="171">
        <v>264550</v>
      </c>
      <c r="F32" s="171">
        <f>SUM('- 60 -'!$B32:F32,B32:E32)</f>
        <v>2839715</v>
      </c>
    </row>
    <row r="33" spans="1:6" ht="14.1" customHeight="1">
      <c r="A33" s="410" t="s">
        <v>256</v>
      </c>
      <c r="B33" s="408">
        <v>27578</v>
      </c>
      <c r="C33" s="408">
        <v>25238</v>
      </c>
      <c r="D33" s="408">
        <v>70785</v>
      </c>
      <c r="E33" s="408">
        <v>404623</v>
      </c>
      <c r="F33" s="408">
        <f>SUM('- 60 -'!$B33:F33,B33:E33)</f>
        <v>3032929</v>
      </c>
    </row>
    <row r="34" spans="1:6" ht="14.1" customHeight="1">
      <c r="A34" s="269" t="s">
        <v>257</v>
      </c>
      <c r="B34" s="171">
        <v>78960</v>
      </c>
      <c r="C34" s="171">
        <v>29918</v>
      </c>
      <c r="D34" s="171">
        <v>78210</v>
      </c>
      <c r="E34" s="171">
        <v>163404</v>
      </c>
      <c r="F34" s="171">
        <f>SUM('- 60 -'!$B34:F34,B34:E34)</f>
        <v>3139080</v>
      </c>
    </row>
    <row r="35" spans="1:6" ht="14.1" customHeight="1">
      <c r="A35" s="410" t="s">
        <v>258</v>
      </c>
      <c r="B35" s="408">
        <v>709415</v>
      </c>
      <c r="C35" s="408">
        <v>206548</v>
      </c>
      <c r="D35" s="408">
        <v>680315</v>
      </c>
      <c r="E35" s="408">
        <v>290454</v>
      </c>
      <c r="F35" s="408">
        <f>SUM('- 60 -'!$B35:F35,B35:E35)</f>
        <v>14573591</v>
      </c>
    </row>
    <row r="36" spans="1:6" ht="14.1" customHeight="1">
      <c r="A36" s="269" t="s">
        <v>259</v>
      </c>
      <c r="B36" s="171">
        <v>4195</v>
      </c>
      <c r="C36" s="171">
        <v>27981</v>
      </c>
      <c r="D36" s="171">
        <v>76230</v>
      </c>
      <c r="E36" s="171">
        <v>166052</v>
      </c>
      <c r="F36" s="171">
        <f>SUM('- 60 -'!$B36:F36,B36:E36)</f>
        <v>2053937</v>
      </c>
    </row>
    <row r="37" spans="1:6" ht="14.1" customHeight="1">
      <c r="A37" s="410" t="s">
        <v>260</v>
      </c>
      <c r="B37" s="408">
        <v>309320</v>
      </c>
      <c r="C37" s="408">
        <v>52473</v>
      </c>
      <c r="D37" s="408">
        <v>140085</v>
      </c>
      <c r="E37" s="408">
        <v>607609</v>
      </c>
      <c r="F37" s="408">
        <f>SUM('- 60 -'!$B37:F37,B37:E37)</f>
        <v>5885701</v>
      </c>
    </row>
    <row r="38" spans="1:6" ht="14.1" customHeight="1">
      <c r="A38" s="269" t="s">
        <v>261</v>
      </c>
      <c r="B38" s="171">
        <v>369710</v>
      </c>
      <c r="C38" s="171">
        <v>136647</v>
      </c>
      <c r="D38" s="171">
        <v>356895</v>
      </c>
      <c r="E38" s="171">
        <v>397943</v>
      </c>
      <c r="F38" s="171">
        <f>SUM('- 60 -'!$B38:F38,B38:E38)</f>
        <v>10501020</v>
      </c>
    </row>
    <row r="39" spans="1:6" ht="14.1" customHeight="1">
      <c r="A39" s="410" t="s">
        <v>262</v>
      </c>
      <c r="B39" s="408">
        <v>1030</v>
      </c>
      <c r="C39" s="408">
        <v>24990</v>
      </c>
      <c r="D39" s="408">
        <v>72765</v>
      </c>
      <c r="E39" s="408">
        <v>190180</v>
      </c>
      <c r="F39" s="408">
        <f>SUM('- 60 -'!$B39:F39,B39:E39)</f>
        <v>2098285</v>
      </c>
    </row>
    <row r="40" spans="1:6" ht="14.1" customHeight="1">
      <c r="A40" s="269" t="s">
        <v>263</v>
      </c>
      <c r="B40" s="171">
        <v>334310</v>
      </c>
      <c r="C40" s="171">
        <v>103138</v>
      </c>
      <c r="D40" s="171">
        <v>402620</v>
      </c>
      <c r="E40" s="171">
        <v>534920</v>
      </c>
      <c r="F40" s="171">
        <f>SUM('- 60 -'!$B40:F40,B40:E40)</f>
        <v>7772069</v>
      </c>
    </row>
    <row r="41" spans="1:6" ht="14.1" customHeight="1">
      <c r="A41" s="410" t="s">
        <v>264</v>
      </c>
      <c r="B41" s="408">
        <v>162708</v>
      </c>
      <c r="C41" s="408">
        <v>57147</v>
      </c>
      <c r="D41" s="408">
        <v>161370</v>
      </c>
      <c r="E41" s="408">
        <v>461379</v>
      </c>
      <c r="F41" s="408">
        <f>SUM('- 60 -'!$B41:F41,B41:E41)</f>
        <v>6795546</v>
      </c>
    </row>
    <row r="42" spans="1:6" ht="14.1" customHeight="1">
      <c r="A42" s="269" t="s">
        <v>265</v>
      </c>
      <c r="B42" s="171">
        <v>26465</v>
      </c>
      <c r="C42" s="171">
        <v>20272</v>
      </c>
      <c r="D42" s="171">
        <v>54450</v>
      </c>
      <c r="E42" s="171">
        <v>194541</v>
      </c>
      <c r="F42" s="171">
        <f>SUM('- 60 -'!$B42:F42,B42:E42)</f>
        <v>2727681</v>
      </c>
    </row>
    <row r="43" spans="1:6" ht="14.1" customHeight="1">
      <c r="A43" s="410" t="s">
        <v>266</v>
      </c>
      <c r="B43" s="408">
        <v>435</v>
      </c>
      <c r="C43" s="408">
        <v>15447</v>
      </c>
      <c r="D43" s="408">
        <v>44550</v>
      </c>
      <c r="E43" s="408">
        <v>93684</v>
      </c>
      <c r="F43" s="408">
        <f>SUM('- 60 -'!$B43:F43,B43:E43)</f>
        <v>1259334</v>
      </c>
    </row>
    <row r="44" spans="1:6" ht="14.1" customHeight="1">
      <c r="A44" s="269" t="s">
        <v>267</v>
      </c>
      <c r="B44" s="171">
        <v>13020</v>
      </c>
      <c r="C44" s="171">
        <v>9578</v>
      </c>
      <c r="D44" s="171">
        <v>25245</v>
      </c>
      <c r="E44" s="171">
        <v>108415</v>
      </c>
      <c r="F44" s="171">
        <f>SUM('- 60 -'!$B44:F44,B44:E44)</f>
        <v>1682458</v>
      </c>
    </row>
    <row r="45" spans="1:6" ht="14.1" customHeight="1">
      <c r="A45" s="410" t="s">
        <v>268</v>
      </c>
      <c r="B45" s="408">
        <v>49030</v>
      </c>
      <c r="C45" s="408">
        <v>22410</v>
      </c>
      <c r="D45" s="408">
        <v>58410</v>
      </c>
      <c r="E45" s="408">
        <v>107679</v>
      </c>
      <c r="F45" s="408">
        <f>SUM('- 60 -'!$B45:F45,B45:E45)</f>
        <v>1741410</v>
      </c>
    </row>
    <row r="46" spans="1:6" ht="14.1" customHeight="1">
      <c r="A46" s="269" t="s">
        <v>269</v>
      </c>
      <c r="B46" s="171">
        <v>879171</v>
      </c>
      <c r="C46" s="171">
        <v>498857</v>
      </c>
      <c r="D46" s="171">
        <v>1849738</v>
      </c>
      <c r="E46" s="171">
        <v>835739</v>
      </c>
      <c r="F46" s="171">
        <f>SUM('- 60 -'!$B46:F46,B46:E46)</f>
        <v>29272213</v>
      </c>
    </row>
    <row r="47" spans="1:6" ht="5.0999999999999996" customHeight="1">
      <c r="A47" s="148"/>
      <c r="B47" s="172"/>
      <c r="C47" s="172"/>
      <c r="D47" s="172"/>
      <c r="E47" s="172"/>
      <c r="F47" s="172"/>
    </row>
    <row r="48" spans="1:6" ht="14.1" customHeight="1">
      <c r="A48" s="411" t="s">
        <v>270</v>
      </c>
      <c r="B48" s="412">
        <f>SUM(B11:B46)</f>
        <v>6899850</v>
      </c>
      <c r="C48" s="412">
        <f>SUM(C11:C46)</f>
        <v>2470310</v>
      </c>
      <c r="D48" s="412">
        <f>SUM(D11:D46)</f>
        <v>7557964</v>
      </c>
      <c r="E48" s="412">
        <f>SUM(E11:E46)</f>
        <v>15562199</v>
      </c>
      <c r="F48" s="412">
        <f>SUM(F11:F46)</f>
        <v>194124114</v>
      </c>
    </row>
    <row r="49" spans="1:6" ht="5.0999999999999996" customHeight="1">
      <c r="A49" s="148" t="s">
        <v>16</v>
      </c>
      <c r="B49" s="172"/>
      <c r="C49" s="172"/>
      <c r="D49" s="172"/>
      <c r="E49" s="172"/>
      <c r="F49" s="172"/>
    </row>
    <row r="50" spans="1:6" ht="14.1" customHeight="1">
      <c r="A50" s="269" t="s">
        <v>271</v>
      </c>
      <c r="B50" s="171">
        <v>1023</v>
      </c>
      <c r="C50" s="171">
        <v>6322</v>
      </c>
      <c r="D50" s="171">
        <v>5940</v>
      </c>
      <c r="E50" s="171">
        <v>53717</v>
      </c>
      <c r="F50" s="171">
        <f>SUM('- 60 -'!$B50:F50,B50:E50)</f>
        <v>205227</v>
      </c>
    </row>
    <row r="51" spans="1:6" ht="14.1" customHeight="1">
      <c r="A51" s="410" t="s">
        <v>272</v>
      </c>
      <c r="B51" s="408">
        <v>0</v>
      </c>
      <c r="C51" s="408">
        <v>0</v>
      </c>
      <c r="D51" s="408">
        <v>0</v>
      </c>
      <c r="E51" s="408">
        <v>0</v>
      </c>
      <c r="F51" s="408">
        <f>SUM('- 60 -'!$B51:F51,B51:E51)</f>
        <v>0</v>
      </c>
    </row>
    <row r="52" spans="1:6" ht="50.1" customHeight="1">
      <c r="A52" s="30"/>
      <c r="B52" s="30"/>
      <c r="C52" s="30"/>
      <c r="D52" s="30"/>
      <c r="E52" s="30"/>
      <c r="F52" s="30"/>
    </row>
    <row r="53" spans="1:6" ht="15" customHeight="1">
      <c r="A53" s="151" t="s">
        <v>726</v>
      </c>
      <c r="E53" s="45"/>
      <c r="F53" s="45"/>
    </row>
  </sheetData>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sheetPr codeName="Sheet48">
    <pageSetUpPr fitToPage="1"/>
  </sheetPr>
  <dimension ref="A1:F59"/>
  <sheetViews>
    <sheetView showGridLines="0" showZeros="0" workbookViewId="0"/>
  </sheetViews>
  <sheetFormatPr defaultColWidth="23.83203125" defaultRowHeight="12"/>
  <cols>
    <col min="1" max="1" width="30.1640625" style="1" customWidth="1"/>
    <col min="2" max="2" width="18" style="1" customWidth="1"/>
    <col min="3" max="3" width="18.6640625" style="1" customWidth="1"/>
    <col min="4" max="4" width="18.33203125" style="1" customWidth="1"/>
    <col min="5" max="5" width="18" style="1" customWidth="1"/>
    <col min="6" max="6" width="21.6640625" style="1" customWidth="1"/>
    <col min="7" max="16384" width="23.83203125" style="1"/>
  </cols>
  <sheetData>
    <row r="1" spans="1:6" ht="6.95" customHeight="1">
      <c r="A1" s="6"/>
      <c r="B1" s="6"/>
      <c r="C1" s="6"/>
      <c r="D1" s="6"/>
      <c r="E1" s="6"/>
      <c r="F1" s="6"/>
    </row>
    <row r="2" spans="1:6" ht="15.95" customHeight="1">
      <c r="A2" s="298"/>
      <c r="B2" s="233" t="str">
        <f>REVYEAR</f>
        <v>ANALYSIS OF OPERATING FUND REVENUE: 2013/2014 ACTUAL</v>
      </c>
      <c r="C2" s="233"/>
      <c r="D2" s="233"/>
      <c r="E2" s="299"/>
      <c r="F2" s="244" t="s">
        <v>209</v>
      </c>
    </row>
    <row r="3" spans="1:6" ht="15.95" customHeight="1">
      <c r="A3" s="693"/>
      <c r="B3" s="300"/>
      <c r="C3" s="300"/>
      <c r="D3" s="300"/>
      <c r="E3" s="300"/>
      <c r="F3" s="300"/>
    </row>
    <row r="4" spans="1:6" ht="15.95" customHeight="1"/>
    <row r="5" spans="1:6" ht="15.95" customHeight="1">
      <c r="B5" s="437" t="str">
        <f>'- 58 -'!B4</f>
        <v>EDUCATION</v>
      </c>
      <c r="C5" s="440"/>
      <c r="D5" s="440"/>
      <c r="E5" s="362"/>
      <c r="F5" s="352"/>
    </row>
    <row r="6" spans="1:6" ht="15.95" customHeight="1">
      <c r="B6" s="438" t="s">
        <v>227</v>
      </c>
      <c r="C6" s="441"/>
      <c r="D6" s="441"/>
      <c r="E6" s="433"/>
      <c r="F6" s="439"/>
    </row>
    <row r="7" spans="1:6" ht="15.95" customHeight="1">
      <c r="B7" s="250"/>
      <c r="C7" s="250" t="s">
        <v>424</v>
      </c>
      <c r="D7" s="250"/>
      <c r="E7" s="250" t="s">
        <v>57</v>
      </c>
      <c r="F7" s="249" t="s">
        <v>229</v>
      </c>
    </row>
    <row r="8" spans="1:6" ht="15.95" customHeight="1">
      <c r="A8" s="40"/>
      <c r="B8" s="252" t="s">
        <v>234</v>
      </c>
      <c r="C8" s="252" t="s">
        <v>234</v>
      </c>
      <c r="D8" s="252" t="s">
        <v>531</v>
      </c>
      <c r="E8" s="252" t="s">
        <v>132</v>
      </c>
      <c r="F8" s="251" t="s">
        <v>230</v>
      </c>
    </row>
    <row r="9" spans="1:6" ht="15.95" customHeight="1">
      <c r="A9" s="93" t="s">
        <v>93</v>
      </c>
      <c r="B9" s="94" t="s">
        <v>425</v>
      </c>
      <c r="C9" s="94" t="s">
        <v>426</v>
      </c>
      <c r="D9" s="94" t="s">
        <v>701</v>
      </c>
      <c r="E9" s="94" t="s">
        <v>702</v>
      </c>
      <c r="F9" s="88" t="s">
        <v>703</v>
      </c>
    </row>
    <row r="10" spans="1:6" ht="5.0999999999999996" customHeight="1">
      <c r="A10" s="5"/>
      <c r="B10" s="6"/>
      <c r="C10" s="6"/>
      <c r="D10" s="6"/>
      <c r="E10" s="6"/>
      <c r="F10" s="6"/>
    </row>
    <row r="11" spans="1:6" ht="14.1" customHeight="1">
      <c r="A11" s="410" t="s">
        <v>235</v>
      </c>
      <c r="B11" s="408">
        <v>1588572</v>
      </c>
      <c r="C11" s="408">
        <v>0</v>
      </c>
      <c r="D11" s="408">
        <v>0</v>
      </c>
      <c r="E11" s="408">
        <v>90140</v>
      </c>
      <c r="F11" s="408">
        <v>8444584</v>
      </c>
    </row>
    <row r="12" spans="1:6" ht="14.1" customHeight="1">
      <c r="A12" s="269" t="s">
        <v>236</v>
      </c>
      <c r="B12" s="171">
        <v>4506896</v>
      </c>
      <c r="C12" s="171">
        <v>1575</v>
      </c>
      <c r="D12" s="171">
        <v>0</v>
      </c>
      <c r="E12" s="171">
        <v>189536</v>
      </c>
      <c r="F12" s="171">
        <v>15139169</v>
      </c>
    </row>
    <row r="13" spans="1:6" ht="14.1" customHeight="1">
      <c r="A13" s="410" t="s">
        <v>237</v>
      </c>
      <c r="B13" s="408">
        <v>11482622</v>
      </c>
      <c r="C13" s="408">
        <v>0</v>
      </c>
      <c r="D13" s="408">
        <v>0</v>
      </c>
      <c r="E13" s="408">
        <v>299365</v>
      </c>
      <c r="F13" s="408">
        <v>42312332</v>
      </c>
    </row>
    <row r="14" spans="1:6" ht="14.1" customHeight="1">
      <c r="A14" s="269" t="s">
        <v>636</v>
      </c>
      <c r="B14" s="171">
        <v>7989434</v>
      </c>
      <c r="C14" s="171">
        <v>0</v>
      </c>
      <c r="D14" s="171">
        <v>0</v>
      </c>
      <c r="E14" s="171">
        <v>228020</v>
      </c>
      <c r="F14" s="171">
        <v>31888912</v>
      </c>
    </row>
    <row r="15" spans="1:6" ht="14.1" customHeight="1">
      <c r="A15" s="410" t="s">
        <v>238</v>
      </c>
      <c r="B15" s="408">
        <v>0</v>
      </c>
      <c r="C15" s="408">
        <v>0</v>
      </c>
      <c r="D15" s="408">
        <v>884189</v>
      </c>
      <c r="E15" s="408">
        <v>84080</v>
      </c>
      <c r="F15" s="408">
        <v>8262619</v>
      </c>
    </row>
    <row r="16" spans="1:6" ht="14.1" customHeight="1">
      <c r="A16" s="269" t="s">
        <v>239</v>
      </c>
      <c r="B16" s="171">
        <v>2939727</v>
      </c>
      <c r="C16" s="171">
        <v>208582</v>
      </c>
      <c r="D16" s="171">
        <v>21200</v>
      </c>
      <c r="E16" s="171">
        <v>54600</v>
      </c>
      <c r="F16" s="171">
        <v>7750850</v>
      </c>
    </row>
    <row r="17" spans="1:6" ht="14.1" customHeight="1">
      <c r="A17" s="410" t="s">
        <v>240</v>
      </c>
      <c r="B17" s="408">
        <v>0</v>
      </c>
      <c r="C17" s="408">
        <v>0</v>
      </c>
      <c r="D17" s="408">
        <v>1015345</v>
      </c>
      <c r="E17" s="408">
        <v>116945</v>
      </c>
      <c r="F17" s="408">
        <v>7449291</v>
      </c>
    </row>
    <row r="18" spans="1:6" ht="14.1" customHeight="1">
      <c r="A18" s="269" t="s">
        <v>241</v>
      </c>
      <c r="B18" s="171">
        <v>12808221</v>
      </c>
      <c r="C18" s="171">
        <v>4758592</v>
      </c>
      <c r="D18" s="171">
        <v>0</v>
      </c>
      <c r="E18" s="171">
        <v>376656</v>
      </c>
      <c r="F18" s="171">
        <v>36879809</v>
      </c>
    </row>
    <row r="19" spans="1:6" ht="14.1" customHeight="1">
      <c r="A19" s="410" t="s">
        <v>242</v>
      </c>
      <c r="B19" s="408">
        <v>7714542</v>
      </c>
      <c r="C19" s="408">
        <v>0</v>
      </c>
      <c r="D19" s="408">
        <v>0</v>
      </c>
      <c r="E19" s="408">
        <v>107940</v>
      </c>
      <c r="F19" s="408">
        <v>24887978</v>
      </c>
    </row>
    <row r="20" spans="1:6" ht="14.1" customHeight="1">
      <c r="A20" s="269" t="s">
        <v>243</v>
      </c>
      <c r="B20" s="171">
        <v>13257840</v>
      </c>
      <c r="C20" s="171">
        <v>0</v>
      </c>
      <c r="D20" s="171">
        <v>0</v>
      </c>
      <c r="E20" s="171">
        <v>245300</v>
      </c>
      <c r="F20" s="171">
        <v>43623503</v>
      </c>
    </row>
    <row r="21" spans="1:6" ht="14.1" customHeight="1">
      <c r="A21" s="410" t="s">
        <v>244</v>
      </c>
      <c r="B21" s="408">
        <v>3608968</v>
      </c>
      <c r="C21" s="408">
        <v>0</v>
      </c>
      <c r="D21" s="408">
        <v>721446</v>
      </c>
      <c r="E21" s="408">
        <v>159060</v>
      </c>
      <c r="F21" s="408">
        <v>17135575</v>
      </c>
    </row>
    <row r="22" spans="1:6" ht="14.1" customHeight="1">
      <c r="A22" s="269" t="s">
        <v>245</v>
      </c>
      <c r="B22" s="171">
        <v>4133936</v>
      </c>
      <c r="C22" s="171">
        <v>970692</v>
      </c>
      <c r="D22" s="171">
        <v>0</v>
      </c>
      <c r="E22" s="171">
        <v>94725</v>
      </c>
      <c r="F22" s="171">
        <v>13200581</v>
      </c>
    </row>
    <row r="23" spans="1:6" ht="14.1" customHeight="1">
      <c r="A23" s="410" t="s">
        <v>246</v>
      </c>
      <c r="B23" s="408">
        <v>2841343</v>
      </c>
      <c r="C23" s="408">
        <v>419953</v>
      </c>
      <c r="D23" s="408">
        <v>0</v>
      </c>
      <c r="E23" s="408">
        <v>134189</v>
      </c>
      <c r="F23" s="408">
        <v>9648894</v>
      </c>
    </row>
    <row r="24" spans="1:6" ht="14.1" customHeight="1">
      <c r="A24" s="269" t="s">
        <v>247</v>
      </c>
      <c r="B24" s="171">
        <v>3595590</v>
      </c>
      <c r="C24" s="171">
        <v>0</v>
      </c>
      <c r="D24" s="171">
        <v>1209004</v>
      </c>
      <c r="E24" s="171">
        <v>257480</v>
      </c>
      <c r="F24" s="171">
        <v>24028531</v>
      </c>
    </row>
    <row r="25" spans="1:6" ht="14.1" customHeight="1">
      <c r="A25" s="410" t="s">
        <v>248</v>
      </c>
      <c r="B25" s="408">
        <v>9584015</v>
      </c>
      <c r="C25" s="408">
        <v>0</v>
      </c>
      <c r="D25" s="408">
        <v>6248245</v>
      </c>
      <c r="E25" s="408">
        <v>587359</v>
      </c>
      <c r="F25" s="408">
        <v>71605698</v>
      </c>
    </row>
    <row r="26" spans="1:6" ht="14.1" customHeight="1">
      <c r="A26" s="269" t="s">
        <v>249</v>
      </c>
      <c r="B26" s="171">
        <v>6155970</v>
      </c>
      <c r="C26" s="171">
        <v>719357</v>
      </c>
      <c r="D26" s="171">
        <v>0</v>
      </c>
      <c r="E26" s="171">
        <v>276962</v>
      </c>
      <c r="F26" s="171">
        <v>21668699</v>
      </c>
    </row>
    <row r="27" spans="1:6" ht="14.1" customHeight="1">
      <c r="A27" s="410" t="s">
        <v>250</v>
      </c>
      <c r="B27" s="408">
        <v>8220904</v>
      </c>
      <c r="C27" s="408">
        <v>3841201</v>
      </c>
      <c r="D27" s="408">
        <v>1535491</v>
      </c>
      <c r="E27" s="408">
        <v>127120</v>
      </c>
      <c r="F27" s="408">
        <v>26714385</v>
      </c>
    </row>
    <row r="28" spans="1:6" ht="14.1" customHeight="1">
      <c r="A28" s="269" t="s">
        <v>251</v>
      </c>
      <c r="B28" s="171">
        <v>1886820</v>
      </c>
      <c r="C28" s="171">
        <v>0</v>
      </c>
      <c r="D28" s="171">
        <v>520896</v>
      </c>
      <c r="E28" s="171">
        <v>162807</v>
      </c>
      <c r="F28" s="171">
        <v>10774010</v>
      </c>
    </row>
    <row r="29" spans="1:6" ht="14.1" customHeight="1">
      <c r="A29" s="410" t="s">
        <v>252</v>
      </c>
      <c r="B29" s="408">
        <v>147231</v>
      </c>
      <c r="C29" s="408">
        <v>0</v>
      </c>
      <c r="D29" s="408">
        <v>6149358</v>
      </c>
      <c r="E29" s="408">
        <v>414040</v>
      </c>
      <c r="F29" s="408">
        <v>54027529</v>
      </c>
    </row>
    <row r="30" spans="1:6" ht="14.1" customHeight="1">
      <c r="A30" s="269" t="s">
        <v>253</v>
      </c>
      <c r="B30" s="171">
        <v>1821870</v>
      </c>
      <c r="C30" s="171">
        <v>0</v>
      </c>
      <c r="D30" s="171">
        <v>54</v>
      </c>
      <c r="E30" s="171">
        <v>92500</v>
      </c>
      <c r="F30" s="171">
        <v>7554228</v>
      </c>
    </row>
    <row r="31" spans="1:6" ht="14.1" customHeight="1">
      <c r="A31" s="410" t="s">
        <v>254</v>
      </c>
      <c r="B31" s="408">
        <v>4196542</v>
      </c>
      <c r="C31" s="408">
        <v>0</v>
      </c>
      <c r="D31" s="408">
        <v>0</v>
      </c>
      <c r="E31" s="408">
        <v>188552</v>
      </c>
      <c r="F31" s="408">
        <v>17855578</v>
      </c>
    </row>
    <row r="32" spans="1:6" ht="14.1" customHeight="1">
      <c r="A32" s="269" t="s">
        <v>255</v>
      </c>
      <c r="B32" s="171">
        <v>2158869</v>
      </c>
      <c r="C32" s="171">
        <v>0</v>
      </c>
      <c r="D32" s="171">
        <v>0</v>
      </c>
      <c r="E32" s="171">
        <v>170300</v>
      </c>
      <c r="F32" s="171">
        <v>12468825</v>
      </c>
    </row>
    <row r="33" spans="1:6" ht="14.1" customHeight="1">
      <c r="A33" s="410" t="s">
        <v>256</v>
      </c>
      <c r="B33" s="408">
        <v>2460165</v>
      </c>
      <c r="C33" s="408">
        <v>0</v>
      </c>
      <c r="D33" s="408">
        <v>661328</v>
      </c>
      <c r="E33" s="408">
        <v>192740</v>
      </c>
      <c r="F33" s="408">
        <v>14153093</v>
      </c>
    </row>
    <row r="34" spans="1:6" ht="14.1" customHeight="1">
      <c r="A34" s="269" t="s">
        <v>257</v>
      </c>
      <c r="B34" s="171">
        <v>2050515</v>
      </c>
      <c r="C34" s="171">
        <v>0</v>
      </c>
      <c r="D34" s="171">
        <v>0</v>
      </c>
      <c r="E34" s="171">
        <v>178265</v>
      </c>
      <c r="F34" s="171">
        <v>12472315</v>
      </c>
    </row>
    <row r="35" spans="1:6" ht="14.1" customHeight="1">
      <c r="A35" s="410" t="s">
        <v>258</v>
      </c>
      <c r="B35" s="408">
        <v>18122003</v>
      </c>
      <c r="C35" s="408">
        <v>3036165</v>
      </c>
      <c r="D35" s="408">
        <v>5338754</v>
      </c>
      <c r="E35" s="408">
        <v>712048</v>
      </c>
      <c r="F35" s="408">
        <v>89530005</v>
      </c>
    </row>
    <row r="36" spans="1:6" ht="14.1" customHeight="1">
      <c r="A36" s="269" t="s">
        <v>259</v>
      </c>
      <c r="B36" s="171">
        <v>1245660</v>
      </c>
      <c r="C36" s="171">
        <v>0</v>
      </c>
      <c r="D36" s="171">
        <v>1001795</v>
      </c>
      <c r="E36" s="171">
        <v>136060</v>
      </c>
      <c r="F36" s="171">
        <v>10183715</v>
      </c>
    </row>
    <row r="37" spans="1:6" ht="14.1" customHeight="1">
      <c r="A37" s="410" t="s">
        <v>260</v>
      </c>
      <c r="B37" s="408">
        <v>6679922</v>
      </c>
      <c r="C37" s="408">
        <v>0</v>
      </c>
      <c r="D37" s="408">
        <v>0</v>
      </c>
      <c r="E37" s="408">
        <v>148400</v>
      </c>
      <c r="F37" s="408">
        <v>24592332</v>
      </c>
    </row>
    <row r="38" spans="1:6" ht="14.1" customHeight="1">
      <c r="A38" s="269" t="s">
        <v>261</v>
      </c>
      <c r="B38" s="171">
        <v>18869162</v>
      </c>
      <c r="C38" s="171">
        <v>4111702</v>
      </c>
      <c r="D38" s="171">
        <v>0</v>
      </c>
      <c r="E38" s="171">
        <v>341695</v>
      </c>
      <c r="F38" s="171">
        <v>64241246</v>
      </c>
    </row>
    <row r="39" spans="1:6" ht="14.1" customHeight="1">
      <c r="A39" s="410" t="s">
        <v>262</v>
      </c>
      <c r="B39" s="408">
        <v>598151</v>
      </c>
      <c r="C39" s="408">
        <v>0</v>
      </c>
      <c r="D39" s="408">
        <v>671331</v>
      </c>
      <c r="E39" s="408">
        <v>111820</v>
      </c>
      <c r="F39" s="408">
        <v>9162415</v>
      </c>
    </row>
    <row r="40" spans="1:6" ht="14.1" customHeight="1">
      <c r="A40" s="269" t="s">
        <v>263</v>
      </c>
      <c r="B40" s="171">
        <v>1095942</v>
      </c>
      <c r="C40" s="171">
        <v>0</v>
      </c>
      <c r="D40" s="171">
        <v>4526114</v>
      </c>
      <c r="E40" s="171">
        <v>494755</v>
      </c>
      <c r="F40" s="171">
        <v>38885188</v>
      </c>
    </row>
    <row r="41" spans="1:6" ht="14.1" customHeight="1">
      <c r="A41" s="410" t="s">
        <v>264</v>
      </c>
      <c r="B41" s="408">
        <v>3486417</v>
      </c>
      <c r="C41" s="408">
        <v>0</v>
      </c>
      <c r="D41" s="408">
        <v>932494</v>
      </c>
      <c r="E41" s="408">
        <v>217352</v>
      </c>
      <c r="F41" s="408">
        <v>25660441</v>
      </c>
    </row>
    <row r="42" spans="1:6" ht="14.1" customHeight="1">
      <c r="A42" s="269" t="s">
        <v>265</v>
      </c>
      <c r="B42" s="171">
        <v>3262163</v>
      </c>
      <c r="C42" s="171">
        <v>557431</v>
      </c>
      <c r="D42" s="171">
        <v>35751</v>
      </c>
      <c r="E42" s="171">
        <v>192500</v>
      </c>
      <c r="F42" s="171">
        <v>11811353</v>
      </c>
    </row>
    <row r="43" spans="1:6" ht="14.1" customHeight="1">
      <c r="A43" s="410" t="s">
        <v>266</v>
      </c>
      <c r="B43" s="408">
        <v>956310</v>
      </c>
      <c r="C43" s="408">
        <v>0</v>
      </c>
      <c r="D43" s="408">
        <v>330874</v>
      </c>
      <c r="E43" s="408">
        <v>61040</v>
      </c>
      <c r="F43" s="408">
        <v>6037597</v>
      </c>
    </row>
    <row r="44" spans="1:6" ht="14.1" customHeight="1">
      <c r="A44" s="269" t="s">
        <v>267</v>
      </c>
      <c r="B44" s="171">
        <v>1901766</v>
      </c>
      <c r="C44" s="171">
        <v>434059</v>
      </c>
      <c r="D44" s="171">
        <v>103798</v>
      </c>
      <c r="E44" s="171">
        <v>68208</v>
      </c>
      <c r="F44" s="171">
        <v>7116151</v>
      </c>
    </row>
    <row r="45" spans="1:6" ht="14.1" customHeight="1">
      <c r="A45" s="410" t="s">
        <v>268</v>
      </c>
      <c r="B45" s="408">
        <v>2634284</v>
      </c>
      <c r="C45" s="408">
        <v>0</v>
      </c>
      <c r="D45" s="408">
        <v>0</v>
      </c>
      <c r="E45" s="408">
        <v>47346</v>
      </c>
      <c r="F45" s="408">
        <v>9204971</v>
      </c>
    </row>
    <row r="46" spans="1:6" ht="14.1" customHeight="1">
      <c r="A46" s="269" t="s">
        <v>269</v>
      </c>
      <c r="B46" s="171">
        <v>39618810</v>
      </c>
      <c r="C46" s="171">
        <v>4863665</v>
      </c>
      <c r="D46" s="171">
        <v>726459</v>
      </c>
      <c r="E46" s="171">
        <v>1362801</v>
      </c>
      <c r="F46" s="171">
        <v>175051781</v>
      </c>
    </row>
    <row r="47" spans="1:6" ht="5.0999999999999996" customHeight="1">
      <c r="A47" s="148"/>
      <c r="B47" s="172"/>
      <c r="C47" s="172"/>
      <c r="D47" s="172"/>
      <c r="E47" s="172"/>
      <c r="F47" s="172"/>
    </row>
    <row r="48" spans="1:6" ht="14.1" customHeight="1">
      <c r="A48" s="411" t="s">
        <v>270</v>
      </c>
      <c r="B48" s="412">
        <f>SUM(B11:B46)</f>
        <v>213621182</v>
      </c>
      <c r="C48" s="412">
        <f>SUM(C11:C46)</f>
        <v>23922974</v>
      </c>
      <c r="D48" s="412">
        <f>SUM(D11:D46)</f>
        <v>32633926</v>
      </c>
      <c r="E48" s="412">
        <f>SUM(E11:E46)</f>
        <v>8722706</v>
      </c>
      <c r="F48" s="412">
        <f>SUM(F11:F46)</f>
        <v>1011424183</v>
      </c>
    </row>
    <row r="49" spans="1:6" ht="5.0999999999999996" customHeight="1">
      <c r="A49" s="148" t="s">
        <v>16</v>
      </c>
      <c r="B49" s="172"/>
      <c r="C49" s="172"/>
      <c r="D49" s="172"/>
      <c r="E49" s="172"/>
      <c r="F49" s="172"/>
    </row>
    <row r="50" spans="1:6" ht="14.1" customHeight="1">
      <c r="A50" s="269" t="s">
        <v>271</v>
      </c>
      <c r="B50" s="171">
        <v>0</v>
      </c>
      <c r="C50" s="171">
        <v>0</v>
      </c>
      <c r="D50" s="171">
        <v>125640</v>
      </c>
      <c r="E50" s="171">
        <v>0</v>
      </c>
      <c r="F50" s="171">
        <v>931141</v>
      </c>
    </row>
    <row r="51" spans="1:6" ht="14.1" customHeight="1">
      <c r="A51" s="410" t="s">
        <v>272</v>
      </c>
      <c r="B51" s="408">
        <v>0</v>
      </c>
      <c r="C51" s="408">
        <v>0</v>
      </c>
      <c r="D51" s="408">
        <v>0</v>
      </c>
      <c r="E51" s="408">
        <v>32980</v>
      </c>
      <c r="F51" s="408">
        <v>32980</v>
      </c>
    </row>
    <row r="52" spans="1:6" ht="50.1" customHeight="1">
      <c r="A52" s="30"/>
      <c r="B52" s="30"/>
      <c r="C52" s="30"/>
      <c r="D52" s="30"/>
      <c r="E52" s="30"/>
      <c r="F52" s="30"/>
    </row>
    <row r="53" spans="1:6" ht="15" customHeight="1">
      <c r="A53" s="33" t="s">
        <v>716</v>
      </c>
      <c r="B53" s="45"/>
      <c r="C53" s="45"/>
      <c r="D53" s="45"/>
      <c r="E53" s="45"/>
      <c r="F53" s="45"/>
    </row>
    <row r="54" spans="1:6" ht="12" customHeight="1">
      <c r="A54" s="148" t="s">
        <v>717</v>
      </c>
      <c r="B54" s="45"/>
      <c r="C54" s="45"/>
      <c r="D54" s="45"/>
      <c r="E54" s="45"/>
      <c r="F54" s="45"/>
    </row>
    <row r="55" spans="1:6">
      <c r="A55" s="33" t="s">
        <v>718</v>
      </c>
    </row>
    <row r="56" spans="1:6">
      <c r="A56" s="33" t="s">
        <v>719</v>
      </c>
    </row>
    <row r="57" spans="1:6">
      <c r="A57" s="675" t="str">
        <f>"(3)  Formula Guarantee is provided to ensure that every school division receives at least the same level of funding as provided in "&amp;PrevY&amp;"."</f>
        <v>(3)  Formula Guarantee is provided to ensure that every school division receives at least the same level of funding as provided in 2012/13.</v>
      </c>
    </row>
    <row r="58" spans="1:6">
      <c r="A58" s="31" t="s">
        <v>704</v>
      </c>
    </row>
    <row r="59" spans="1:6">
      <c r="A59" s="1" t="s">
        <v>705</v>
      </c>
    </row>
  </sheetData>
  <phoneticPr fontId="6" type="noConversion"/>
  <pageMargins left="0.5" right="0.5" top="0.6" bottom="0.2" header="0.3" footer="0.5"/>
  <pageSetup scale="91"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sheetPr codeName="Sheet611">
    <pageSetUpPr fitToPage="1"/>
  </sheetPr>
  <dimension ref="A1:K64"/>
  <sheetViews>
    <sheetView showGridLines="0" showZeros="0" workbookViewId="0"/>
  </sheetViews>
  <sheetFormatPr defaultColWidth="14.83203125" defaultRowHeight="12"/>
  <cols>
    <col min="1" max="1" width="27.83203125" style="1" customWidth="1"/>
    <col min="2" max="2" width="17.6640625" style="1" customWidth="1"/>
    <col min="3" max="3" width="19" style="1" customWidth="1"/>
    <col min="4" max="4" width="20.33203125" style="1" customWidth="1"/>
    <col min="5" max="5" width="17.83203125" style="1" customWidth="1"/>
    <col min="6" max="6" width="18.5" style="1" customWidth="1"/>
    <col min="7" max="7" width="17.6640625" style="1" customWidth="1"/>
    <col min="8" max="8" width="14.83203125" style="1" hidden="1" customWidth="1"/>
    <col min="9" max="16384" width="14.83203125" style="1"/>
  </cols>
  <sheetData>
    <row r="1" spans="1:9" ht="6.95" customHeight="1">
      <c r="A1" s="6"/>
      <c r="B1" s="7"/>
      <c r="C1" s="7"/>
      <c r="D1" s="7"/>
    </row>
    <row r="2" spans="1:9" ht="18" customHeight="1">
      <c r="A2" s="283"/>
      <c r="B2" s="738" t="s">
        <v>521</v>
      </c>
      <c r="C2" s="738"/>
      <c r="D2" s="738"/>
      <c r="E2" s="611" t="str">
        <f>Data!B5&amp; " ACTUAL"</f>
        <v>2013/14 ACTUAL</v>
      </c>
      <c r="F2" s="611"/>
      <c r="G2" s="470" t="s">
        <v>20</v>
      </c>
    </row>
    <row r="3" spans="1:9" ht="3.95" customHeight="1">
      <c r="A3" s="692"/>
      <c r="B3" s="285"/>
      <c r="C3" s="285"/>
      <c r="D3" s="285"/>
      <c r="E3" s="285"/>
      <c r="F3" s="285"/>
      <c r="G3" s="294"/>
    </row>
    <row r="4" spans="1:9" ht="14.1" customHeight="1">
      <c r="A4" s="295"/>
      <c r="B4" s="442" t="s">
        <v>459</v>
      </c>
      <c r="C4" s="443"/>
      <c r="D4" s="443"/>
      <c r="E4" s="443"/>
      <c r="F4" s="443"/>
      <c r="G4" s="444"/>
    </row>
    <row r="5" spans="1:9" ht="12.95" customHeight="1">
      <c r="A5" s="296"/>
      <c r="B5" s="289"/>
      <c r="C5" s="289"/>
      <c r="D5" s="289"/>
      <c r="E5" s="289"/>
      <c r="F5" s="289" t="s">
        <v>365</v>
      </c>
      <c r="G5" s="289"/>
    </row>
    <row r="6" spans="1:9" ht="12.95" customHeight="1">
      <c r="A6" s="287"/>
      <c r="B6" s="289"/>
      <c r="C6" s="289"/>
      <c r="D6" s="289"/>
      <c r="E6" s="289"/>
      <c r="F6" s="289" t="s">
        <v>366</v>
      </c>
      <c r="G6" s="289"/>
    </row>
    <row r="7" spans="1:9" ht="12.95" customHeight="1">
      <c r="A7" s="287"/>
      <c r="B7" s="289"/>
      <c r="C7" s="289" t="s">
        <v>367</v>
      </c>
      <c r="D7" s="289"/>
      <c r="E7" s="289"/>
      <c r="F7" s="289" t="s">
        <v>186</v>
      </c>
      <c r="G7" s="289"/>
    </row>
    <row r="8" spans="1:9" ht="12.95" customHeight="1">
      <c r="A8" s="287"/>
      <c r="B8" s="289"/>
      <c r="C8" s="289" t="s">
        <v>368</v>
      </c>
      <c r="D8" s="289"/>
      <c r="E8" s="289" t="s">
        <v>369</v>
      </c>
      <c r="F8" s="289" t="s">
        <v>370</v>
      </c>
      <c r="G8" s="289"/>
    </row>
    <row r="9" spans="1:9" ht="12.95" customHeight="1">
      <c r="A9" s="287"/>
      <c r="B9" s="289" t="s">
        <v>191</v>
      </c>
      <c r="C9" s="289" t="s">
        <v>153</v>
      </c>
      <c r="D9" s="289" t="s">
        <v>36</v>
      </c>
      <c r="E9" s="289" t="s">
        <v>65</v>
      </c>
      <c r="F9" s="289" t="s">
        <v>371</v>
      </c>
      <c r="G9" s="289" t="s">
        <v>67</v>
      </c>
    </row>
    <row r="10" spans="1:9" ht="12.95" customHeight="1">
      <c r="A10" s="20"/>
      <c r="B10" s="289" t="s">
        <v>372</v>
      </c>
      <c r="C10" s="289" t="s">
        <v>373</v>
      </c>
      <c r="D10" s="289" t="s">
        <v>374</v>
      </c>
      <c r="E10" s="289" t="s">
        <v>375</v>
      </c>
      <c r="F10" s="289" t="s">
        <v>376</v>
      </c>
      <c r="G10" s="289" t="s">
        <v>377</v>
      </c>
    </row>
    <row r="11" spans="1:9" ht="12.95" customHeight="1">
      <c r="A11" s="22" t="s">
        <v>93</v>
      </c>
      <c r="B11" s="312" t="s">
        <v>354</v>
      </c>
      <c r="C11" s="312" t="s">
        <v>378</v>
      </c>
      <c r="D11" s="312" t="s">
        <v>379</v>
      </c>
      <c r="E11" s="312" t="s">
        <v>9</v>
      </c>
      <c r="F11" s="497" t="s">
        <v>276</v>
      </c>
      <c r="G11" s="497" t="s">
        <v>276</v>
      </c>
    </row>
    <row r="12" spans="1:9" ht="5.0999999999999996" customHeight="1">
      <c r="A12" s="25"/>
      <c r="C12" s="282"/>
      <c r="D12" s="236"/>
      <c r="E12" s="6"/>
    </row>
    <row r="13" spans="1:9" ht="13.5" customHeight="1">
      <c r="A13" s="410" t="s">
        <v>235</v>
      </c>
      <c r="B13" s="408">
        <v>601227</v>
      </c>
      <c r="C13" s="408">
        <v>0</v>
      </c>
      <c r="D13" s="408">
        <v>60838</v>
      </c>
      <c r="E13" s="408">
        <f>'- 32 -'!B11</f>
        <v>60301</v>
      </c>
      <c r="F13" s="408">
        <f>-Data!L11-Data!M11</f>
        <v>-16281</v>
      </c>
      <c r="G13" s="408">
        <f>SUM(B13:F13)</f>
        <v>706085</v>
      </c>
      <c r="H13" s="408">
        <v>706085</v>
      </c>
      <c r="I13" s="1">
        <f t="shared" ref="I13:I48" si="0">G13-H13</f>
        <v>0</v>
      </c>
    </row>
    <row r="14" spans="1:9" ht="13.5" customHeight="1">
      <c r="A14" s="269" t="s">
        <v>236</v>
      </c>
      <c r="B14" s="171">
        <v>898006</v>
      </c>
      <c r="C14" s="171">
        <v>0</v>
      </c>
      <c r="D14" s="171">
        <v>82494</v>
      </c>
      <c r="E14" s="171">
        <f>'- 32 -'!B12</f>
        <v>79911</v>
      </c>
      <c r="F14" s="171">
        <f>-Data!L12-Data!M12</f>
        <v>-30360</v>
      </c>
      <c r="G14" s="171">
        <f>SUM(B14:F14)</f>
        <v>1030051</v>
      </c>
      <c r="H14" s="171">
        <v>1030051</v>
      </c>
      <c r="I14" s="1">
        <f t="shared" si="0"/>
        <v>0</v>
      </c>
    </row>
    <row r="15" spans="1:9" ht="13.5" customHeight="1">
      <c r="A15" s="410" t="s">
        <v>237</v>
      </c>
      <c r="B15" s="408">
        <v>2431661</v>
      </c>
      <c r="C15" s="408">
        <v>0</v>
      </c>
      <c r="D15" s="408">
        <v>170683</v>
      </c>
      <c r="E15" s="408">
        <f>'- 32 -'!B13</f>
        <v>239649</v>
      </c>
      <c r="F15" s="408">
        <f>-Data!L13-Data!M13</f>
        <v>-50794</v>
      </c>
      <c r="G15" s="408">
        <f>SUM(B15:F15)</f>
        <v>2791199</v>
      </c>
      <c r="H15" s="408">
        <v>2791199</v>
      </c>
      <c r="I15" s="1">
        <f t="shared" si="0"/>
        <v>0</v>
      </c>
    </row>
    <row r="16" spans="1:9" ht="13.5" customHeight="1">
      <c r="A16" s="269" t="s">
        <v>636</v>
      </c>
      <c r="B16" s="171"/>
      <c r="C16" s="171">
        <v>0</v>
      </c>
      <c r="D16" s="171"/>
      <c r="E16" s="171"/>
      <c r="F16" s="171"/>
      <c r="G16" s="171"/>
      <c r="H16" s="171"/>
      <c r="I16" s="1">
        <f t="shared" si="0"/>
        <v>0</v>
      </c>
    </row>
    <row r="17" spans="1:9" ht="13.5" customHeight="1">
      <c r="A17" s="410" t="s">
        <v>238</v>
      </c>
      <c r="B17" s="408">
        <v>771921</v>
      </c>
      <c r="C17" s="408">
        <v>0</v>
      </c>
      <c r="D17" s="408">
        <v>83291</v>
      </c>
      <c r="E17" s="408">
        <f>'- 32 -'!B15</f>
        <v>78107</v>
      </c>
      <c r="F17" s="408">
        <f>-Data!L15-Data!M15</f>
        <v>-25106</v>
      </c>
      <c r="G17" s="408">
        <f>SUM(B17:F17)</f>
        <v>908213</v>
      </c>
      <c r="H17" s="408">
        <v>908213</v>
      </c>
      <c r="I17" s="1">
        <f t="shared" si="0"/>
        <v>0</v>
      </c>
    </row>
    <row r="18" spans="1:9" ht="13.5" customHeight="1">
      <c r="A18" s="269" t="s">
        <v>239</v>
      </c>
      <c r="B18" s="171">
        <v>629838</v>
      </c>
      <c r="C18" s="171">
        <v>0</v>
      </c>
      <c r="D18" s="171">
        <v>0</v>
      </c>
      <c r="E18" s="171">
        <f>'- 32 -'!B16</f>
        <v>71223</v>
      </c>
      <c r="F18" s="171">
        <f>-Data!L16-Data!M16</f>
        <v>-15567</v>
      </c>
      <c r="G18" s="171">
        <f>SUM(B18:F18)</f>
        <v>685494</v>
      </c>
      <c r="H18" s="171">
        <v>685494</v>
      </c>
      <c r="I18" s="1">
        <f t="shared" si="0"/>
        <v>0</v>
      </c>
    </row>
    <row r="19" spans="1:9" ht="13.5" customHeight="1">
      <c r="A19" s="410" t="s">
        <v>240</v>
      </c>
      <c r="B19" s="408">
        <v>698538</v>
      </c>
      <c r="C19" s="408">
        <v>0</v>
      </c>
      <c r="D19" s="408">
        <v>51497</v>
      </c>
      <c r="E19" s="408">
        <f>'- 32 -'!B17</f>
        <v>69259</v>
      </c>
      <c r="F19" s="408">
        <f>-Data!L17-Data!M17</f>
        <v>-24530</v>
      </c>
      <c r="G19" s="408">
        <f>SUM(B19:F19)</f>
        <v>794764</v>
      </c>
      <c r="H19" s="408">
        <v>794764</v>
      </c>
      <c r="I19" s="1">
        <f t="shared" si="0"/>
        <v>0</v>
      </c>
    </row>
    <row r="20" spans="1:9" ht="13.5" customHeight="1">
      <c r="A20" s="269" t="s">
        <v>241</v>
      </c>
      <c r="B20" s="171"/>
      <c r="C20" s="171">
        <v>0</v>
      </c>
      <c r="D20" s="171"/>
      <c r="E20" s="171"/>
      <c r="F20" s="171"/>
      <c r="G20" s="171"/>
      <c r="H20" s="171"/>
      <c r="I20" s="1">
        <f t="shared" si="0"/>
        <v>0</v>
      </c>
    </row>
    <row r="21" spans="1:9" ht="13.5" customHeight="1">
      <c r="A21" s="410" t="s">
        <v>242</v>
      </c>
      <c r="B21" s="408">
        <v>1295803</v>
      </c>
      <c r="C21" s="408">
        <v>0</v>
      </c>
      <c r="D21" s="408">
        <v>153841</v>
      </c>
      <c r="E21" s="408">
        <f>'- 32 -'!B19</f>
        <v>184973</v>
      </c>
      <c r="F21" s="408">
        <f>-Data!L19-Data!M19</f>
        <v>-32673</v>
      </c>
      <c r="G21" s="408">
        <f t="shared" ref="G21:G48" si="1">SUM(B21:F21)</f>
        <v>1601944</v>
      </c>
      <c r="H21" s="408">
        <v>1601944</v>
      </c>
      <c r="I21" s="1">
        <f t="shared" si="0"/>
        <v>0</v>
      </c>
    </row>
    <row r="22" spans="1:9" ht="13.5" customHeight="1">
      <c r="A22" s="269" t="s">
        <v>243</v>
      </c>
      <c r="B22" s="171">
        <v>2005406</v>
      </c>
      <c r="C22" s="171">
        <v>0</v>
      </c>
      <c r="D22" s="171">
        <v>222411</v>
      </c>
      <c r="E22" s="171">
        <f>'- 32 -'!B20</f>
        <v>384433</v>
      </c>
      <c r="F22" s="171">
        <f>-Data!L20-Data!M20</f>
        <v>-59948</v>
      </c>
      <c r="G22" s="171">
        <f t="shared" si="1"/>
        <v>2552302</v>
      </c>
      <c r="H22" s="171">
        <v>2552302</v>
      </c>
      <c r="I22" s="1">
        <f t="shared" si="0"/>
        <v>0</v>
      </c>
    </row>
    <row r="23" spans="1:9" ht="13.5" customHeight="1">
      <c r="A23" s="410" t="s">
        <v>244</v>
      </c>
      <c r="B23" s="408">
        <v>1363705</v>
      </c>
      <c r="C23" s="408">
        <v>0</v>
      </c>
      <c r="D23" s="408">
        <v>161945</v>
      </c>
      <c r="E23" s="408">
        <f>'- 32 -'!B21</f>
        <v>159117</v>
      </c>
      <c r="F23" s="408">
        <f>-Data!L21-Data!M21</f>
        <v>-34968</v>
      </c>
      <c r="G23" s="408">
        <f t="shared" si="1"/>
        <v>1649799</v>
      </c>
      <c r="H23" s="408">
        <v>1649799</v>
      </c>
      <c r="I23" s="1">
        <f t="shared" si="0"/>
        <v>0</v>
      </c>
    </row>
    <row r="24" spans="1:9" ht="13.5" customHeight="1">
      <c r="A24" s="269" t="s">
        <v>245</v>
      </c>
      <c r="B24" s="171">
        <v>747395</v>
      </c>
      <c r="C24" s="171">
        <v>20232</v>
      </c>
      <c r="D24" s="171">
        <v>89487</v>
      </c>
      <c r="E24" s="171">
        <f>'- 32 -'!B22</f>
        <v>59518</v>
      </c>
      <c r="F24" s="171">
        <f>-Data!L22-Data!M22</f>
        <v>-17333</v>
      </c>
      <c r="G24" s="171">
        <f t="shared" si="1"/>
        <v>899299</v>
      </c>
      <c r="H24" s="171">
        <v>899299</v>
      </c>
      <c r="I24" s="1">
        <f t="shared" si="0"/>
        <v>0</v>
      </c>
    </row>
    <row r="25" spans="1:9" ht="13.5" customHeight="1">
      <c r="A25" s="410" t="s">
        <v>246</v>
      </c>
      <c r="B25" s="408">
        <v>624982</v>
      </c>
      <c r="C25" s="408">
        <v>0</v>
      </c>
      <c r="D25" s="408">
        <v>83401</v>
      </c>
      <c r="E25" s="408">
        <f>'- 32 -'!B23</f>
        <v>75904</v>
      </c>
      <c r="F25" s="408">
        <f>-Data!L23-Data!M23</f>
        <v>-23271</v>
      </c>
      <c r="G25" s="408">
        <f t="shared" si="1"/>
        <v>761016</v>
      </c>
      <c r="H25" s="408">
        <v>761016</v>
      </c>
      <c r="I25" s="1">
        <f t="shared" si="0"/>
        <v>0</v>
      </c>
    </row>
    <row r="26" spans="1:9" ht="13.5" customHeight="1">
      <c r="A26" s="269" t="s">
        <v>247</v>
      </c>
      <c r="B26" s="171">
        <v>1849438</v>
      </c>
      <c r="C26" s="171">
        <v>0</v>
      </c>
      <c r="D26" s="171">
        <v>160132</v>
      </c>
      <c r="E26" s="171">
        <f>'- 32 -'!B24</f>
        <v>116447</v>
      </c>
      <c r="F26" s="171">
        <f>-Data!L24-Data!M24</f>
        <v>-36632</v>
      </c>
      <c r="G26" s="171">
        <f t="shared" si="1"/>
        <v>2089385</v>
      </c>
      <c r="H26" s="171">
        <v>2089385</v>
      </c>
      <c r="I26" s="1">
        <f t="shared" si="0"/>
        <v>0</v>
      </c>
    </row>
    <row r="27" spans="1:9" ht="13.5" customHeight="1">
      <c r="A27" s="410" t="s">
        <v>248</v>
      </c>
      <c r="B27" s="408">
        <v>5026042</v>
      </c>
      <c r="C27" s="408">
        <v>0</v>
      </c>
      <c r="D27" s="408">
        <v>253345</v>
      </c>
      <c r="E27" s="408">
        <f>'- 32 -'!B25</f>
        <v>563638</v>
      </c>
      <c r="F27" s="408">
        <f>-Data!L25-Data!M25</f>
        <v>-147609</v>
      </c>
      <c r="G27" s="408">
        <f t="shared" si="1"/>
        <v>5695416</v>
      </c>
      <c r="H27" s="408">
        <v>5695416</v>
      </c>
      <c r="I27" s="1">
        <f t="shared" si="0"/>
        <v>0</v>
      </c>
    </row>
    <row r="28" spans="1:9" ht="13.5" customHeight="1">
      <c r="A28" s="269" t="s">
        <v>249</v>
      </c>
      <c r="B28" s="171">
        <v>1199383</v>
      </c>
      <c r="C28" s="171">
        <v>14992</v>
      </c>
      <c r="D28" s="171">
        <v>199482</v>
      </c>
      <c r="E28" s="171">
        <f>'- 32 -'!B26</f>
        <v>144357</v>
      </c>
      <c r="F28" s="171">
        <f>-Data!L26-Data!M26</f>
        <v>-44373</v>
      </c>
      <c r="G28" s="171">
        <f t="shared" si="1"/>
        <v>1513841</v>
      </c>
      <c r="H28" s="171">
        <v>1513841</v>
      </c>
      <c r="I28" s="1">
        <f t="shared" si="0"/>
        <v>0</v>
      </c>
    </row>
    <row r="29" spans="1:9" ht="13.5" customHeight="1">
      <c r="A29" s="410" t="s">
        <v>250</v>
      </c>
      <c r="B29" s="408">
        <v>1599385</v>
      </c>
      <c r="C29" s="408">
        <v>0</v>
      </c>
      <c r="D29" s="408">
        <v>0</v>
      </c>
      <c r="E29" s="408">
        <f>'- 32 -'!B27</f>
        <v>174087</v>
      </c>
      <c r="F29" s="408">
        <f>-Data!L27-Data!M27</f>
        <v>-6649</v>
      </c>
      <c r="G29" s="408">
        <f t="shared" si="1"/>
        <v>1766823</v>
      </c>
      <c r="H29" s="408">
        <v>1766823</v>
      </c>
      <c r="I29" s="1">
        <f t="shared" si="0"/>
        <v>0</v>
      </c>
    </row>
    <row r="30" spans="1:9" ht="13.5" customHeight="1">
      <c r="A30" s="269" t="s">
        <v>251</v>
      </c>
      <c r="B30" s="171">
        <v>1024960</v>
      </c>
      <c r="C30" s="171">
        <v>0</v>
      </c>
      <c r="D30" s="171">
        <v>79819</v>
      </c>
      <c r="E30" s="171">
        <f>'- 32 -'!B28</f>
        <v>47189</v>
      </c>
      <c r="F30" s="171">
        <f>-Data!L28-Data!M28</f>
        <v>-17008</v>
      </c>
      <c r="G30" s="171">
        <f t="shared" si="1"/>
        <v>1134960</v>
      </c>
      <c r="H30" s="171">
        <v>1134960</v>
      </c>
      <c r="I30" s="1">
        <f t="shared" si="0"/>
        <v>0</v>
      </c>
    </row>
    <row r="31" spans="1:9" ht="13.5" customHeight="1">
      <c r="A31" s="410" t="s">
        <v>252</v>
      </c>
      <c r="B31" s="408">
        <v>4463566</v>
      </c>
      <c r="C31" s="408">
        <v>321421</v>
      </c>
      <c r="D31" s="408">
        <v>172859</v>
      </c>
      <c r="E31" s="408">
        <f>'- 32 -'!B29</f>
        <v>987438</v>
      </c>
      <c r="F31" s="408">
        <f>-Data!L29-Data!M29</f>
        <v>-780399</v>
      </c>
      <c r="G31" s="408">
        <f t="shared" si="1"/>
        <v>5164885</v>
      </c>
      <c r="H31" s="408">
        <v>5164885</v>
      </c>
      <c r="I31" s="1">
        <f t="shared" si="0"/>
        <v>0</v>
      </c>
    </row>
    <row r="32" spans="1:9" ht="13.5" customHeight="1">
      <c r="A32" s="269" t="s">
        <v>253</v>
      </c>
      <c r="B32" s="171">
        <v>550456</v>
      </c>
      <c r="C32" s="171">
        <v>0</v>
      </c>
      <c r="D32" s="171">
        <v>55575</v>
      </c>
      <c r="E32" s="171">
        <f>'- 32 -'!B30</f>
        <v>56445</v>
      </c>
      <c r="F32" s="171">
        <f>-Data!L30-Data!M30</f>
        <v>-19795</v>
      </c>
      <c r="G32" s="171">
        <f t="shared" si="1"/>
        <v>642681</v>
      </c>
      <c r="H32" s="171">
        <v>642681</v>
      </c>
      <c r="I32" s="1">
        <f t="shared" si="0"/>
        <v>0</v>
      </c>
    </row>
    <row r="33" spans="1:9" ht="13.5" customHeight="1">
      <c r="A33" s="410" t="s">
        <v>254</v>
      </c>
      <c r="B33" s="408">
        <v>1087814</v>
      </c>
      <c r="C33" s="408">
        <v>0</v>
      </c>
      <c r="D33" s="408">
        <v>86937</v>
      </c>
      <c r="E33" s="408">
        <f>'- 32 -'!B31</f>
        <v>97982</v>
      </c>
      <c r="F33" s="408">
        <f>-Data!L31-Data!M31</f>
        <v>-38064</v>
      </c>
      <c r="G33" s="408">
        <f t="shared" si="1"/>
        <v>1234669</v>
      </c>
      <c r="H33" s="408">
        <v>1234669</v>
      </c>
      <c r="I33" s="1">
        <f t="shared" si="0"/>
        <v>0</v>
      </c>
    </row>
    <row r="34" spans="1:9" ht="13.5" customHeight="1">
      <c r="A34" s="269" t="s">
        <v>255</v>
      </c>
      <c r="B34" s="171">
        <v>1004800</v>
      </c>
      <c r="C34" s="171">
        <v>0</v>
      </c>
      <c r="D34" s="171">
        <v>94338</v>
      </c>
      <c r="E34" s="171">
        <f>'- 32 -'!B32</f>
        <v>91360</v>
      </c>
      <c r="F34" s="171">
        <f>-Data!L32-Data!M32</f>
        <v>-18718</v>
      </c>
      <c r="G34" s="171">
        <f t="shared" si="1"/>
        <v>1171780</v>
      </c>
      <c r="H34" s="171">
        <v>1171780</v>
      </c>
      <c r="I34" s="1">
        <f t="shared" si="0"/>
        <v>0</v>
      </c>
    </row>
    <row r="35" spans="1:9" ht="13.5" customHeight="1">
      <c r="A35" s="410" t="s">
        <v>256</v>
      </c>
      <c r="B35" s="408">
        <v>847153</v>
      </c>
      <c r="C35" s="408">
        <v>0</v>
      </c>
      <c r="D35" s="408">
        <v>88435</v>
      </c>
      <c r="E35" s="408">
        <f>'- 32 -'!B33</f>
        <v>72515</v>
      </c>
      <c r="F35" s="408">
        <f>-Data!L33-Data!M33</f>
        <v>-34407</v>
      </c>
      <c r="G35" s="408">
        <f t="shared" si="1"/>
        <v>973696</v>
      </c>
      <c r="H35" s="408">
        <v>973696</v>
      </c>
      <c r="I35" s="1">
        <f t="shared" si="0"/>
        <v>0</v>
      </c>
    </row>
    <row r="36" spans="1:9" ht="13.5" customHeight="1">
      <c r="A36" s="269" t="s">
        <v>257</v>
      </c>
      <c r="B36" s="171">
        <v>967767</v>
      </c>
      <c r="C36" s="171">
        <v>6829</v>
      </c>
      <c r="D36" s="171">
        <v>89012</v>
      </c>
      <c r="E36" s="171">
        <f>'- 32 -'!B34</f>
        <v>57509</v>
      </c>
      <c r="F36" s="171">
        <f>-Data!L34-Data!M34</f>
        <v>-33485</v>
      </c>
      <c r="G36" s="171">
        <f t="shared" si="1"/>
        <v>1087632</v>
      </c>
      <c r="H36" s="171">
        <v>1087632</v>
      </c>
      <c r="I36" s="1">
        <f t="shared" si="0"/>
        <v>0</v>
      </c>
    </row>
    <row r="37" spans="1:9" ht="13.5" customHeight="1">
      <c r="A37" s="410" t="s">
        <v>258</v>
      </c>
      <c r="B37" s="408">
        <v>5076950</v>
      </c>
      <c r="C37" s="408">
        <v>358612</v>
      </c>
      <c r="D37" s="408">
        <v>336493</v>
      </c>
      <c r="E37" s="408">
        <f>'- 32 -'!B35</f>
        <v>764086</v>
      </c>
      <c r="F37" s="408">
        <f>-Data!L35-Data!M35</f>
        <v>-487349</v>
      </c>
      <c r="G37" s="408">
        <f t="shared" si="1"/>
        <v>6048792</v>
      </c>
      <c r="H37" s="408">
        <v>6048792</v>
      </c>
      <c r="I37" s="1">
        <f t="shared" si="0"/>
        <v>0</v>
      </c>
    </row>
    <row r="38" spans="1:9" ht="13.5" customHeight="1">
      <c r="A38" s="269" t="s">
        <v>259</v>
      </c>
      <c r="B38" s="171">
        <v>894874</v>
      </c>
      <c r="C38" s="171">
        <v>31483</v>
      </c>
      <c r="D38" s="171">
        <v>56846</v>
      </c>
      <c r="E38" s="171">
        <f>'- 32 -'!B36</f>
        <v>58496</v>
      </c>
      <c r="F38" s="171">
        <f>-Data!L36-Data!M36</f>
        <v>-28493</v>
      </c>
      <c r="G38" s="171">
        <f t="shared" si="1"/>
        <v>1013206</v>
      </c>
      <c r="H38" s="171">
        <v>1013206</v>
      </c>
      <c r="I38" s="1">
        <f t="shared" si="0"/>
        <v>0</v>
      </c>
    </row>
    <row r="39" spans="1:9" ht="13.5" customHeight="1">
      <c r="A39" s="410" t="s">
        <v>260</v>
      </c>
      <c r="B39" s="408">
        <v>1411835</v>
      </c>
      <c r="C39" s="408">
        <v>30013</v>
      </c>
      <c r="D39" s="408">
        <v>175816</v>
      </c>
      <c r="E39" s="408">
        <f>'- 32 -'!B37</f>
        <v>109327</v>
      </c>
      <c r="F39" s="408">
        <f>-Data!L37-Data!M37</f>
        <v>-39494</v>
      </c>
      <c r="G39" s="408">
        <f t="shared" si="1"/>
        <v>1687497</v>
      </c>
      <c r="H39" s="408">
        <v>1687497</v>
      </c>
      <c r="I39" s="1">
        <f t="shared" si="0"/>
        <v>0</v>
      </c>
    </row>
    <row r="40" spans="1:9" ht="13.5" customHeight="1">
      <c r="A40" s="269" t="s">
        <v>261</v>
      </c>
      <c r="B40" s="171">
        <v>3249964</v>
      </c>
      <c r="C40" s="171">
        <v>76638</v>
      </c>
      <c r="D40" s="171">
        <v>259223</v>
      </c>
      <c r="E40" s="171">
        <f>'- 32 -'!B38</f>
        <v>513154</v>
      </c>
      <c r="F40" s="171">
        <f>-Data!L38-Data!M38</f>
        <v>-54075</v>
      </c>
      <c r="G40" s="171">
        <f t="shared" si="1"/>
        <v>4044904</v>
      </c>
      <c r="H40" s="171">
        <v>4044904</v>
      </c>
      <c r="I40" s="1">
        <f t="shared" si="0"/>
        <v>0</v>
      </c>
    </row>
    <row r="41" spans="1:9" ht="13.5" customHeight="1">
      <c r="A41" s="410" t="s">
        <v>262</v>
      </c>
      <c r="B41" s="408">
        <v>827273</v>
      </c>
      <c r="C41" s="408">
        <v>0</v>
      </c>
      <c r="D41" s="408">
        <v>82804</v>
      </c>
      <c r="E41" s="408">
        <f>'- 32 -'!B39</f>
        <v>73056</v>
      </c>
      <c r="F41" s="408">
        <f>-Data!L39-Data!M39</f>
        <v>-28734</v>
      </c>
      <c r="G41" s="408">
        <f t="shared" si="1"/>
        <v>954399</v>
      </c>
      <c r="H41" s="408">
        <v>954399</v>
      </c>
      <c r="I41" s="1">
        <f t="shared" si="0"/>
        <v>0</v>
      </c>
    </row>
    <row r="42" spans="1:9" ht="13.5" customHeight="1">
      <c r="A42" s="269" t="s">
        <v>263</v>
      </c>
      <c r="B42" s="171">
        <v>3260459</v>
      </c>
      <c r="C42" s="171">
        <v>0</v>
      </c>
      <c r="D42" s="171">
        <v>118574</v>
      </c>
      <c r="E42" s="171">
        <f>'- 32 -'!B40</f>
        <v>419227</v>
      </c>
      <c r="F42" s="171">
        <f>-Data!L40-Data!M40</f>
        <v>-304231</v>
      </c>
      <c r="G42" s="171">
        <f t="shared" si="1"/>
        <v>3494029</v>
      </c>
      <c r="H42" s="171">
        <v>3494029</v>
      </c>
      <c r="I42" s="1">
        <f t="shared" si="0"/>
        <v>0</v>
      </c>
    </row>
    <row r="43" spans="1:9" ht="13.5" customHeight="1">
      <c r="A43" s="410" t="s">
        <v>264</v>
      </c>
      <c r="B43" s="408">
        <v>2055982</v>
      </c>
      <c r="C43" s="408">
        <v>0</v>
      </c>
      <c r="D43" s="408">
        <v>312267</v>
      </c>
      <c r="E43" s="408">
        <f>'- 32 -'!B41</f>
        <v>189947</v>
      </c>
      <c r="F43" s="408">
        <f>-Data!L41-Data!M41</f>
        <v>-26555</v>
      </c>
      <c r="G43" s="408">
        <f t="shared" si="1"/>
        <v>2531641</v>
      </c>
      <c r="H43" s="408">
        <v>2531641</v>
      </c>
      <c r="I43" s="1">
        <f t="shared" si="0"/>
        <v>0</v>
      </c>
    </row>
    <row r="44" spans="1:9" ht="13.5" customHeight="1">
      <c r="A44" s="269" t="s">
        <v>265</v>
      </c>
      <c r="B44" s="171">
        <v>800727</v>
      </c>
      <c r="C44" s="171">
        <v>0</v>
      </c>
      <c r="D44" s="171">
        <v>95883</v>
      </c>
      <c r="E44" s="171">
        <f>'- 32 -'!B42</f>
        <v>49971</v>
      </c>
      <c r="F44" s="171">
        <f>-Data!L42-Data!M42</f>
        <v>-23576</v>
      </c>
      <c r="G44" s="171">
        <f t="shared" si="1"/>
        <v>923005</v>
      </c>
      <c r="H44" s="171">
        <v>923005</v>
      </c>
      <c r="I44" s="1">
        <f t="shared" si="0"/>
        <v>0</v>
      </c>
    </row>
    <row r="45" spans="1:9" ht="13.5" customHeight="1">
      <c r="A45" s="410" t="s">
        <v>266</v>
      </c>
      <c r="B45" s="408">
        <v>563267</v>
      </c>
      <c r="C45" s="408">
        <v>0</v>
      </c>
      <c r="D45" s="408">
        <v>10116</v>
      </c>
      <c r="E45" s="408">
        <f>'- 32 -'!B43</f>
        <v>16717</v>
      </c>
      <c r="F45" s="408">
        <f>-Data!L43-Data!M43</f>
        <v>-18790</v>
      </c>
      <c r="G45" s="408">
        <f t="shared" si="1"/>
        <v>571310</v>
      </c>
      <c r="H45" s="408">
        <v>571310</v>
      </c>
      <c r="I45" s="1">
        <f t="shared" si="0"/>
        <v>0</v>
      </c>
    </row>
    <row r="46" spans="1:9" ht="13.5" customHeight="1">
      <c r="A46" s="269" t="s">
        <v>267</v>
      </c>
      <c r="B46" s="171">
        <v>356342</v>
      </c>
      <c r="C46" s="171">
        <v>0</v>
      </c>
      <c r="D46" s="171">
        <v>29523</v>
      </c>
      <c r="E46" s="171">
        <f>'- 32 -'!B44</f>
        <v>29331</v>
      </c>
      <c r="F46" s="171">
        <f>-Data!L44-Data!M44</f>
        <v>-11431</v>
      </c>
      <c r="G46" s="171">
        <f t="shared" si="1"/>
        <v>403765</v>
      </c>
      <c r="H46" s="171">
        <v>403765</v>
      </c>
      <c r="I46" s="1">
        <f t="shared" si="0"/>
        <v>0</v>
      </c>
    </row>
    <row r="47" spans="1:9" ht="13.5" customHeight="1">
      <c r="A47" s="410" t="s">
        <v>268</v>
      </c>
      <c r="B47" s="408">
        <v>644832</v>
      </c>
      <c r="C47" s="408">
        <v>0</v>
      </c>
      <c r="D47" s="408">
        <v>42662</v>
      </c>
      <c r="E47" s="408">
        <f>'- 32 -'!B45</f>
        <v>83166</v>
      </c>
      <c r="F47" s="408">
        <f>-Data!L45-Data!M45</f>
        <v>-13622</v>
      </c>
      <c r="G47" s="408">
        <f t="shared" si="1"/>
        <v>757038</v>
      </c>
      <c r="H47" s="408">
        <v>757038</v>
      </c>
      <c r="I47" s="1">
        <f t="shared" si="0"/>
        <v>0</v>
      </c>
    </row>
    <row r="48" spans="1:9" ht="13.5" customHeight="1">
      <c r="A48" s="269" t="s">
        <v>269</v>
      </c>
      <c r="B48" s="171">
        <v>9136984</v>
      </c>
      <c r="C48" s="171">
        <v>221270</v>
      </c>
      <c r="D48" s="171">
        <v>304601</v>
      </c>
      <c r="E48" s="171">
        <f>'- 32 -'!B46</f>
        <v>939198</v>
      </c>
      <c r="F48" s="171">
        <f>-Data!L46-Data!M46</f>
        <v>-179280</v>
      </c>
      <c r="G48" s="171">
        <f t="shared" si="1"/>
        <v>10422773</v>
      </c>
      <c r="H48" s="171">
        <v>10422773</v>
      </c>
      <c r="I48" s="1">
        <f t="shared" si="0"/>
        <v>0</v>
      </c>
    </row>
    <row r="49" spans="1:11" ht="5.0999999999999996" customHeight="1">
      <c r="A49" s="148"/>
      <c r="B49" s="172"/>
      <c r="C49" s="172"/>
      <c r="D49" s="172"/>
      <c r="E49" s="172"/>
      <c r="F49" s="172"/>
      <c r="G49" s="172"/>
      <c r="H49" s="172"/>
    </row>
    <row r="50" spans="1:11" ht="13.5" customHeight="1">
      <c r="A50" s="411" t="s">
        <v>270</v>
      </c>
      <c r="B50" s="412">
        <f t="shared" ref="B50:H50" si="2">SUM(B13:B48)</f>
        <v>59968735</v>
      </c>
      <c r="C50" s="412">
        <f t="shared" si="2"/>
        <v>1081490</v>
      </c>
      <c r="D50" s="412">
        <f t="shared" si="2"/>
        <v>4264630</v>
      </c>
      <c r="E50" s="412">
        <f t="shared" si="2"/>
        <v>7117038</v>
      </c>
      <c r="F50" s="412">
        <f t="shared" si="2"/>
        <v>-2723600</v>
      </c>
      <c r="G50" s="412">
        <f t="shared" si="2"/>
        <v>69708293</v>
      </c>
      <c r="H50" s="412">
        <f t="shared" si="2"/>
        <v>69708293</v>
      </c>
      <c r="I50" s="1">
        <f>G50-H50</f>
        <v>0</v>
      </c>
    </row>
    <row r="51" spans="1:11" ht="5.0999999999999996" customHeight="1">
      <c r="A51" s="148" t="s">
        <v>16</v>
      </c>
      <c r="B51" s="172"/>
      <c r="C51" s="172"/>
      <c r="D51" s="172"/>
      <c r="E51" s="172"/>
      <c r="F51" s="172"/>
      <c r="G51" s="172"/>
      <c r="H51" s="172"/>
      <c r="K51" s="1">
        <f>+J51-B51</f>
        <v>0</v>
      </c>
    </row>
    <row r="52" spans="1:11" ht="13.5" customHeight="1">
      <c r="A52" s="269" t="s">
        <v>271</v>
      </c>
      <c r="B52" s="171">
        <v>283193</v>
      </c>
      <c r="C52" s="171">
        <v>0</v>
      </c>
      <c r="D52" s="171">
        <v>0</v>
      </c>
      <c r="E52" s="171">
        <f>'- 32 -'!B50</f>
        <v>948</v>
      </c>
      <c r="F52" s="171">
        <f>-Data!L50-Data!M50</f>
        <v>-33606</v>
      </c>
      <c r="G52" s="171">
        <f>SUM(B52:F52)</f>
        <v>250535</v>
      </c>
      <c r="H52" s="171">
        <v>250535</v>
      </c>
      <c r="I52" s="1">
        <f>G52-H52</f>
        <v>0</v>
      </c>
    </row>
    <row r="53" spans="1:11" ht="50.1" customHeight="1">
      <c r="A53" s="30"/>
      <c r="B53" s="30"/>
      <c r="C53" s="30"/>
      <c r="D53" s="30"/>
      <c r="E53" s="30"/>
      <c r="F53" s="30"/>
      <c r="G53" s="30"/>
    </row>
    <row r="54" spans="1:11" ht="14.45" customHeight="1">
      <c r="A54" s="292" t="s">
        <v>600</v>
      </c>
      <c r="B54" s="297"/>
      <c r="C54" s="297"/>
      <c r="D54" s="297"/>
      <c r="E54" s="297"/>
      <c r="F54" s="297"/>
      <c r="G54" s="297"/>
    </row>
    <row r="55" spans="1:11" ht="12" customHeight="1">
      <c r="A55" s="292" t="s">
        <v>639</v>
      </c>
      <c r="B55" s="297"/>
      <c r="C55" s="297"/>
      <c r="D55" s="297"/>
      <c r="E55" s="297"/>
      <c r="F55" s="297"/>
      <c r="G55" s="297"/>
    </row>
    <row r="56" spans="1:11" ht="12" customHeight="1">
      <c r="A56" s="32" t="s">
        <v>634</v>
      </c>
      <c r="B56" s="45"/>
      <c r="C56" s="45"/>
      <c r="D56" s="45"/>
    </row>
    <row r="57" spans="1:11" ht="12" customHeight="1">
      <c r="A57" s="32" t="s">
        <v>720</v>
      </c>
      <c r="B57" s="45"/>
      <c r="C57" s="45"/>
      <c r="D57" s="45"/>
    </row>
    <row r="58" spans="1:11" ht="12" customHeight="1">
      <c r="A58" s="32" t="s">
        <v>651</v>
      </c>
      <c r="B58" s="45"/>
      <c r="C58" s="45"/>
      <c r="D58" s="45"/>
    </row>
    <row r="59" spans="1:11" ht="12" customHeight="1">
      <c r="A59" s="1" t="s">
        <v>699</v>
      </c>
      <c r="B59" s="45"/>
      <c r="C59" s="45"/>
      <c r="D59" s="45"/>
    </row>
    <row r="60" spans="1:11" ht="12" customHeight="1">
      <c r="A60" s="1" t="s">
        <v>633</v>
      </c>
      <c r="B60" s="45"/>
      <c r="C60" s="45"/>
      <c r="D60" s="45"/>
    </row>
    <row r="61" spans="1:11" ht="12" customHeight="1">
      <c r="A61" s="1" t="s">
        <v>648</v>
      </c>
    </row>
    <row r="62" spans="1:11" ht="12" customHeight="1">
      <c r="A62" s="1" t="s">
        <v>601</v>
      </c>
    </row>
    <row r="63" spans="1:11" ht="12" customHeight="1">
      <c r="A63" s="1" t="s">
        <v>649</v>
      </c>
    </row>
    <row r="64" spans="1:11" ht="12" customHeight="1">
      <c r="A64" s="1" t="s">
        <v>650</v>
      </c>
    </row>
  </sheetData>
  <mergeCells count="1">
    <mergeCell ref="B2:D2"/>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sheetPr codeName="Sheet6111">
    <pageSetUpPr fitToPage="1"/>
  </sheetPr>
  <dimension ref="A1:K59"/>
  <sheetViews>
    <sheetView showGridLines="0" showZeros="0" workbookViewId="0"/>
  </sheetViews>
  <sheetFormatPr defaultColWidth="14.83203125" defaultRowHeight="12"/>
  <cols>
    <col min="1" max="1" width="27.83203125" style="1" customWidth="1"/>
    <col min="2" max="3" width="16.83203125" style="1" customWidth="1"/>
    <col min="4" max="4" width="18.83203125" style="1" customWidth="1"/>
    <col min="5" max="5" width="16.83203125" style="1" customWidth="1"/>
    <col min="6" max="6" width="18.83203125" style="1" customWidth="1"/>
    <col min="7" max="7" width="17.83203125" style="1" customWidth="1"/>
    <col min="8" max="9" width="0" style="1" hidden="1" customWidth="1"/>
    <col min="10" max="16384" width="14.83203125" style="1"/>
  </cols>
  <sheetData>
    <row r="1" spans="1:11" ht="6.95" customHeight="1">
      <c r="A1" s="6"/>
      <c r="B1" s="7"/>
      <c r="C1" s="7"/>
      <c r="D1" s="7"/>
    </row>
    <row r="2" spans="1:11" ht="20.100000000000001" customHeight="1">
      <c r="A2" s="283"/>
      <c r="B2" s="283" t="str">
        <f>"ADMINISTRATION EXPENSES "&amp;FALLYR&amp;"/"&amp;SPRINGYR&amp;" ACTUAL"</f>
        <v>ADMINISTRATION EXPENSES 2013/2014 ACTUAL</v>
      </c>
      <c r="C2" s="194"/>
      <c r="D2" s="194"/>
      <c r="E2" s="194"/>
      <c r="F2" s="194"/>
      <c r="G2" s="470" t="s">
        <v>172</v>
      </c>
    </row>
    <row r="3" spans="1:11" ht="20.100000000000001" customHeight="1">
      <c r="A3" s="691"/>
      <c r="B3" s="284"/>
      <c r="C3" s="285"/>
      <c r="D3" s="285"/>
      <c r="E3" s="285"/>
      <c r="F3" s="285"/>
      <c r="G3" s="286"/>
    </row>
    <row r="4" spans="1:11" ht="14.1" customHeight="1">
      <c r="A4" s="264"/>
      <c r="B4" s="445" t="s">
        <v>380</v>
      </c>
      <c r="C4" s="446"/>
      <c r="D4" s="446"/>
      <c r="E4" s="446"/>
      <c r="F4" s="446"/>
      <c r="G4" s="447"/>
    </row>
    <row r="5" spans="1:11" ht="12.95" customHeight="1">
      <c r="A5" s="287"/>
      <c r="B5" s="288"/>
      <c r="C5" s="288"/>
      <c r="D5" s="288"/>
      <c r="E5" s="288"/>
      <c r="F5" s="288"/>
      <c r="G5" s="288"/>
    </row>
    <row r="6" spans="1:11" ht="12.95" customHeight="1">
      <c r="A6" s="287"/>
      <c r="B6" s="274"/>
      <c r="C6" s="274"/>
      <c r="D6" s="274"/>
      <c r="E6" s="274"/>
      <c r="F6" s="274"/>
      <c r="G6" s="274" t="s">
        <v>67</v>
      </c>
    </row>
    <row r="7" spans="1:11" ht="12.95" customHeight="1">
      <c r="A7" s="287"/>
      <c r="B7" s="289"/>
      <c r="C7" s="139"/>
      <c r="D7" s="289"/>
      <c r="E7" s="289"/>
      <c r="F7" s="289"/>
      <c r="G7" s="289" t="s">
        <v>377</v>
      </c>
    </row>
    <row r="8" spans="1:11" ht="12.95" customHeight="1">
      <c r="A8" s="287"/>
      <c r="B8" s="289" t="s">
        <v>67</v>
      </c>
      <c r="C8" s="289" t="s">
        <v>381</v>
      </c>
      <c r="D8" s="289" t="s">
        <v>382</v>
      </c>
      <c r="E8" s="289"/>
      <c r="F8" s="289" t="s">
        <v>67</v>
      </c>
      <c r="G8" s="498" t="s">
        <v>276</v>
      </c>
    </row>
    <row r="9" spans="1:11" ht="12.95" customHeight="1">
      <c r="A9" s="287"/>
      <c r="B9" s="289" t="s">
        <v>121</v>
      </c>
      <c r="C9" s="289" t="s">
        <v>107</v>
      </c>
      <c r="D9" s="289" t="s">
        <v>384</v>
      </c>
      <c r="E9" s="289" t="s">
        <v>385</v>
      </c>
      <c r="F9" s="289" t="s">
        <v>377</v>
      </c>
      <c r="G9" s="289" t="s">
        <v>386</v>
      </c>
    </row>
    <row r="10" spans="1:11" ht="12.95" customHeight="1">
      <c r="A10" s="20"/>
      <c r="B10" s="290" t="s">
        <v>276</v>
      </c>
      <c r="C10" s="289" t="s">
        <v>383</v>
      </c>
      <c r="D10" s="290" t="s">
        <v>317</v>
      </c>
      <c r="E10" s="290" t="s">
        <v>197</v>
      </c>
      <c r="F10" s="498" t="s">
        <v>276</v>
      </c>
      <c r="G10" s="290" t="s">
        <v>197</v>
      </c>
    </row>
    <row r="11" spans="1:11" ht="15.95" customHeight="1">
      <c r="A11" s="22" t="s">
        <v>93</v>
      </c>
      <c r="B11" s="291" t="s">
        <v>387</v>
      </c>
      <c r="C11" s="291" t="s">
        <v>144</v>
      </c>
      <c r="D11" s="291" t="s">
        <v>10</v>
      </c>
      <c r="E11" s="291" t="s">
        <v>130</v>
      </c>
      <c r="F11" s="291" t="s">
        <v>682</v>
      </c>
      <c r="G11" s="291" t="s">
        <v>130</v>
      </c>
    </row>
    <row r="12" spans="1:11" ht="5.0999999999999996" customHeight="1">
      <c r="A12" s="25"/>
      <c r="C12" s="282"/>
      <c r="D12" s="236"/>
      <c r="E12" s="6"/>
    </row>
    <row r="13" spans="1:11" ht="14.1" customHeight="1">
      <c r="A13" s="410" t="s">
        <v>235</v>
      </c>
      <c r="B13" s="408">
        <f>'- 3 -'!B11</f>
        <v>16746005</v>
      </c>
      <c r="C13" s="408">
        <v>197969</v>
      </c>
      <c r="D13" s="408">
        <v>0</v>
      </c>
      <c r="E13" s="408">
        <f>SUM(B13:D13)</f>
        <v>16943974</v>
      </c>
      <c r="F13" s="408">
        <f>'- 63 -'!G13</f>
        <v>706085</v>
      </c>
      <c r="G13" s="335">
        <f>F13/E13*100</f>
        <v>4.167174713558933</v>
      </c>
      <c r="H13" s="495">
        <v>4.1671747135589327E-2</v>
      </c>
      <c r="I13" s="408">
        <v>16943974</v>
      </c>
      <c r="J13" s="1">
        <f t="shared" ref="J13:J48" si="0">I13-E13</f>
        <v>0</v>
      </c>
      <c r="K13" s="1">
        <f>+G13/100-H13</f>
        <v>0</v>
      </c>
    </row>
    <row r="14" spans="1:11" ht="14.1" customHeight="1">
      <c r="A14" s="269" t="s">
        <v>236</v>
      </c>
      <c r="B14" s="171">
        <f>'- 3 -'!B12</f>
        <v>30109074</v>
      </c>
      <c r="C14" s="171">
        <v>670783</v>
      </c>
      <c r="D14" s="171">
        <v>-492630</v>
      </c>
      <c r="E14" s="171">
        <f>SUM(B14:D14)</f>
        <v>30287227</v>
      </c>
      <c r="F14" s="171">
        <f>'- 63 -'!G14</f>
        <v>1030051</v>
      </c>
      <c r="G14" s="79">
        <f t="shared" ref="G14:G52" si="1">F14/E14*100</f>
        <v>3.4009419218207069</v>
      </c>
      <c r="H14" s="158">
        <v>3.400941921820707E-2</v>
      </c>
      <c r="I14" s="171">
        <v>30287227</v>
      </c>
      <c r="J14" s="1">
        <f t="shared" si="0"/>
        <v>0</v>
      </c>
      <c r="K14" s="1">
        <f t="shared" ref="K14:K52" si="2">+G14/100-H14</f>
        <v>0</v>
      </c>
    </row>
    <row r="15" spans="1:11" ht="14.1" customHeight="1">
      <c r="A15" s="410" t="s">
        <v>237</v>
      </c>
      <c r="B15" s="408">
        <f>'- 3 -'!B13</f>
        <v>83991448</v>
      </c>
      <c r="C15" s="408">
        <v>512160</v>
      </c>
      <c r="D15" s="408">
        <v>0</v>
      </c>
      <c r="E15" s="408">
        <f>SUM(B15:D15)</f>
        <v>84503608</v>
      </c>
      <c r="F15" s="408">
        <f>'- 63 -'!G15</f>
        <v>2791199</v>
      </c>
      <c r="G15" s="335">
        <f t="shared" si="1"/>
        <v>3.3030530483384806</v>
      </c>
      <c r="H15" s="495">
        <v>3.3030530483384807E-2</v>
      </c>
      <c r="I15" s="408">
        <v>84503608</v>
      </c>
      <c r="J15" s="1">
        <f t="shared" si="0"/>
        <v>0</v>
      </c>
      <c r="K15" s="1">
        <f t="shared" si="2"/>
        <v>0</v>
      </c>
    </row>
    <row r="16" spans="1:11" ht="14.1" customHeight="1">
      <c r="A16" s="269" t="s">
        <v>636</v>
      </c>
      <c r="B16" s="171"/>
      <c r="C16" s="171">
        <v>0</v>
      </c>
      <c r="D16" s="171"/>
      <c r="E16" s="171"/>
      <c r="F16" s="171"/>
      <c r="G16" s="448" t="s">
        <v>195</v>
      </c>
      <c r="H16" s="158"/>
      <c r="I16" s="171"/>
      <c r="K16" s="1">
        <v>0</v>
      </c>
    </row>
    <row r="17" spans="1:11" ht="14.1" customHeight="1">
      <c r="A17" s="410" t="s">
        <v>238</v>
      </c>
      <c r="B17" s="408">
        <f>'- 3 -'!B15</f>
        <v>19020704</v>
      </c>
      <c r="C17" s="408">
        <v>1000709</v>
      </c>
      <c r="D17" s="408">
        <v>0</v>
      </c>
      <c r="E17" s="408">
        <f>SUM(B17:D17)</f>
        <v>20021413</v>
      </c>
      <c r="F17" s="408">
        <f>'- 63 -'!G17</f>
        <v>908213</v>
      </c>
      <c r="G17" s="335">
        <f t="shared" si="1"/>
        <v>4.5362083085744249</v>
      </c>
      <c r="H17" s="495">
        <v>4.5362083085744249E-2</v>
      </c>
      <c r="I17" s="408">
        <v>20021413</v>
      </c>
      <c r="J17" s="1">
        <f t="shared" si="0"/>
        <v>0</v>
      </c>
      <c r="K17" s="1">
        <f t="shared" si="2"/>
        <v>0</v>
      </c>
    </row>
    <row r="18" spans="1:11" ht="14.1" customHeight="1">
      <c r="A18" s="269" t="s">
        <v>239</v>
      </c>
      <c r="B18" s="171">
        <f>'- 3 -'!B16</f>
        <v>13042887</v>
      </c>
      <c r="C18" s="171">
        <v>190945</v>
      </c>
      <c r="D18" s="171">
        <v>-92300</v>
      </c>
      <c r="E18" s="171">
        <f>SUM(B18:D18)</f>
        <v>13141532</v>
      </c>
      <c r="F18" s="171">
        <f>'- 63 -'!G18</f>
        <v>685494</v>
      </c>
      <c r="G18" s="79">
        <f t="shared" si="1"/>
        <v>5.2162411505751383</v>
      </c>
      <c r="H18" s="158">
        <v>5.2162411505751384E-2</v>
      </c>
      <c r="I18" s="171">
        <v>13141532</v>
      </c>
      <c r="J18" s="1">
        <f t="shared" si="0"/>
        <v>0</v>
      </c>
      <c r="K18" s="1">
        <f t="shared" si="2"/>
        <v>0</v>
      </c>
    </row>
    <row r="19" spans="1:11" ht="14.1" customHeight="1">
      <c r="A19" s="410" t="s">
        <v>240</v>
      </c>
      <c r="B19" s="408">
        <f>'- 3 -'!B17</f>
        <v>16571968</v>
      </c>
      <c r="C19" s="408">
        <v>405969</v>
      </c>
      <c r="D19" s="408">
        <v>0</v>
      </c>
      <c r="E19" s="408">
        <f>SUM(B19:D19)</f>
        <v>16977937</v>
      </c>
      <c r="F19" s="408">
        <f>'- 63 -'!G19</f>
        <v>794764</v>
      </c>
      <c r="G19" s="335">
        <f t="shared" si="1"/>
        <v>4.6811576695095525</v>
      </c>
      <c r="H19" s="495">
        <v>4.6811576695095523E-2</v>
      </c>
      <c r="I19" s="408">
        <v>16977937</v>
      </c>
      <c r="J19" s="1">
        <f t="shared" si="0"/>
        <v>0</v>
      </c>
      <c r="K19" s="1">
        <f t="shared" si="2"/>
        <v>0</v>
      </c>
    </row>
    <row r="20" spans="1:11" ht="14.1" customHeight="1">
      <c r="A20" s="269" t="s">
        <v>241</v>
      </c>
      <c r="B20" s="171"/>
      <c r="C20" s="171">
        <v>0</v>
      </c>
      <c r="D20" s="171"/>
      <c r="E20" s="171"/>
      <c r="F20" s="171"/>
      <c r="G20" s="448" t="s">
        <v>195</v>
      </c>
      <c r="H20" s="158"/>
      <c r="I20" s="171"/>
      <c r="J20" s="1">
        <f t="shared" si="0"/>
        <v>0</v>
      </c>
      <c r="K20" s="1">
        <v>0</v>
      </c>
    </row>
    <row r="21" spans="1:11" ht="14.1" customHeight="1">
      <c r="A21" s="410" t="s">
        <v>242</v>
      </c>
      <c r="B21" s="408">
        <f>'- 3 -'!B19</f>
        <v>43695507</v>
      </c>
      <c r="C21" s="408">
        <v>988579</v>
      </c>
      <c r="D21" s="408">
        <v>0</v>
      </c>
      <c r="E21" s="408">
        <f t="shared" ref="E21:E48" si="3">SUM(B21:D21)</f>
        <v>44684086</v>
      </c>
      <c r="F21" s="408">
        <f>'- 63 -'!G21</f>
        <v>1601944</v>
      </c>
      <c r="G21" s="335">
        <f t="shared" si="1"/>
        <v>3.5850436775186583</v>
      </c>
      <c r="H21" s="495">
        <v>3.5850436775186581E-2</v>
      </c>
      <c r="I21" s="408">
        <v>44684086</v>
      </c>
      <c r="J21" s="1">
        <f t="shared" si="0"/>
        <v>0</v>
      </c>
      <c r="K21" s="1">
        <f t="shared" si="2"/>
        <v>0</v>
      </c>
    </row>
    <row r="22" spans="1:11" ht="14.1" customHeight="1">
      <c r="A22" s="269" t="s">
        <v>243</v>
      </c>
      <c r="B22" s="171">
        <f>'- 3 -'!B20</f>
        <v>71678130</v>
      </c>
      <c r="C22" s="171">
        <v>2320830</v>
      </c>
      <c r="D22" s="171">
        <v>0</v>
      </c>
      <c r="E22" s="171">
        <f t="shared" si="3"/>
        <v>73998960</v>
      </c>
      <c r="F22" s="171">
        <f>'- 63 -'!G22</f>
        <v>2552302</v>
      </c>
      <c r="G22" s="79">
        <f t="shared" si="1"/>
        <v>3.4491052306681063</v>
      </c>
      <c r="H22" s="158">
        <v>3.4491052306681064E-2</v>
      </c>
      <c r="I22" s="171">
        <v>73998960</v>
      </c>
      <c r="J22" s="1">
        <f t="shared" si="0"/>
        <v>0</v>
      </c>
      <c r="K22" s="1">
        <f t="shared" si="2"/>
        <v>0</v>
      </c>
    </row>
    <row r="23" spans="1:11" ht="14.1" customHeight="1">
      <c r="A23" s="410" t="s">
        <v>244</v>
      </c>
      <c r="B23" s="408">
        <f>'- 3 -'!B21</f>
        <v>34967316</v>
      </c>
      <c r="C23" s="408">
        <v>234052</v>
      </c>
      <c r="D23" s="408">
        <v>0</v>
      </c>
      <c r="E23" s="408">
        <f t="shared" si="3"/>
        <v>35201368</v>
      </c>
      <c r="F23" s="408">
        <f>'- 63 -'!G23</f>
        <v>1649799</v>
      </c>
      <c r="G23" s="335">
        <f t="shared" si="1"/>
        <v>4.6867468332480708</v>
      </c>
      <c r="H23" s="495">
        <v>4.6867468332480712E-2</v>
      </c>
      <c r="I23" s="408">
        <v>35201368</v>
      </c>
      <c r="J23" s="1">
        <f t="shared" si="0"/>
        <v>0</v>
      </c>
      <c r="K23" s="1">
        <f t="shared" si="2"/>
        <v>0</v>
      </c>
    </row>
    <row r="24" spans="1:11" ht="14.1" customHeight="1">
      <c r="A24" s="269" t="s">
        <v>245</v>
      </c>
      <c r="B24" s="171">
        <f>'- 3 -'!B22</f>
        <v>19289239</v>
      </c>
      <c r="C24" s="171">
        <v>52963</v>
      </c>
      <c r="D24" s="171">
        <v>-594324</v>
      </c>
      <c r="E24" s="171">
        <f t="shared" si="3"/>
        <v>18747878</v>
      </c>
      <c r="F24" s="171">
        <f>'- 63 -'!G24</f>
        <v>899299</v>
      </c>
      <c r="G24" s="79">
        <f t="shared" si="1"/>
        <v>4.7968042036544078</v>
      </c>
      <c r="H24" s="158">
        <v>4.7968042036544083E-2</v>
      </c>
      <c r="I24" s="171">
        <v>18747878</v>
      </c>
      <c r="J24" s="1">
        <f t="shared" si="0"/>
        <v>0</v>
      </c>
      <c r="K24" s="1">
        <f t="shared" si="2"/>
        <v>0</v>
      </c>
    </row>
    <row r="25" spans="1:11" ht="14.1" customHeight="1">
      <c r="A25" s="410" t="s">
        <v>246</v>
      </c>
      <c r="B25" s="408">
        <f>'- 3 -'!B23</f>
        <v>16281174</v>
      </c>
      <c r="C25" s="408">
        <v>554812</v>
      </c>
      <c r="D25" s="408">
        <v>-283944</v>
      </c>
      <c r="E25" s="408">
        <f t="shared" si="3"/>
        <v>16552042</v>
      </c>
      <c r="F25" s="408">
        <f>'- 63 -'!G25</f>
        <v>761016</v>
      </c>
      <c r="G25" s="335">
        <f t="shared" si="1"/>
        <v>4.5977167046821172</v>
      </c>
      <c r="H25" s="495">
        <v>4.5977167046821171E-2</v>
      </c>
      <c r="I25" s="408">
        <v>16552042</v>
      </c>
      <c r="J25" s="1">
        <f t="shared" si="0"/>
        <v>0</v>
      </c>
      <c r="K25" s="1">
        <f t="shared" si="2"/>
        <v>0</v>
      </c>
    </row>
    <row r="26" spans="1:11" ht="14.1" customHeight="1">
      <c r="A26" s="269" t="s">
        <v>247</v>
      </c>
      <c r="B26" s="171">
        <f>'- 3 -'!B24</f>
        <v>52471411</v>
      </c>
      <c r="C26" s="171">
        <v>958790</v>
      </c>
      <c r="D26" s="171">
        <v>-342519</v>
      </c>
      <c r="E26" s="171">
        <f t="shared" si="3"/>
        <v>53087682</v>
      </c>
      <c r="F26" s="171">
        <f>'- 63 -'!G26</f>
        <v>2089385</v>
      </c>
      <c r="G26" s="79">
        <f t="shared" si="1"/>
        <v>3.9357246752645936</v>
      </c>
      <c r="H26" s="158">
        <v>3.9357246752645937E-2</v>
      </c>
      <c r="I26" s="171">
        <v>53087682</v>
      </c>
      <c r="J26" s="1">
        <f t="shared" si="0"/>
        <v>0</v>
      </c>
      <c r="K26" s="1">
        <f t="shared" si="2"/>
        <v>0</v>
      </c>
    </row>
    <row r="27" spans="1:11" ht="14.1" customHeight="1">
      <c r="A27" s="410" t="s">
        <v>248</v>
      </c>
      <c r="B27" s="408">
        <f>'- 3 -'!B25</f>
        <v>155403286</v>
      </c>
      <c r="C27" s="408">
        <v>2180707</v>
      </c>
      <c r="D27" s="408">
        <v>0</v>
      </c>
      <c r="E27" s="408">
        <f t="shared" si="3"/>
        <v>157583993</v>
      </c>
      <c r="F27" s="408">
        <f>'- 63 -'!G27</f>
        <v>5695416</v>
      </c>
      <c r="G27" s="335">
        <f t="shared" si="1"/>
        <v>3.6142097249687026</v>
      </c>
      <c r="H27" s="495">
        <v>3.6142097249687026E-2</v>
      </c>
      <c r="I27" s="408">
        <v>157583993</v>
      </c>
      <c r="J27" s="1">
        <f t="shared" si="0"/>
        <v>0</v>
      </c>
      <c r="K27" s="1">
        <f t="shared" si="2"/>
        <v>0</v>
      </c>
    </row>
    <row r="28" spans="1:11" ht="14.1" customHeight="1">
      <c r="A28" s="269" t="s">
        <v>249</v>
      </c>
      <c r="B28" s="171">
        <f>'- 3 -'!B26</f>
        <v>37605259</v>
      </c>
      <c r="C28" s="171">
        <v>601069</v>
      </c>
      <c r="D28" s="171">
        <v>0</v>
      </c>
      <c r="E28" s="171">
        <f t="shared" si="3"/>
        <v>38206328</v>
      </c>
      <c r="F28" s="171">
        <f>'- 63 -'!G28</f>
        <v>1513841</v>
      </c>
      <c r="G28" s="79">
        <f t="shared" si="1"/>
        <v>3.9622781859591427</v>
      </c>
      <c r="H28" s="158">
        <v>3.9622781859591429E-2</v>
      </c>
      <c r="I28" s="171">
        <v>38206328</v>
      </c>
      <c r="J28" s="1">
        <f t="shared" si="0"/>
        <v>0</v>
      </c>
      <c r="K28" s="1">
        <f t="shared" si="2"/>
        <v>0</v>
      </c>
    </row>
    <row r="29" spans="1:11" ht="14.1" customHeight="1">
      <c r="A29" s="410" t="s">
        <v>250</v>
      </c>
      <c r="B29" s="408">
        <f>'- 3 -'!B27</f>
        <v>36795785</v>
      </c>
      <c r="C29" s="408">
        <v>781078</v>
      </c>
      <c r="D29" s="408">
        <v>0</v>
      </c>
      <c r="E29" s="408">
        <f t="shared" si="3"/>
        <v>37576863</v>
      </c>
      <c r="F29" s="408">
        <f>'- 63 -'!G29</f>
        <v>1766823</v>
      </c>
      <c r="G29" s="335">
        <f t="shared" si="1"/>
        <v>4.7018906288159288</v>
      </c>
      <c r="H29" s="495">
        <v>4.7018906288159287E-2</v>
      </c>
      <c r="I29" s="408">
        <v>37576863</v>
      </c>
      <c r="J29" s="1">
        <f t="shared" si="0"/>
        <v>0</v>
      </c>
      <c r="K29" s="1">
        <f t="shared" si="2"/>
        <v>0</v>
      </c>
    </row>
    <row r="30" spans="1:11" ht="14.1" customHeight="1">
      <c r="A30" s="269" t="s">
        <v>251</v>
      </c>
      <c r="B30" s="171">
        <f>'- 3 -'!B28</f>
        <v>27118351</v>
      </c>
      <c r="C30" s="171">
        <v>42416</v>
      </c>
      <c r="D30" s="171">
        <v>-160292</v>
      </c>
      <c r="E30" s="171">
        <f t="shared" si="3"/>
        <v>27000475</v>
      </c>
      <c r="F30" s="171">
        <f>'- 63 -'!G30</f>
        <v>1134960</v>
      </c>
      <c r="G30" s="79">
        <f t="shared" si="1"/>
        <v>4.2034816054162008</v>
      </c>
      <c r="H30" s="158">
        <v>4.2034816054162011E-2</v>
      </c>
      <c r="I30" s="171">
        <v>27000475</v>
      </c>
      <c r="J30" s="1">
        <f t="shared" si="0"/>
        <v>0</v>
      </c>
      <c r="K30" s="1">
        <f t="shared" si="2"/>
        <v>0</v>
      </c>
    </row>
    <row r="31" spans="1:11" ht="14.1" customHeight="1">
      <c r="A31" s="410" t="s">
        <v>252</v>
      </c>
      <c r="B31" s="408">
        <f>'- 3 -'!B29</f>
        <v>142793051</v>
      </c>
      <c r="C31" s="408">
        <v>1508744</v>
      </c>
      <c r="D31" s="408">
        <v>0</v>
      </c>
      <c r="E31" s="408">
        <f t="shared" si="3"/>
        <v>144301795</v>
      </c>
      <c r="F31" s="408">
        <f>'- 63 -'!G31</f>
        <v>5164885</v>
      </c>
      <c r="G31" s="335">
        <f t="shared" si="1"/>
        <v>3.579224360999806</v>
      </c>
      <c r="H31" s="495">
        <v>3.579224360999806E-2</v>
      </c>
      <c r="I31" s="408">
        <v>144301795</v>
      </c>
      <c r="J31" s="1">
        <f t="shared" si="0"/>
        <v>0</v>
      </c>
      <c r="K31" s="1">
        <f t="shared" si="2"/>
        <v>0</v>
      </c>
    </row>
    <row r="32" spans="1:11" ht="14.1" customHeight="1">
      <c r="A32" s="269" t="s">
        <v>253</v>
      </c>
      <c r="B32" s="171">
        <f>'- 3 -'!B30</f>
        <v>13487922</v>
      </c>
      <c r="C32" s="171">
        <v>399075</v>
      </c>
      <c r="D32" s="171">
        <v>0</v>
      </c>
      <c r="E32" s="171">
        <f t="shared" si="3"/>
        <v>13886997</v>
      </c>
      <c r="F32" s="171">
        <f>'- 63 -'!G32</f>
        <v>642681</v>
      </c>
      <c r="G32" s="79">
        <f t="shared" si="1"/>
        <v>4.6279335986030672</v>
      </c>
      <c r="H32" s="158">
        <v>4.6279335986030672E-2</v>
      </c>
      <c r="I32" s="171">
        <v>13886997</v>
      </c>
      <c r="J32" s="1">
        <f t="shared" si="0"/>
        <v>0</v>
      </c>
      <c r="K32" s="1">
        <f t="shared" si="2"/>
        <v>0</v>
      </c>
    </row>
    <row r="33" spans="1:11" ht="14.1" customHeight="1">
      <c r="A33" s="410" t="s">
        <v>254</v>
      </c>
      <c r="B33" s="408">
        <f>'- 3 -'!B31</f>
        <v>33753036</v>
      </c>
      <c r="C33" s="408">
        <v>292368</v>
      </c>
      <c r="D33" s="408">
        <v>0</v>
      </c>
      <c r="E33" s="408">
        <f t="shared" si="3"/>
        <v>34045404</v>
      </c>
      <c r="F33" s="408">
        <f>'- 63 -'!G33</f>
        <v>1234669</v>
      </c>
      <c r="G33" s="335">
        <f t="shared" si="1"/>
        <v>3.6265364922677965</v>
      </c>
      <c r="H33" s="495">
        <v>3.6265364922677963E-2</v>
      </c>
      <c r="I33" s="408">
        <v>34045404</v>
      </c>
      <c r="J33" s="1">
        <f t="shared" si="0"/>
        <v>0</v>
      </c>
      <c r="K33" s="1">
        <f t="shared" si="2"/>
        <v>0</v>
      </c>
    </row>
    <row r="34" spans="1:11" ht="14.1" customHeight="1">
      <c r="A34" s="269" t="s">
        <v>255</v>
      </c>
      <c r="B34" s="171">
        <f>'- 3 -'!B32</f>
        <v>26258725</v>
      </c>
      <c r="C34" s="171">
        <v>291959</v>
      </c>
      <c r="D34" s="171">
        <v>-258719</v>
      </c>
      <c r="E34" s="171">
        <f t="shared" si="3"/>
        <v>26291965</v>
      </c>
      <c r="F34" s="171">
        <f>'- 63 -'!G34</f>
        <v>1171780</v>
      </c>
      <c r="G34" s="79">
        <f t="shared" si="1"/>
        <v>4.4567988737243489</v>
      </c>
      <c r="H34" s="158">
        <v>4.4567988737243491E-2</v>
      </c>
      <c r="I34" s="171">
        <v>26291965</v>
      </c>
      <c r="J34" s="1">
        <f t="shared" si="0"/>
        <v>0</v>
      </c>
      <c r="K34" s="1">
        <f t="shared" si="2"/>
        <v>0</v>
      </c>
    </row>
    <row r="35" spans="1:11" ht="14.1" customHeight="1">
      <c r="A35" s="410" t="s">
        <v>256</v>
      </c>
      <c r="B35" s="408">
        <f>'- 3 -'!B33</f>
        <v>26286278</v>
      </c>
      <c r="C35" s="408">
        <v>1148456</v>
      </c>
      <c r="D35" s="408">
        <v>0</v>
      </c>
      <c r="E35" s="408">
        <f t="shared" si="3"/>
        <v>27434734</v>
      </c>
      <c r="F35" s="408">
        <f>'- 63 -'!G35</f>
        <v>973696</v>
      </c>
      <c r="G35" s="335">
        <f t="shared" si="1"/>
        <v>3.5491359238256144</v>
      </c>
      <c r="H35" s="495">
        <v>3.5491359238256144E-2</v>
      </c>
      <c r="I35" s="408">
        <v>27434734</v>
      </c>
      <c r="J35" s="1">
        <f t="shared" si="0"/>
        <v>0</v>
      </c>
      <c r="K35" s="1">
        <f t="shared" si="2"/>
        <v>0</v>
      </c>
    </row>
    <row r="36" spans="1:11" ht="14.1" customHeight="1">
      <c r="A36" s="269" t="s">
        <v>257</v>
      </c>
      <c r="B36" s="171">
        <f>'- 3 -'!B34</f>
        <v>25636631</v>
      </c>
      <c r="C36" s="171">
        <v>832173</v>
      </c>
      <c r="D36" s="171">
        <v>0</v>
      </c>
      <c r="E36" s="171">
        <f t="shared" si="3"/>
        <v>26468804</v>
      </c>
      <c r="F36" s="171">
        <f>'- 63 -'!G36</f>
        <v>1087632</v>
      </c>
      <c r="G36" s="79">
        <f t="shared" si="1"/>
        <v>4.1091089722074337</v>
      </c>
      <c r="H36" s="158">
        <v>4.1091089722074335E-2</v>
      </c>
      <c r="I36" s="171">
        <v>26468804</v>
      </c>
      <c r="J36" s="1">
        <f t="shared" si="0"/>
        <v>0</v>
      </c>
      <c r="K36" s="1">
        <f t="shared" si="2"/>
        <v>0</v>
      </c>
    </row>
    <row r="37" spans="1:11" ht="14.1" customHeight="1">
      <c r="A37" s="410" t="s">
        <v>258</v>
      </c>
      <c r="B37" s="408">
        <f>'- 3 -'!B35</f>
        <v>171907549</v>
      </c>
      <c r="C37" s="408">
        <v>4570177</v>
      </c>
      <c r="D37" s="408">
        <v>-980623</v>
      </c>
      <c r="E37" s="408">
        <f t="shared" si="3"/>
        <v>175497103</v>
      </c>
      <c r="F37" s="408">
        <f>'- 63 -'!G37</f>
        <v>6048792</v>
      </c>
      <c r="G37" s="335">
        <f t="shared" si="1"/>
        <v>3.4466620226773772</v>
      </c>
      <c r="H37" s="495">
        <v>3.446662022677377E-2</v>
      </c>
      <c r="I37" s="408">
        <v>175497103</v>
      </c>
      <c r="J37" s="1">
        <f t="shared" si="0"/>
        <v>0</v>
      </c>
      <c r="K37" s="1">
        <f t="shared" si="2"/>
        <v>0</v>
      </c>
    </row>
    <row r="38" spans="1:11" ht="14.1" customHeight="1">
      <c r="A38" s="269" t="s">
        <v>259</v>
      </c>
      <c r="B38" s="171">
        <f>'- 3 -'!B36</f>
        <v>21631340</v>
      </c>
      <c r="C38" s="171">
        <v>1250104</v>
      </c>
      <c r="D38" s="171">
        <v>-115224</v>
      </c>
      <c r="E38" s="171">
        <f t="shared" si="3"/>
        <v>22766220</v>
      </c>
      <c r="F38" s="171">
        <f>'- 63 -'!G38</f>
        <v>1013206</v>
      </c>
      <c r="G38" s="79">
        <f t="shared" si="1"/>
        <v>4.4504797019443725</v>
      </c>
      <c r="H38" s="158">
        <v>4.4504797019443723E-2</v>
      </c>
      <c r="I38" s="171">
        <v>22766220</v>
      </c>
      <c r="J38" s="1">
        <f t="shared" si="0"/>
        <v>0</v>
      </c>
      <c r="K38" s="1">
        <f t="shared" si="2"/>
        <v>0</v>
      </c>
    </row>
    <row r="39" spans="1:11" ht="14.1" customHeight="1">
      <c r="A39" s="410" t="s">
        <v>260</v>
      </c>
      <c r="B39" s="408">
        <f>'- 3 -'!B37</f>
        <v>43023615</v>
      </c>
      <c r="C39" s="408">
        <v>637107</v>
      </c>
      <c r="D39" s="408">
        <v>-293136</v>
      </c>
      <c r="E39" s="408">
        <f t="shared" si="3"/>
        <v>43367586</v>
      </c>
      <c r="F39" s="408">
        <f>'- 63 -'!G39</f>
        <v>1687497</v>
      </c>
      <c r="G39" s="335">
        <f t="shared" si="1"/>
        <v>3.8911481031017034</v>
      </c>
      <c r="H39" s="495">
        <v>3.8911481031017034E-2</v>
      </c>
      <c r="I39" s="408">
        <v>43367586</v>
      </c>
      <c r="J39" s="1">
        <f t="shared" si="0"/>
        <v>0</v>
      </c>
      <c r="K39" s="1">
        <f t="shared" si="2"/>
        <v>0</v>
      </c>
    </row>
    <row r="40" spans="1:11" ht="14.1" customHeight="1">
      <c r="A40" s="269" t="s">
        <v>261</v>
      </c>
      <c r="B40" s="171">
        <f>'- 3 -'!B38</f>
        <v>116292071</v>
      </c>
      <c r="C40" s="171">
        <v>4440721</v>
      </c>
      <c r="D40" s="171">
        <v>-820718</v>
      </c>
      <c r="E40" s="171">
        <f t="shared" si="3"/>
        <v>119912074</v>
      </c>
      <c r="F40" s="171">
        <f>'- 63 -'!G40</f>
        <v>4044904</v>
      </c>
      <c r="G40" s="79">
        <f t="shared" si="1"/>
        <v>3.3732249514756951</v>
      </c>
      <c r="H40" s="158">
        <v>3.3732249514756951E-2</v>
      </c>
      <c r="I40" s="171">
        <v>119912074</v>
      </c>
      <c r="J40" s="1">
        <f t="shared" si="0"/>
        <v>0</v>
      </c>
      <c r="K40" s="1">
        <f t="shared" si="2"/>
        <v>0</v>
      </c>
    </row>
    <row r="41" spans="1:11" ht="14.1" customHeight="1">
      <c r="A41" s="410" t="s">
        <v>262</v>
      </c>
      <c r="B41" s="408">
        <f>'- 3 -'!B39</f>
        <v>20394689</v>
      </c>
      <c r="C41" s="408">
        <v>667115</v>
      </c>
      <c r="D41" s="408">
        <v>0</v>
      </c>
      <c r="E41" s="408">
        <f t="shared" si="3"/>
        <v>21061804</v>
      </c>
      <c r="F41" s="408">
        <f>'- 63 -'!G41</f>
        <v>954399</v>
      </c>
      <c r="G41" s="335">
        <f t="shared" si="1"/>
        <v>4.5314209552040268</v>
      </c>
      <c r="H41" s="495">
        <v>4.5314209552040269E-2</v>
      </c>
      <c r="I41" s="408">
        <v>21061804</v>
      </c>
      <c r="J41" s="1">
        <f t="shared" si="0"/>
        <v>0</v>
      </c>
      <c r="K41" s="1">
        <f t="shared" si="2"/>
        <v>0</v>
      </c>
    </row>
    <row r="42" spans="1:11" ht="14.1" customHeight="1">
      <c r="A42" s="269" t="s">
        <v>263</v>
      </c>
      <c r="B42" s="171">
        <f>'- 3 -'!B40</f>
        <v>95618172</v>
      </c>
      <c r="C42" s="171">
        <v>1736718</v>
      </c>
      <c r="D42" s="171">
        <v>0</v>
      </c>
      <c r="E42" s="171">
        <f t="shared" si="3"/>
        <v>97354890</v>
      </c>
      <c r="F42" s="171">
        <f>'- 63 -'!G42</f>
        <v>3494029</v>
      </c>
      <c r="G42" s="79">
        <f t="shared" si="1"/>
        <v>3.5889609653916716</v>
      </c>
      <c r="H42" s="158">
        <v>3.5889609653916715E-2</v>
      </c>
      <c r="I42" s="171">
        <v>97354890</v>
      </c>
      <c r="J42" s="1">
        <f t="shared" si="0"/>
        <v>0</v>
      </c>
      <c r="K42" s="1">
        <f t="shared" si="2"/>
        <v>0</v>
      </c>
    </row>
    <row r="43" spans="1:11" ht="14.1" customHeight="1">
      <c r="A43" s="410" t="s">
        <v>264</v>
      </c>
      <c r="B43" s="408">
        <f>'- 3 -'!B41</f>
        <v>59361579</v>
      </c>
      <c r="C43" s="408">
        <v>1350873</v>
      </c>
      <c r="D43" s="408">
        <v>-943773</v>
      </c>
      <c r="E43" s="408">
        <f t="shared" si="3"/>
        <v>59768679</v>
      </c>
      <c r="F43" s="408">
        <f>'- 63 -'!G43</f>
        <v>2531641</v>
      </c>
      <c r="G43" s="335">
        <f t="shared" si="1"/>
        <v>4.2357318956304857</v>
      </c>
      <c r="H43" s="495">
        <v>4.235731895630486E-2</v>
      </c>
      <c r="I43" s="408">
        <v>59768679</v>
      </c>
      <c r="J43" s="1">
        <f t="shared" si="0"/>
        <v>0</v>
      </c>
      <c r="K43" s="1">
        <f t="shared" si="2"/>
        <v>0</v>
      </c>
    </row>
    <row r="44" spans="1:11" ht="14.1" customHeight="1">
      <c r="A44" s="269" t="s">
        <v>265</v>
      </c>
      <c r="B44" s="171">
        <f>'- 3 -'!B42</f>
        <v>20148323</v>
      </c>
      <c r="C44" s="171">
        <v>736173</v>
      </c>
      <c r="D44" s="171">
        <v>0</v>
      </c>
      <c r="E44" s="171">
        <f t="shared" si="3"/>
        <v>20884496</v>
      </c>
      <c r="F44" s="171">
        <f>'- 63 -'!G44</f>
        <v>923005</v>
      </c>
      <c r="G44" s="79">
        <f t="shared" si="1"/>
        <v>4.4195703836951576</v>
      </c>
      <c r="H44" s="158">
        <v>4.419570383695158E-2</v>
      </c>
      <c r="I44" s="171">
        <v>20884496</v>
      </c>
      <c r="J44" s="1">
        <f t="shared" si="0"/>
        <v>0</v>
      </c>
      <c r="K44" s="1">
        <f t="shared" si="2"/>
        <v>0</v>
      </c>
    </row>
    <row r="45" spans="1:11" ht="14.1" customHeight="1">
      <c r="A45" s="410" t="s">
        <v>266</v>
      </c>
      <c r="B45" s="408">
        <f>'- 3 -'!B43</f>
        <v>12360152</v>
      </c>
      <c r="C45" s="408">
        <v>422257</v>
      </c>
      <c r="D45" s="408">
        <v>-208707</v>
      </c>
      <c r="E45" s="408">
        <f t="shared" si="3"/>
        <v>12573702</v>
      </c>
      <c r="F45" s="408">
        <f>'- 63 -'!G45</f>
        <v>571310</v>
      </c>
      <c r="G45" s="335">
        <f t="shared" si="1"/>
        <v>4.5436896786642471</v>
      </c>
      <c r="H45" s="495">
        <v>4.5436896786642471E-2</v>
      </c>
      <c r="I45" s="408">
        <v>12573702</v>
      </c>
      <c r="J45" s="1">
        <f t="shared" si="0"/>
        <v>0</v>
      </c>
      <c r="K45" s="1">
        <f t="shared" si="2"/>
        <v>0</v>
      </c>
    </row>
    <row r="46" spans="1:11" ht="14.1" customHeight="1">
      <c r="A46" s="269" t="s">
        <v>267</v>
      </c>
      <c r="B46" s="171">
        <f>'- 3 -'!B44</f>
        <v>10470890</v>
      </c>
      <c r="C46" s="171">
        <v>498786</v>
      </c>
      <c r="D46" s="171">
        <v>0</v>
      </c>
      <c r="E46" s="171">
        <f t="shared" si="3"/>
        <v>10969676</v>
      </c>
      <c r="F46" s="171">
        <f>'- 63 -'!G46</f>
        <v>403765</v>
      </c>
      <c r="G46" s="79">
        <f t="shared" si="1"/>
        <v>3.6807376990897449</v>
      </c>
      <c r="H46" s="158">
        <v>3.680737699089745E-2</v>
      </c>
      <c r="I46" s="171">
        <v>10969676</v>
      </c>
      <c r="J46" s="1">
        <f t="shared" si="0"/>
        <v>0</v>
      </c>
      <c r="K46" s="1">
        <f t="shared" si="2"/>
        <v>0</v>
      </c>
    </row>
    <row r="47" spans="1:11" ht="14.1" customHeight="1">
      <c r="A47" s="410" t="s">
        <v>268</v>
      </c>
      <c r="B47" s="408">
        <f>'- 3 -'!B45</f>
        <v>17131425</v>
      </c>
      <c r="C47" s="408">
        <v>513335</v>
      </c>
      <c r="D47" s="408">
        <v>-361890</v>
      </c>
      <c r="E47" s="408">
        <f t="shared" si="3"/>
        <v>17282870</v>
      </c>
      <c r="F47" s="408">
        <f>'- 63 -'!G47</f>
        <v>757038</v>
      </c>
      <c r="G47" s="335">
        <f t="shared" si="1"/>
        <v>4.3802794327562493</v>
      </c>
      <c r="H47" s="495">
        <v>4.3802794327562497E-2</v>
      </c>
      <c r="I47" s="408">
        <v>17282870</v>
      </c>
      <c r="J47" s="1">
        <f t="shared" si="0"/>
        <v>0</v>
      </c>
      <c r="K47" s="1">
        <f t="shared" si="2"/>
        <v>0</v>
      </c>
    </row>
    <row r="48" spans="1:11" ht="14.1" customHeight="1">
      <c r="A48" s="269" t="s">
        <v>269</v>
      </c>
      <c r="B48" s="171">
        <f>'- 3 -'!B46</f>
        <v>358343492</v>
      </c>
      <c r="C48" s="171">
        <v>2233550</v>
      </c>
      <c r="D48" s="171">
        <v>-750992</v>
      </c>
      <c r="E48" s="171">
        <f t="shared" si="3"/>
        <v>359826050</v>
      </c>
      <c r="F48" s="171">
        <f>'- 63 -'!G48</f>
        <v>10422773</v>
      </c>
      <c r="G48" s="79">
        <f t="shared" si="1"/>
        <v>2.8966143501839294</v>
      </c>
      <c r="H48" s="158">
        <v>2.8966143501839292E-2</v>
      </c>
      <c r="I48" s="171">
        <v>359826050</v>
      </c>
      <c r="J48" s="1">
        <f t="shared" si="0"/>
        <v>0</v>
      </c>
      <c r="K48" s="1">
        <f t="shared" si="2"/>
        <v>0</v>
      </c>
    </row>
    <row r="49" spans="1:11" ht="5.0999999999999996" customHeight="1">
      <c r="A49" s="148"/>
      <c r="B49" s="172"/>
      <c r="C49" s="172"/>
      <c r="D49" s="172"/>
      <c r="E49" s="172"/>
      <c r="F49" s="172"/>
      <c r="G49"/>
      <c r="H49" s="149"/>
      <c r="I49" s="172"/>
    </row>
    <row r="50" spans="1:11" ht="14.45" customHeight="1">
      <c r="A50" s="411" t="s">
        <v>270</v>
      </c>
      <c r="B50" s="412">
        <f>SUM(B13:B48)</f>
        <v>1889686484</v>
      </c>
      <c r="C50" s="412">
        <f>SUM(C13:C48)</f>
        <v>35223522</v>
      </c>
      <c r="D50" s="412">
        <f>SUM(D13:D48)</f>
        <v>-6699791</v>
      </c>
      <c r="E50" s="412">
        <f>SUM(E13:E48)</f>
        <v>1918210215</v>
      </c>
      <c r="F50" s="412">
        <f>SUM(F13:F48)</f>
        <v>69708293</v>
      </c>
      <c r="G50" s="338">
        <f t="shared" si="1"/>
        <v>3.6340278273411233</v>
      </c>
      <c r="H50" s="496"/>
      <c r="I50" s="412">
        <f>SUM(I13:I48)</f>
        <v>1918210215</v>
      </c>
      <c r="J50" s="1">
        <f>I50-E50</f>
        <v>0</v>
      </c>
    </row>
    <row r="51" spans="1:11" ht="5.0999999999999996" customHeight="1">
      <c r="A51" s="148" t="s">
        <v>16</v>
      </c>
      <c r="B51" s="172"/>
      <c r="C51" s="172"/>
      <c r="D51" s="172"/>
      <c r="E51" s="172"/>
      <c r="F51" s="172"/>
      <c r="G51"/>
      <c r="H51" s="149"/>
      <c r="I51" s="172"/>
    </row>
    <row r="52" spans="1:11" ht="14.45" customHeight="1">
      <c r="A52" s="269" t="s">
        <v>271</v>
      </c>
      <c r="B52" s="171">
        <f>'- 3 -'!B50</f>
        <v>3189342</v>
      </c>
      <c r="C52" s="171">
        <v>50471</v>
      </c>
      <c r="D52" s="171">
        <v>0</v>
      </c>
      <c r="E52" s="171">
        <f>SUM(B52:D52)</f>
        <v>3239813</v>
      </c>
      <c r="F52" s="171">
        <f>'- 63 -'!G52</f>
        <v>250535</v>
      </c>
      <c r="G52" s="79">
        <f t="shared" si="1"/>
        <v>7.7330080470693829</v>
      </c>
      <c r="H52" s="158">
        <v>7.7330080470693827E-2</v>
      </c>
      <c r="I52" s="171">
        <v>3239813</v>
      </c>
      <c r="J52" s="1">
        <f>I52-E52</f>
        <v>0</v>
      </c>
      <c r="K52" s="1">
        <f t="shared" si="2"/>
        <v>0</v>
      </c>
    </row>
    <row r="53" spans="1:11" ht="50.1" customHeight="1">
      <c r="A53" s="30"/>
      <c r="B53" s="30"/>
      <c r="C53" s="30"/>
      <c r="D53" s="30"/>
      <c r="E53" s="30"/>
      <c r="F53" s="30"/>
      <c r="G53" s="30"/>
    </row>
    <row r="54" spans="1:11" ht="14.45" customHeight="1">
      <c r="A54" s="637" t="s">
        <v>597</v>
      </c>
      <c r="B54" s="293"/>
      <c r="C54" s="293"/>
      <c r="D54" s="293"/>
      <c r="E54" s="206"/>
      <c r="F54" s="206"/>
      <c r="G54" s="206"/>
    </row>
    <row r="55" spans="1:11" ht="12" customHeight="1">
      <c r="A55" s="45" t="s">
        <v>593</v>
      </c>
      <c r="B55" s="45"/>
      <c r="C55" s="45"/>
      <c r="D55" s="45"/>
    </row>
    <row r="56" spans="1:11" ht="14.45" customHeight="1">
      <c r="A56" s="45"/>
      <c r="B56" s="45"/>
      <c r="C56" s="45"/>
      <c r="D56" s="45"/>
    </row>
    <row r="57" spans="1:11" ht="14.45" customHeight="1">
      <c r="A57" s="45"/>
      <c r="B57" s="45"/>
      <c r="C57" s="45"/>
      <c r="D57" s="45"/>
    </row>
    <row r="58" spans="1:11" ht="14.45" customHeight="1">
      <c r="A58" s="45"/>
      <c r="B58" s="45"/>
      <c r="C58" s="45"/>
      <c r="D58" s="45"/>
    </row>
    <row r="59" spans="1:11">
      <c r="A59" s="45"/>
    </row>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cols>
    <col min="1" max="1" width="28.1640625" style="606" customWidth="1"/>
    <col min="2" max="2" width="16.83203125" style="610" bestFit="1" customWidth="1"/>
    <col min="3" max="3" width="13" style="606" customWidth="1"/>
    <col min="4" max="4" width="11.83203125" style="606" customWidth="1"/>
    <col min="5" max="5" width="15.1640625" style="606" customWidth="1"/>
    <col min="6" max="6" width="15.5" style="606" customWidth="1"/>
    <col min="7" max="7" width="14.33203125" style="606" customWidth="1"/>
    <col min="8" max="8" width="8.5" style="606" customWidth="1"/>
    <col min="9" max="9" width="11.83203125" style="606" customWidth="1"/>
    <col min="10" max="16384" width="15.83203125" style="606"/>
  </cols>
  <sheetData>
    <row r="1" spans="1:9">
      <c r="A1" s="657"/>
      <c r="B1" s="658"/>
      <c r="C1" s="659"/>
      <c r="D1" s="659"/>
      <c r="E1" s="659"/>
      <c r="F1" s="659"/>
      <c r="G1" s="659"/>
      <c r="H1" s="659"/>
      <c r="I1" s="659"/>
    </row>
    <row r="2" spans="1:9" s="607" customFormat="1" ht="15.95" customHeight="1">
      <c r="A2" s="746" t="s">
        <v>687</v>
      </c>
      <c r="B2" s="746"/>
      <c r="C2" s="746"/>
      <c r="D2" s="746"/>
      <c r="E2" s="746"/>
      <c r="F2" s="746"/>
      <c r="G2" s="746"/>
      <c r="H2" s="746"/>
      <c r="I2" s="660"/>
    </row>
    <row r="3" spans="1:9" s="607" customFormat="1" ht="16.5" customHeight="1">
      <c r="A3" s="747" t="str">
        <f>Data!B5&amp;" "&amp;"ACTUAL"</f>
        <v>2013/14 ACTUAL</v>
      </c>
      <c r="B3" s="747"/>
      <c r="C3" s="747"/>
      <c r="D3" s="747"/>
      <c r="E3" s="747"/>
      <c r="F3" s="747"/>
      <c r="G3" s="747"/>
      <c r="H3" s="747"/>
      <c r="I3" s="661"/>
    </row>
    <row r="4" spans="1:9">
      <c r="A4" s="659"/>
      <c r="B4" s="662"/>
      <c r="C4" s="659"/>
      <c r="D4" s="659"/>
      <c r="E4" s="659"/>
      <c r="F4" s="659"/>
      <c r="G4" s="659"/>
      <c r="H4" s="659"/>
      <c r="I4" s="659"/>
    </row>
    <row r="5" spans="1:9">
      <c r="A5" s="659"/>
      <c r="B5" s="662"/>
      <c r="C5" s="659"/>
      <c r="D5" s="659"/>
      <c r="E5" s="659"/>
      <c r="F5" s="659"/>
      <c r="G5" s="659"/>
      <c r="H5" s="659"/>
      <c r="I5" s="659"/>
    </row>
    <row r="6" spans="1:9">
      <c r="A6" s="659"/>
      <c r="B6" s="659"/>
      <c r="C6" s="659"/>
      <c r="D6" s="659"/>
      <c r="E6" s="659"/>
      <c r="F6" s="659"/>
      <c r="G6" s="659"/>
      <c r="H6" s="659"/>
      <c r="I6" s="659"/>
    </row>
    <row r="7" spans="1:9">
      <c r="A7" s="659"/>
      <c r="B7" s="745"/>
      <c r="C7" s="745"/>
      <c r="D7" s="745"/>
      <c r="E7" s="745"/>
      <c r="F7" s="745"/>
      <c r="G7" s="745"/>
      <c r="H7" s="745"/>
      <c r="I7" s="659"/>
    </row>
    <row r="8" spans="1:9" ht="39" customHeight="1">
      <c r="A8" s="663"/>
      <c r="B8" s="748" t="s">
        <v>533</v>
      </c>
      <c r="C8" s="743" t="s">
        <v>660</v>
      </c>
      <c r="D8" s="744"/>
      <c r="E8" s="749" t="s">
        <v>534</v>
      </c>
      <c r="F8" s="741" t="s">
        <v>535</v>
      </c>
      <c r="G8" s="741" t="s">
        <v>662</v>
      </c>
      <c r="H8" s="741" t="s">
        <v>663</v>
      </c>
      <c r="I8" s="741" t="s">
        <v>536</v>
      </c>
    </row>
    <row r="9" spans="1:9" ht="19.5" customHeight="1">
      <c r="A9" s="664" t="s">
        <v>537</v>
      </c>
      <c r="B9" s="742"/>
      <c r="C9" s="643" t="s">
        <v>659</v>
      </c>
      <c r="D9" s="642" t="s">
        <v>57</v>
      </c>
      <c r="E9" s="742"/>
      <c r="F9" s="742"/>
      <c r="G9" s="742"/>
      <c r="H9" s="742"/>
      <c r="I9" s="742"/>
    </row>
    <row r="10" spans="1:9" ht="3.95" customHeight="1">
      <c r="A10" s="665"/>
      <c r="B10" s="662"/>
      <c r="C10" s="659"/>
      <c r="D10" s="659"/>
      <c r="E10" s="659"/>
      <c r="F10" s="659"/>
      <c r="G10" s="659"/>
      <c r="H10" s="659"/>
      <c r="I10" s="659"/>
    </row>
    <row r="11" spans="1:9">
      <c r="A11" s="410" t="s">
        <v>538</v>
      </c>
      <c r="B11" s="666">
        <v>10.200000000000001</v>
      </c>
      <c r="C11" s="666">
        <v>105.44999999999999</v>
      </c>
      <c r="D11" s="666">
        <v>50.3</v>
      </c>
      <c r="E11" s="666">
        <v>39.549999999999997</v>
      </c>
      <c r="F11" s="666">
        <v>9</v>
      </c>
      <c r="G11" s="666">
        <v>1.2</v>
      </c>
      <c r="H11" s="666">
        <v>2.25</v>
      </c>
      <c r="I11" s="666">
        <f t="shared" ref="I11:I46" si="0">SUM(B11:H11)</f>
        <v>217.95</v>
      </c>
    </row>
    <row r="12" spans="1:9">
      <c r="A12" s="269" t="s">
        <v>539</v>
      </c>
      <c r="B12" s="667">
        <v>19.559999999999999</v>
      </c>
      <c r="C12" s="667">
        <v>175.87101804124708</v>
      </c>
      <c r="D12" s="667">
        <v>102.14297477675825</v>
      </c>
      <c r="E12" s="667">
        <v>67.250353601532566</v>
      </c>
      <c r="F12" s="667">
        <v>20.867344005562224</v>
      </c>
      <c r="G12" s="667">
        <v>5.4804123711340207</v>
      </c>
      <c r="H12" s="667">
        <v>4.6185567010309274</v>
      </c>
      <c r="I12" s="667">
        <f t="shared" si="0"/>
        <v>395.79065949726504</v>
      </c>
    </row>
    <row r="13" spans="1:9">
      <c r="A13" s="410" t="s">
        <v>540</v>
      </c>
      <c r="B13" s="666">
        <v>44.75</v>
      </c>
      <c r="C13" s="666">
        <v>607.93000000000006</v>
      </c>
      <c r="D13" s="666">
        <v>281.65000000000003</v>
      </c>
      <c r="E13" s="666">
        <v>121.33000000000001</v>
      </c>
      <c r="F13" s="666">
        <v>46.85</v>
      </c>
      <c r="G13" s="666">
        <v>20</v>
      </c>
      <c r="H13" s="666">
        <v>7</v>
      </c>
      <c r="I13" s="666">
        <f t="shared" si="0"/>
        <v>1129.51</v>
      </c>
    </row>
    <row r="14" spans="1:9">
      <c r="A14" s="269" t="s">
        <v>640</v>
      </c>
      <c r="B14" s="667">
        <v>50.650000000000006</v>
      </c>
      <c r="C14" s="667">
        <v>365.81</v>
      </c>
      <c r="D14" s="667">
        <v>264.40000000000003</v>
      </c>
      <c r="E14" s="667">
        <v>59.000000000000007</v>
      </c>
      <c r="F14" s="667">
        <v>53.25</v>
      </c>
      <c r="G14" s="667">
        <v>7.5</v>
      </c>
      <c r="H14" s="667">
        <v>5.9</v>
      </c>
      <c r="I14" s="667">
        <f t="shared" si="0"/>
        <v>806.5100000000001</v>
      </c>
    </row>
    <row r="15" spans="1:9">
      <c r="A15" s="410" t="s">
        <v>541</v>
      </c>
      <c r="B15" s="666">
        <v>13.749999999999998</v>
      </c>
      <c r="C15" s="666">
        <v>104.33999999999999</v>
      </c>
      <c r="D15" s="666">
        <v>58.9</v>
      </c>
      <c r="E15" s="666">
        <v>35.950000000000003</v>
      </c>
      <c r="F15" s="666">
        <v>13.5</v>
      </c>
      <c r="G15" s="666">
        <v>2.25</v>
      </c>
      <c r="H15" s="666">
        <v>2</v>
      </c>
      <c r="I15" s="666">
        <f t="shared" si="0"/>
        <v>230.69</v>
      </c>
    </row>
    <row r="16" spans="1:9">
      <c r="A16" s="269" t="s">
        <v>542</v>
      </c>
      <c r="B16" s="667">
        <v>10.17</v>
      </c>
      <c r="C16" s="667">
        <v>71</v>
      </c>
      <c r="D16" s="667">
        <v>36</v>
      </c>
      <c r="E16" s="667">
        <v>19.8</v>
      </c>
      <c r="F16" s="667">
        <v>9.5</v>
      </c>
      <c r="G16" s="667">
        <v>1.8</v>
      </c>
      <c r="H16" s="667">
        <v>2</v>
      </c>
      <c r="I16" s="667">
        <f t="shared" si="0"/>
        <v>150.27000000000001</v>
      </c>
    </row>
    <row r="17" spans="1:9">
      <c r="A17" s="410" t="s">
        <v>543</v>
      </c>
      <c r="B17" s="666">
        <v>11</v>
      </c>
      <c r="C17" s="666">
        <v>91.14</v>
      </c>
      <c r="D17" s="666">
        <v>59.690000000000005</v>
      </c>
      <c r="E17" s="666">
        <v>50.53</v>
      </c>
      <c r="F17" s="666">
        <v>12.17</v>
      </c>
      <c r="G17" s="666">
        <v>2.5</v>
      </c>
      <c r="H17" s="666">
        <v>3</v>
      </c>
      <c r="I17" s="666">
        <f t="shared" si="0"/>
        <v>230.03</v>
      </c>
    </row>
    <row r="18" spans="1:9">
      <c r="A18" s="269" t="s">
        <v>544</v>
      </c>
      <c r="B18" s="667">
        <v>71</v>
      </c>
      <c r="C18" s="667">
        <v>473.45</v>
      </c>
      <c r="D18" s="667">
        <v>439.1</v>
      </c>
      <c r="E18" s="667">
        <v>288.14999999999998</v>
      </c>
      <c r="F18" s="667">
        <v>63.300000000000004</v>
      </c>
      <c r="G18" s="667">
        <v>10.75</v>
      </c>
      <c r="H18" s="667">
        <v>10</v>
      </c>
      <c r="I18" s="667">
        <f t="shared" si="0"/>
        <v>1355.75</v>
      </c>
    </row>
    <row r="19" spans="1:9">
      <c r="A19" s="410" t="s">
        <v>545</v>
      </c>
      <c r="B19" s="666">
        <v>21.75</v>
      </c>
      <c r="C19" s="666">
        <v>275.01</v>
      </c>
      <c r="D19" s="666">
        <v>139.97</v>
      </c>
      <c r="E19" s="666">
        <v>101.81</v>
      </c>
      <c r="F19" s="666">
        <v>18.5</v>
      </c>
      <c r="G19" s="666">
        <v>10.4</v>
      </c>
      <c r="H19" s="666">
        <v>7</v>
      </c>
      <c r="I19" s="666">
        <f t="shared" si="0"/>
        <v>574.43999999999994</v>
      </c>
    </row>
    <row r="20" spans="1:9">
      <c r="A20" s="269" t="s">
        <v>546</v>
      </c>
      <c r="B20" s="667">
        <v>43.61</v>
      </c>
      <c r="C20" s="667">
        <v>461.78999999999996</v>
      </c>
      <c r="D20" s="667">
        <v>198.99000000000004</v>
      </c>
      <c r="E20" s="667">
        <v>200.8</v>
      </c>
      <c r="F20" s="667">
        <v>63.92</v>
      </c>
      <c r="G20" s="667">
        <v>13.3</v>
      </c>
      <c r="H20" s="667">
        <v>10.33</v>
      </c>
      <c r="I20" s="667">
        <f t="shared" si="0"/>
        <v>992.74</v>
      </c>
    </row>
    <row r="21" spans="1:9">
      <c r="A21" s="410" t="s">
        <v>547</v>
      </c>
      <c r="B21" s="666">
        <v>23.25</v>
      </c>
      <c r="C21" s="666">
        <v>209.41000000000003</v>
      </c>
      <c r="D21" s="666">
        <v>100</v>
      </c>
      <c r="E21" s="666">
        <v>77.5</v>
      </c>
      <c r="F21" s="666">
        <v>24.15</v>
      </c>
      <c r="G21" s="666">
        <v>6.75</v>
      </c>
      <c r="H21" s="666">
        <v>7</v>
      </c>
      <c r="I21" s="666">
        <f t="shared" si="0"/>
        <v>448.06</v>
      </c>
    </row>
    <row r="22" spans="1:9">
      <c r="A22" s="269" t="s">
        <v>548</v>
      </c>
      <c r="B22" s="667">
        <v>10.7</v>
      </c>
      <c r="C22" s="667">
        <v>110.7</v>
      </c>
      <c r="D22" s="667">
        <v>58.4</v>
      </c>
      <c r="E22" s="667">
        <v>36.5</v>
      </c>
      <c r="F22" s="667">
        <v>17.75</v>
      </c>
      <c r="G22" s="667">
        <v>2</v>
      </c>
      <c r="H22" s="667">
        <v>2</v>
      </c>
      <c r="I22" s="667">
        <f t="shared" si="0"/>
        <v>238.05</v>
      </c>
    </row>
    <row r="23" spans="1:9">
      <c r="A23" s="410" t="s">
        <v>549</v>
      </c>
      <c r="B23" s="666">
        <v>10.9</v>
      </c>
      <c r="C23" s="666">
        <v>92.15</v>
      </c>
      <c r="D23" s="666">
        <v>75.5</v>
      </c>
      <c r="E23" s="666">
        <v>35.700000000000003</v>
      </c>
      <c r="F23" s="666">
        <v>10.199999999999999</v>
      </c>
      <c r="G23" s="666">
        <v>4</v>
      </c>
      <c r="H23" s="666">
        <v>2</v>
      </c>
      <c r="I23" s="666">
        <f t="shared" si="0"/>
        <v>230.45</v>
      </c>
    </row>
    <row r="24" spans="1:9">
      <c r="A24" s="269" t="s">
        <v>550</v>
      </c>
      <c r="B24" s="667">
        <v>29</v>
      </c>
      <c r="C24" s="667">
        <v>307.93</v>
      </c>
      <c r="D24" s="667">
        <v>190.83999999999997</v>
      </c>
      <c r="E24" s="667">
        <v>122.49</v>
      </c>
      <c r="F24" s="667">
        <v>30.5</v>
      </c>
      <c r="G24" s="667">
        <v>10</v>
      </c>
      <c r="H24" s="667">
        <v>9</v>
      </c>
      <c r="I24" s="667">
        <f t="shared" si="0"/>
        <v>699.76</v>
      </c>
    </row>
    <row r="25" spans="1:9">
      <c r="A25" s="410" t="s">
        <v>551</v>
      </c>
      <c r="B25" s="666">
        <v>81</v>
      </c>
      <c r="C25" s="666">
        <v>919.75</v>
      </c>
      <c r="D25" s="666">
        <v>496.11</v>
      </c>
      <c r="E25" s="666">
        <v>168.97</v>
      </c>
      <c r="F25" s="666">
        <v>117.2</v>
      </c>
      <c r="G25" s="666">
        <v>34.68</v>
      </c>
      <c r="H25" s="666">
        <v>16</v>
      </c>
      <c r="I25" s="666">
        <f t="shared" si="0"/>
        <v>1833.7100000000003</v>
      </c>
    </row>
    <row r="26" spans="1:9">
      <c r="A26" s="269" t="s">
        <v>552</v>
      </c>
      <c r="B26" s="667">
        <v>26.46</v>
      </c>
      <c r="C26" s="667">
        <v>216.44</v>
      </c>
      <c r="D26" s="667">
        <v>142.82</v>
      </c>
      <c r="E26" s="667">
        <v>114.88</v>
      </c>
      <c r="F26" s="667">
        <v>25.89</v>
      </c>
      <c r="G26" s="667">
        <v>6.1</v>
      </c>
      <c r="H26" s="667">
        <v>6</v>
      </c>
      <c r="I26" s="667">
        <f t="shared" si="0"/>
        <v>538.59</v>
      </c>
    </row>
    <row r="27" spans="1:9">
      <c r="A27" s="410" t="s">
        <v>553</v>
      </c>
      <c r="B27" s="666">
        <v>19.600000000000001</v>
      </c>
      <c r="C27" s="666">
        <v>226.41000000000003</v>
      </c>
      <c r="D27" s="666">
        <v>96.5</v>
      </c>
      <c r="E27" s="666">
        <v>41.07</v>
      </c>
      <c r="F27" s="666">
        <v>24.880000000000003</v>
      </c>
      <c r="G27" s="666">
        <v>10.88</v>
      </c>
      <c r="H27" s="666">
        <v>6</v>
      </c>
      <c r="I27" s="666">
        <f t="shared" si="0"/>
        <v>425.34</v>
      </c>
    </row>
    <row r="28" spans="1:9">
      <c r="A28" s="269" t="s">
        <v>554</v>
      </c>
      <c r="B28" s="667">
        <v>16</v>
      </c>
      <c r="C28" s="667">
        <v>172.15</v>
      </c>
      <c r="D28" s="667">
        <v>102.74</v>
      </c>
      <c r="E28" s="667">
        <v>51.5</v>
      </c>
      <c r="F28" s="667">
        <v>17.579999999999998</v>
      </c>
      <c r="G28" s="667">
        <v>4.2</v>
      </c>
      <c r="H28" s="667">
        <v>3.2</v>
      </c>
      <c r="I28" s="667">
        <f t="shared" si="0"/>
        <v>367.36999999999995</v>
      </c>
    </row>
    <row r="29" spans="1:9">
      <c r="A29" s="410" t="s">
        <v>555</v>
      </c>
      <c r="B29" s="666">
        <v>72.5</v>
      </c>
      <c r="C29" s="666">
        <v>813.59</v>
      </c>
      <c r="D29" s="666">
        <v>451.13</v>
      </c>
      <c r="E29" s="666">
        <v>159.07999999999998</v>
      </c>
      <c r="F29" s="666">
        <v>99.41</v>
      </c>
      <c r="G29" s="666">
        <v>29.14</v>
      </c>
      <c r="H29" s="666">
        <v>19.45</v>
      </c>
      <c r="I29" s="666">
        <f t="shared" si="0"/>
        <v>1644.3000000000002</v>
      </c>
    </row>
    <row r="30" spans="1:9">
      <c r="A30" s="269" t="s">
        <v>556</v>
      </c>
      <c r="B30" s="667">
        <v>10.370000000000001</v>
      </c>
      <c r="C30" s="667">
        <v>76.25</v>
      </c>
      <c r="D30" s="667">
        <v>41.739999999999995</v>
      </c>
      <c r="E30" s="667">
        <v>39.25</v>
      </c>
      <c r="F30" s="667">
        <v>9.0899999999999981</v>
      </c>
      <c r="G30" s="667">
        <v>2</v>
      </c>
      <c r="H30" s="667">
        <v>3</v>
      </c>
      <c r="I30" s="667">
        <f t="shared" si="0"/>
        <v>181.70000000000002</v>
      </c>
    </row>
    <row r="31" spans="1:9">
      <c r="A31" s="410" t="s">
        <v>557</v>
      </c>
      <c r="B31" s="666">
        <v>21.71</v>
      </c>
      <c r="C31" s="666">
        <v>227.52</v>
      </c>
      <c r="D31" s="666">
        <v>131.22999999999999</v>
      </c>
      <c r="E31" s="666">
        <v>78.289999999999992</v>
      </c>
      <c r="F31" s="666">
        <v>20.13</v>
      </c>
      <c r="G31" s="666">
        <v>4.53</v>
      </c>
      <c r="H31" s="666">
        <v>6.14</v>
      </c>
      <c r="I31" s="666">
        <f t="shared" si="0"/>
        <v>489.54999999999995</v>
      </c>
    </row>
    <row r="32" spans="1:9">
      <c r="A32" s="269" t="s">
        <v>558</v>
      </c>
      <c r="B32" s="667">
        <v>15.32</v>
      </c>
      <c r="C32" s="667">
        <v>154.68</v>
      </c>
      <c r="D32" s="667">
        <v>96.789999999999992</v>
      </c>
      <c r="E32" s="667">
        <v>63.94</v>
      </c>
      <c r="F32" s="667">
        <v>19.199999999999996</v>
      </c>
      <c r="G32" s="667">
        <v>3.2</v>
      </c>
      <c r="H32" s="667">
        <v>5</v>
      </c>
      <c r="I32" s="667">
        <f t="shared" si="0"/>
        <v>358.12999999999994</v>
      </c>
    </row>
    <row r="33" spans="1:9">
      <c r="A33" s="410" t="s">
        <v>559</v>
      </c>
      <c r="B33" s="666">
        <v>19.580000000000002</v>
      </c>
      <c r="C33" s="666">
        <v>142.42000000000002</v>
      </c>
      <c r="D33" s="666">
        <v>90.43</v>
      </c>
      <c r="E33" s="666">
        <v>99.72999999999999</v>
      </c>
      <c r="F33" s="666">
        <v>19.059999999999999</v>
      </c>
      <c r="G33" s="666">
        <v>4.8499999999999996</v>
      </c>
      <c r="H33" s="666">
        <v>5</v>
      </c>
      <c r="I33" s="666">
        <f t="shared" si="0"/>
        <v>381.07000000000005</v>
      </c>
    </row>
    <row r="34" spans="1:9">
      <c r="A34" s="269" t="s">
        <v>560</v>
      </c>
      <c r="B34" s="667">
        <v>15.799999999999999</v>
      </c>
      <c r="C34" s="667">
        <v>145.49</v>
      </c>
      <c r="D34" s="667">
        <v>71.44</v>
      </c>
      <c r="E34" s="667">
        <v>79.48</v>
      </c>
      <c r="F34" s="667">
        <v>18.89</v>
      </c>
      <c r="G34" s="667">
        <v>4.25</v>
      </c>
      <c r="H34" s="667">
        <v>3</v>
      </c>
      <c r="I34" s="667">
        <f t="shared" si="0"/>
        <v>338.35</v>
      </c>
    </row>
    <row r="35" spans="1:9">
      <c r="A35" s="410" t="s">
        <v>561</v>
      </c>
      <c r="B35" s="666">
        <v>93.46</v>
      </c>
      <c r="C35" s="666">
        <v>1077.48</v>
      </c>
      <c r="D35" s="666">
        <v>442.28</v>
      </c>
      <c r="E35" s="666">
        <v>289.72000000000003</v>
      </c>
      <c r="F35" s="666">
        <v>122.57</v>
      </c>
      <c r="G35" s="666">
        <v>29.62</v>
      </c>
      <c r="H35" s="666">
        <v>17</v>
      </c>
      <c r="I35" s="666">
        <f t="shared" si="0"/>
        <v>2072.13</v>
      </c>
    </row>
    <row r="36" spans="1:9">
      <c r="A36" s="269" t="s">
        <v>562</v>
      </c>
      <c r="B36" s="667">
        <v>14.13</v>
      </c>
      <c r="C36" s="667">
        <v>121.6</v>
      </c>
      <c r="D36" s="667">
        <v>77.5</v>
      </c>
      <c r="E36" s="667">
        <v>62.42</v>
      </c>
      <c r="F36" s="667">
        <v>14.81</v>
      </c>
      <c r="G36" s="667">
        <v>2.5</v>
      </c>
      <c r="H36" s="667">
        <v>2.4</v>
      </c>
      <c r="I36" s="667">
        <f t="shared" si="0"/>
        <v>295.35999999999996</v>
      </c>
    </row>
    <row r="37" spans="1:9">
      <c r="A37" s="410" t="s">
        <v>563</v>
      </c>
      <c r="B37" s="666">
        <v>28</v>
      </c>
      <c r="C37" s="666">
        <v>251.82999999999998</v>
      </c>
      <c r="D37" s="666">
        <v>134.44999999999999</v>
      </c>
      <c r="E37" s="666">
        <v>118.85</v>
      </c>
      <c r="F37" s="666">
        <v>28.25</v>
      </c>
      <c r="G37" s="666">
        <v>9</v>
      </c>
      <c r="H37" s="666">
        <v>4</v>
      </c>
      <c r="I37" s="666">
        <f t="shared" si="0"/>
        <v>574.38</v>
      </c>
    </row>
    <row r="38" spans="1:9">
      <c r="A38" s="269" t="s">
        <v>564</v>
      </c>
      <c r="B38" s="667">
        <v>67.209999999999994</v>
      </c>
      <c r="C38" s="667">
        <v>690.54</v>
      </c>
      <c r="D38" s="667">
        <v>307.08</v>
      </c>
      <c r="E38" s="667">
        <v>132.71</v>
      </c>
      <c r="F38" s="667">
        <v>70.11999999999999</v>
      </c>
      <c r="G38" s="667">
        <v>28.480000000000004</v>
      </c>
      <c r="H38" s="667">
        <v>8</v>
      </c>
      <c r="I38" s="667">
        <f t="shared" si="0"/>
        <v>1304.1399999999999</v>
      </c>
    </row>
    <row r="39" spans="1:9">
      <c r="A39" s="410" t="s">
        <v>565</v>
      </c>
      <c r="B39" s="666">
        <v>11.469999999999999</v>
      </c>
      <c r="C39" s="666">
        <v>116.53</v>
      </c>
      <c r="D39" s="666">
        <v>67.17</v>
      </c>
      <c r="E39" s="666">
        <v>58.57</v>
      </c>
      <c r="F39" s="666">
        <v>13.3</v>
      </c>
      <c r="G39" s="666">
        <v>2.82</v>
      </c>
      <c r="H39" s="666">
        <v>4</v>
      </c>
      <c r="I39" s="666">
        <f t="shared" si="0"/>
        <v>273.86</v>
      </c>
    </row>
    <row r="40" spans="1:9">
      <c r="A40" s="269" t="s">
        <v>566</v>
      </c>
      <c r="B40" s="667">
        <v>56.05</v>
      </c>
      <c r="C40" s="667">
        <v>528.21</v>
      </c>
      <c r="D40" s="667">
        <v>318.66999999999996</v>
      </c>
      <c r="E40" s="667">
        <v>96.93</v>
      </c>
      <c r="F40" s="667">
        <v>87.71</v>
      </c>
      <c r="G40" s="667">
        <v>23.81</v>
      </c>
      <c r="H40" s="667">
        <v>13</v>
      </c>
      <c r="I40" s="667">
        <f t="shared" si="0"/>
        <v>1124.3799999999999</v>
      </c>
    </row>
    <row r="41" spans="1:9">
      <c r="A41" s="410" t="s">
        <v>567</v>
      </c>
      <c r="B41" s="666">
        <v>24.48</v>
      </c>
      <c r="C41" s="666">
        <v>334.48</v>
      </c>
      <c r="D41" s="666">
        <v>123.00999999999999</v>
      </c>
      <c r="E41" s="666">
        <v>142.75</v>
      </c>
      <c r="F41" s="666">
        <v>39.65</v>
      </c>
      <c r="G41" s="666">
        <v>10.69</v>
      </c>
      <c r="H41" s="666">
        <v>6.5</v>
      </c>
      <c r="I41" s="666">
        <f t="shared" si="0"/>
        <v>681.56000000000006</v>
      </c>
    </row>
    <row r="42" spans="1:9">
      <c r="A42" s="269" t="s">
        <v>568</v>
      </c>
      <c r="B42" s="667">
        <v>11.31</v>
      </c>
      <c r="C42" s="667">
        <v>111.64</v>
      </c>
      <c r="D42" s="667">
        <v>69.300000000000011</v>
      </c>
      <c r="E42" s="667">
        <v>60.720000000000006</v>
      </c>
      <c r="F42" s="667">
        <v>19.28</v>
      </c>
      <c r="G42" s="667">
        <v>2.8</v>
      </c>
      <c r="H42" s="667">
        <v>3</v>
      </c>
      <c r="I42" s="667">
        <f t="shared" si="0"/>
        <v>278.05</v>
      </c>
    </row>
    <row r="43" spans="1:9">
      <c r="A43" s="410" t="s">
        <v>569</v>
      </c>
      <c r="B43" s="666">
        <v>6.71</v>
      </c>
      <c r="C43" s="666">
        <v>73.710000000000008</v>
      </c>
      <c r="D43" s="666">
        <v>42.51</v>
      </c>
      <c r="E43" s="666">
        <v>33.042499999999997</v>
      </c>
      <c r="F43" s="666">
        <v>6.83</v>
      </c>
      <c r="G43" s="666">
        <v>3</v>
      </c>
      <c r="H43" s="666">
        <v>1</v>
      </c>
      <c r="I43" s="666">
        <f t="shared" si="0"/>
        <v>166.80250000000001</v>
      </c>
    </row>
    <row r="44" spans="1:9">
      <c r="A44" s="269" t="s">
        <v>570</v>
      </c>
      <c r="B44" s="667">
        <v>5.8</v>
      </c>
      <c r="C44" s="667">
        <v>59.230000000000004</v>
      </c>
      <c r="D44" s="667">
        <v>44</v>
      </c>
      <c r="E44" s="667">
        <v>33</v>
      </c>
      <c r="F44" s="667">
        <v>7.339999999999999</v>
      </c>
      <c r="G44" s="667">
        <v>1.4</v>
      </c>
      <c r="H44" s="667">
        <v>2</v>
      </c>
      <c r="I44" s="667">
        <f t="shared" si="0"/>
        <v>152.77000000000001</v>
      </c>
    </row>
    <row r="45" spans="1:9">
      <c r="A45" s="410" t="s">
        <v>571</v>
      </c>
      <c r="B45" s="666">
        <v>10</v>
      </c>
      <c r="C45" s="666">
        <v>111.05</v>
      </c>
      <c r="D45" s="666">
        <v>72.17</v>
      </c>
      <c r="E45" s="666">
        <v>35.6</v>
      </c>
      <c r="F45" s="666">
        <v>10.98</v>
      </c>
      <c r="G45" s="666">
        <v>2.2000000000000002</v>
      </c>
      <c r="H45" s="666">
        <v>3</v>
      </c>
      <c r="I45" s="666">
        <f t="shared" si="0"/>
        <v>244.99999999999997</v>
      </c>
    </row>
    <row r="46" spans="1:9">
      <c r="A46" s="269" t="s">
        <v>572</v>
      </c>
      <c r="B46" s="667">
        <v>137.97</v>
      </c>
      <c r="C46" s="667">
        <v>2074</v>
      </c>
      <c r="D46" s="667">
        <v>1101</v>
      </c>
      <c r="E46" s="667">
        <v>557.03000000000009</v>
      </c>
      <c r="F46" s="667">
        <v>273.92</v>
      </c>
      <c r="G46" s="667">
        <v>85.49</v>
      </c>
      <c r="H46" s="667">
        <v>39.5</v>
      </c>
      <c r="I46" s="667">
        <f t="shared" si="0"/>
        <v>4268.91</v>
      </c>
    </row>
    <row r="47" spans="1:9" ht="6" customHeight="1">
      <c r="A47" s="148"/>
      <c r="B47" s="667"/>
      <c r="C47" s="667"/>
      <c r="D47" s="667"/>
      <c r="E47" s="667"/>
      <c r="F47" s="667"/>
      <c r="G47" s="667"/>
      <c r="H47" s="667"/>
      <c r="I47" s="667"/>
    </row>
    <row r="48" spans="1:9">
      <c r="A48" s="411" t="s">
        <v>350</v>
      </c>
      <c r="B48" s="668">
        <f t="shared" ref="B48:I48" si="1">SUM(B11:B46)</f>
        <v>1135.22</v>
      </c>
      <c r="C48" s="668">
        <f t="shared" si="1"/>
        <v>12096.981018041246</v>
      </c>
      <c r="D48" s="668">
        <f t="shared" si="1"/>
        <v>6575.9529747767592</v>
      </c>
      <c r="E48" s="668">
        <f t="shared" si="1"/>
        <v>3773.8928536015324</v>
      </c>
      <c r="F48" s="668">
        <f t="shared" si="1"/>
        <v>1459.5473440055621</v>
      </c>
      <c r="G48" s="668">
        <f t="shared" si="1"/>
        <v>403.57041237113401</v>
      </c>
      <c r="H48" s="668">
        <f t="shared" si="1"/>
        <v>250.28855670103093</v>
      </c>
      <c r="I48" s="668">
        <f t="shared" si="1"/>
        <v>25695.453159497272</v>
      </c>
    </row>
    <row r="49" spans="1:9" ht="6" customHeight="1">
      <c r="A49" s="659"/>
      <c r="B49" s="669"/>
      <c r="C49" s="669"/>
      <c r="D49" s="669"/>
      <c r="E49" s="669"/>
      <c r="F49" s="669"/>
      <c r="G49" s="669"/>
      <c r="H49" s="669"/>
      <c r="I49" s="669"/>
    </row>
    <row r="50" spans="1:9">
      <c r="A50" s="670" t="s">
        <v>573</v>
      </c>
      <c r="B50" s="667">
        <v>2.25</v>
      </c>
      <c r="C50" s="667">
        <v>19</v>
      </c>
      <c r="D50" s="667">
        <v>8.5</v>
      </c>
      <c r="E50" s="667">
        <v>4</v>
      </c>
      <c r="F50" s="667">
        <v>3.3</v>
      </c>
      <c r="G50" s="667">
        <v>0.3</v>
      </c>
      <c r="H50" s="667">
        <v>0</v>
      </c>
      <c r="I50" s="667">
        <f>SUM(B50:H50)</f>
        <v>37.349999999999994</v>
      </c>
    </row>
    <row r="51" spans="1:9">
      <c r="A51" s="671" t="s">
        <v>574</v>
      </c>
      <c r="B51" s="666">
        <v>12.8</v>
      </c>
      <c r="C51" s="666">
        <v>34</v>
      </c>
      <c r="D51" s="666">
        <v>10</v>
      </c>
      <c r="E51" s="666">
        <v>18</v>
      </c>
      <c r="F51" s="666">
        <v>8</v>
      </c>
      <c r="G51" s="666">
        <v>0</v>
      </c>
      <c r="H51" s="666">
        <v>3</v>
      </c>
      <c r="I51" s="666">
        <f>SUM(B51:H51)</f>
        <v>85.8</v>
      </c>
    </row>
    <row r="52" spans="1:9" ht="49.5" customHeight="1">
      <c r="A52" s="608"/>
      <c r="B52" s="608"/>
      <c r="C52" s="609">
        <v>0</v>
      </c>
      <c r="D52" s="608"/>
      <c r="E52" s="608"/>
      <c r="F52" s="608"/>
      <c r="G52" s="608"/>
      <c r="H52" s="608"/>
      <c r="I52" s="608"/>
    </row>
    <row r="53" spans="1:9">
      <c r="A53" s="739" t="s">
        <v>752</v>
      </c>
      <c r="B53" s="739"/>
      <c r="C53" s="739"/>
      <c r="D53" s="739"/>
      <c r="E53" s="739"/>
      <c r="F53" s="739"/>
      <c r="G53" s="739"/>
      <c r="H53" s="739"/>
      <c r="I53" s="739"/>
    </row>
    <row r="54" spans="1:9" ht="11.25" customHeight="1">
      <c r="A54" s="740"/>
      <c r="B54" s="740"/>
      <c r="C54" s="740"/>
      <c r="D54" s="740"/>
      <c r="E54" s="740"/>
      <c r="F54" s="740"/>
      <c r="G54" s="740"/>
      <c r="H54" s="740"/>
      <c r="I54" s="740"/>
    </row>
    <row r="55" spans="1:9">
      <c r="A55" s="151" t="s">
        <v>679</v>
      </c>
      <c r="B55" s="606"/>
      <c r="C55" s="610"/>
    </row>
    <row r="56" spans="1:9">
      <c r="A56" s="151" t="s">
        <v>754</v>
      </c>
      <c r="B56" s="606"/>
      <c r="C56" s="610"/>
    </row>
  </sheetData>
  <mergeCells count="11">
    <mergeCell ref="A2:H2"/>
    <mergeCell ref="A3:H3"/>
    <mergeCell ref="B8:B9"/>
    <mergeCell ref="E8:E9"/>
    <mergeCell ref="F8:F9"/>
    <mergeCell ref="G8:G9"/>
    <mergeCell ref="A53:I54"/>
    <mergeCell ref="H8:H9"/>
    <mergeCell ref="C8:D8"/>
    <mergeCell ref="I8:I9"/>
    <mergeCell ref="B7:H7"/>
  </mergeCells>
  <phoneticPr fontId="6" type="noConversion"/>
  <pageMargins left="0.51181102362204722" right="0.51181102362204722" top="0.59055118110236227" bottom="0.19685039370078741" header="0.31496062992125984" footer="0.51181102362204722"/>
  <pageSetup scale="87" orientation="portrait" r:id="rId1"/>
  <headerFooter alignWithMargins="0">
    <oddHeader>&amp;C&amp;"Arial,Regular"&amp;11&amp;A</oddHeader>
  </headerFooter>
</worksheet>
</file>

<file path=xl/worksheets/sheet59.xml><?xml version="1.0" encoding="utf-8"?>
<worksheet xmlns="http://schemas.openxmlformats.org/spreadsheetml/2006/main" xmlns:r="http://schemas.openxmlformats.org/officeDocument/2006/relationships">
  <sheetPr codeName="Sheet55"/>
  <dimension ref="A1:M57"/>
  <sheetViews>
    <sheetView showGridLines="0" workbookViewId="0"/>
  </sheetViews>
  <sheetFormatPr defaultColWidth="19.83203125" defaultRowHeight="12"/>
  <cols>
    <col min="1" max="1" width="30.83203125" style="573" customWidth="1"/>
    <col min="2" max="2" width="17" style="573" customWidth="1"/>
    <col min="3" max="3" width="12" style="573" customWidth="1"/>
    <col min="4" max="4" width="16.83203125" style="573" customWidth="1"/>
    <col min="5" max="5" width="11.5" style="573" customWidth="1"/>
    <col min="6" max="6" width="13.33203125" style="573" customWidth="1"/>
    <col min="7" max="7" width="12.5" style="573" customWidth="1"/>
    <col min="8" max="9" width="19.83203125" style="573"/>
    <col min="10" max="10" width="25.5" style="573" bestFit="1" customWidth="1"/>
    <col min="11" max="11" width="21.1640625" style="573" bestFit="1" customWidth="1"/>
    <col min="12" max="16384" width="19.83203125" style="573"/>
  </cols>
  <sheetData>
    <row r="1" spans="1:13" ht="6.95" customHeight="1">
      <c r="A1" s="571"/>
      <c r="B1" s="572"/>
      <c r="C1" s="572"/>
    </row>
    <row r="2" spans="1:13" ht="15.95" customHeight="1">
      <c r="A2" s="574" t="s">
        <v>575</v>
      </c>
      <c r="B2" s="575"/>
      <c r="C2" s="575"/>
      <c r="D2" s="575"/>
      <c r="E2" s="575"/>
      <c r="F2" s="575"/>
      <c r="G2" s="575"/>
    </row>
    <row r="3" spans="1:13" ht="15.95" customHeight="1">
      <c r="A3" s="699" t="str">
        <f>+'- 67 -'!A3</f>
        <v>2012/13 AND 2013/14 ACTUAL</v>
      </c>
      <c r="B3" s="576"/>
      <c r="C3" s="576"/>
      <c r="D3" s="576"/>
      <c r="E3" s="576"/>
      <c r="F3" s="576"/>
      <c r="G3" s="576"/>
    </row>
    <row r="4" spans="1:13" ht="15.95" customHeight="1">
      <c r="B4" s="572"/>
      <c r="C4" s="572"/>
      <c r="J4" s="633"/>
      <c r="K4" s="633"/>
      <c r="L4" s="633"/>
      <c r="M4" s="633"/>
    </row>
    <row r="5" spans="1:13" ht="12" customHeight="1">
      <c r="B5" s="572"/>
      <c r="C5" s="572"/>
      <c r="J5" s="633"/>
      <c r="K5" s="633"/>
      <c r="L5" s="633"/>
      <c r="M5" s="633"/>
    </row>
    <row r="6" spans="1:13" ht="15.75" customHeight="1">
      <c r="B6" s="590" t="s">
        <v>576</v>
      </c>
      <c r="C6" s="591"/>
      <c r="D6" s="592"/>
      <c r="E6" s="591"/>
      <c r="F6" s="590" t="s">
        <v>576</v>
      </c>
      <c r="G6" s="592"/>
      <c r="J6" s="634"/>
      <c r="K6" s="633" t="str">
        <f>+'- 15 -'!E6</f>
        <v>STUDENT SUPPORT</v>
      </c>
      <c r="L6" s="633" t="str">
        <f>+'- 16 -'!G6</f>
        <v>INSTRUCTIONAL &amp; OTHER</v>
      </c>
      <c r="M6" s="633"/>
    </row>
    <row r="7" spans="1:13">
      <c r="B7" s="593" t="s">
        <v>577</v>
      </c>
      <c r="C7" s="594"/>
      <c r="D7" s="595"/>
      <c r="E7" s="594"/>
      <c r="F7" s="593" t="s">
        <v>577</v>
      </c>
      <c r="G7" s="595"/>
      <c r="J7" s="634" t="str">
        <f>+'- 15 -'!B7</f>
        <v>REGULAR INSTRUCTION</v>
      </c>
      <c r="K7" s="633" t="str">
        <f>+'- 15 -'!E7</f>
        <v>SERVICES</v>
      </c>
      <c r="L7" s="633" t="str">
        <f>+'- 16 -'!G7</f>
        <v>SUPPORT SERVICES</v>
      </c>
      <c r="M7" s="633"/>
    </row>
    <row r="8" spans="1:13" ht="13.5">
      <c r="A8" s="577"/>
      <c r="B8" s="596" t="s">
        <v>661</v>
      </c>
      <c r="C8" s="597"/>
      <c r="D8" s="598"/>
      <c r="E8" s="597"/>
      <c r="F8" s="596" t="s">
        <v>578</v>
      </c>
      <c r="G8" s="598"/>
      <c r="J8" s="634"/>
      <c r="K8" s="633"/>
      <c r="L8" s="633"/>
      <c r="M8" s="633"/>
    </row>
    <row r="9" spans="1:13" ht="29.25" customHeight="1">
      <c r="A9" s="578" t="s">
        <v>93</v>
      </c>
      <c r="B9" s="579" t="str">
        <f>+'- 67 -'!B9</f>
        <v>2012/13</v>
      </c>
      <c r="C9" s="653" t="s">
        <v>685</v>
      </c>
      <c r="D9" s="579" t="str">
        <f>+'- 67 -'!C9</f>
        <v>2013/14</v>
      </c>
      <c r="E9" s="653" t="s">
        <v>685</v>
      </c>
      <c r="F9" s="605" t="str">
        <f>+B9</f>
        <v>2012/13</v>
      </c>
      <c r="G9" s="605" t="str">
        <f>+D9</f>
        <v>2013/14</v>
      </c>
      <c r="J9" s="633"/>
      <c r="K9" s="633"/>
      <c r="L9" s="633"/>
      <c r="M9" s="633"/>
    </row>
    <row r="10" spans="1:13" ht="5.0999999999999996" customHeight="1">
      <c r="A10" s="580"/>
      <c r="B10" s="581"/>
      <c r="C10" s="581"/>
      <c r="D10" s="571"/>
      <c r="E10" s="571"/>
      <c r="F10" s="571"/>
      <c r="J10" s="633"/>
      <c r="K10" s="633"/>
      <c r="L10" s="633"/>
      <c r="M10" s="633"/>
    </row>
    <row r="11" spans="1:13" ht="14.1" customHeight="1">
      <c r="A11" s="599" t="s">
        <v>235</v>
      </c>
      <c r="B11" s="600">
        <v>11941766</v>
      </c>
      <c r="C11" s="601">
        <v>76.413257032051447</v>
      </c>
      <c r="D11" s="600">
        <v>12778822</v>
      </c>
      <c r="E11" s="601">
        <f>+D11/'- 3 -'!F11*100</f>
        <v>76.802987106246235</v>
      </c>
      <c r="F11" s="600">
        <v>7953.2241092241093</v>
      </c>
      <c r="G11" s="600">
        <f>+D11/'- 7 -'!E11</f>
        <v>8616.872555630478</v>
      </c>
      <c r="I11" s="582" t="str">
        <f>IF(D11=M11,"",M11-D11)</f>
        <v/>
      </c>
      <c r="J11" s="634">
        <f>+'- 15 -'!B11</f>
        <v>10236068</v>
      </c>
      <c r="K11" s="633">
        <f>+'- 15 -'!E11</f>
        <v>2188747</v>
      </c>
      <c r="L11" s="633">
        <f>+'- 16 -'!G11</f>
        <v>354007</v>
      </c>
      <c r="M11" s="634">
        <f>+J11+K11+L11</f>
        <v>12778822</v>
      </c>
    </row>
    <row r="12" spans="1:13" ht="14.1" customHeight="1">
      <c r="A12" s="583" t="s">
        <v>236</v>
      </c>
      <c r="B12" s="584">
        <v>22183902</v>
      </c>
      <c r="C12" s="585">
        <v>76.650442412593705</v>
      </c>
      <c r="D12" s="584">
        <v>22341480</v>
      </c>
      <c r="E12" s="585">
        <f>+D12/'- 3 -'!F12*100</f>
        <v>76.483197319910516</v>
      </c>
      <c r="F12" s="584">
        <v>9700.8492216197301</v>
      </c>
      <c r="G12" s="584">
        <f>+D12/'- 7 -'!E12</f>
        <v>10209.980806142034</v>
      </c>
      <c r="I12" s="582" t="str">
        <f>IF(D12=M12,"",M12-D12)</f>
        <v/>
      </c>
      <c r="J12" s="634">
        <f>+'- 15 -'!B12</f>
        <v>17063436</v>
      </c>
      <c r="K12" s="633">
        <f>+'- 15 -'!E12</f>
        <v>4587860</v>
      </c>
      <c r="L12" s="633">
        <f>+'- 16 -'!G12</f>
        <v>690184</v>
      </c>
      <c r="M12" s="634">
        <f t="shared" ref="M12:M48" si="0">+J12+K12+L12</f>
        <v>22341480</v>
      </c>
    </row>
    <row r="13" spans="1:13" ht="14.1" customHeight="1">
      <c r="A13" s="599" t="s">
        <v>237</v>
      </c>
      <c r="B13" s="600">
        <v>67730272</v>
      </c>
      <c r="C13" s="601">
        <v>84.502954073171992</v>
      </c>
      <c r="D13" s="600">
        <v>70652108</v>
      </c>
      <c r="E13" s="601">
        <f>+D13/'- 3 -'!F13*100</f>
        <v>84.489019140933394</v>
      </c>
      <c r="F13" s="600">
        <v>8629.7091163916666</v>
      </c>
      <c r="G13" s="600">
        <f>+D13/'- 7 -'!E13</f>
        <v>8830.9615649021944</v>
      </c>
      <c r="I13" s="582" t="str">
        <f t="shared" ref="I13:I48" si="1">IF(D13=M13,"",M13-D13)</f>
        <v/>
      </c>
      <c r="J13" s="634">
        <f>+'- 15 -'!B13</f>
        <v>50114518</v>
      </c>
      <c r="K13" s="633">
        <f>+'- 15 -'!E13</f>
        <v>18010847</v>
      </c>
      <c r="L13" s="633">
        <f>+'- 16 -'!G13</f>
        <v>2526743</v>
      </c>
      <c r="M13" s="635">
        <f t="shared" si="0"/>
        <v>70652108</v>
      </c>
    </row>
    <row r="14" spans="1:13" ht="14.1" customHeight="1">
      <c r="A14" s="583" t="s">
        <v>636</v>
      </c>
      <c r="B14" s="584">
        <v>50344037</v>
      </c>
      <c r="C14" s="585">
        <v>73.035308274666292</v>
      </c>
      <c r="D14" s="584">
        <v>52593647</v>
      </c>
      <c r="E14" s="585">
        <f>+D14/'- 3 -'!F14*100</f>
        <v>73.156759711049872</v>
      </c>
      <c r="F14" s="584">
        <v>9883.0068708284252</v>
      </c>
      <c r="G14" s="584">
        <f>+D14/'- 7 -'!E14</f>
        <v>10112.218227263988</v>
      </c>
      <c r="I14" s="582" t="str">
        <f t="shared" si="1"/>
        <v/>
      </c>
      <c r="J14" s="634">
        <f>+'- 15 -'!B14</f>
        <v>41155765</v>
      </c>
      <c r="K14" s="633">
        <f>+'- 15 -'!E14</f>
        <v>9032830</v>
      </c>
      <c r="L14" s="633">
        <f>+'- 16 -'!G14</f>
        <v>2405052</v>
      </c>
      <c r="M14" s="634">
        <f t="shared" si="0"/>
        <v>52593647</v>
      </c>
    </row>
    <row r="15" spans="1:13" ht="14.1" customHeight="1">
      <c r="A15" s="599" t="s">
        <v>238</v>
      </c>
      <c r="B15" s="600">
        <v>13696835</v>
      </c>
      <c r="C15" s="601">
        <v>73.959783903290955</v>
      </c>
      <c r="D15" s="600">
        <v>14010874</v>
      </c>
      <c r="E15" s="601">
        <f>+D15/'- 3 -'!F15*100</f>
        <v>74.075295563668845</v>
      </c>
      <c r="F15" s="600">
        <v>8871.0071243523307</v>
      </c>
      <c r="G15" s="600">
        <f>+D15/'- 7 -'!E15</f>
        <v>9393.8142809252422</v>
      </c>
      <c r="I15" s="582" t="str">
        <f t="shared" si="1"/>
        <v/>
      </c>
      <c r="J15" s="634">
        <f>+'- 15 -'!B15</f>
        <v>9968424</v>
      </c>
      <c r="K15" s="633">
        <f>+'- 15 -'!E15</f>
        <v>3434855</v>
      </c>
      <c r="L15" s="633">
        <f>+'- 16 -'!G15</f>
        <v>607595</v>
      </c>
      <c r="M15" s="634">
        <f t="shared" si="0"/>
        <v>14010874</v>
      </c>
    </row>
    <row r="16" spans="1:13" ht="14.1" customHeight="1">
      <c r="A16" s="583" t="s">
        <v>239</v>
      </c>
      <c r="B16" s="584">
        <v>9521668</v>
      </c>
      <c r="C16" s="585">
        <v>75.131024253364345</v>
      </c>
      <c r="D16" s="584">
        <v>9641434</v>
      </c>
      <c r="E16" s="585">
        <f>+D16/'- 3 -'!F16*100</f>
        <v>74.592406167967326</v>
      </c>
      <c r="F16" s="584">
        <v>9593.6201511335021</v>
      </c>
      <c r="G16" s="584">
        <f>+D16/'- 7 -'!E16</f>
        <v>10022.280665280665</v>
      </c>
      <c r="I16" s="582" t="str">
        <f t="shared" si="1"/>
        <v/>
      </c>
      <c r="J16" s="634">
        <f>+'- 15 -'!B16</f>
        <v>7001470</v>
      </c>
      <c r="K16" s="633">
        <f>+'- 15 -'!E16</f>
        <v>2305777</v>
      </c>
      <c r="L16" s="633">
        <f>+'- 16 -'!G16</f>
        <v>334187</v>
      </c>
      <c r="M16" s="634">
        <f t="shared" si="0"/>
        <v>9641434</v>
      </c>
    </row>
    <row r="17" spans="1:13" ht="14.1" customHeight="1">
      <c r="A17" s="599" t="s">
        <v>240</v>
      </c>
      <c r="B17" s="600">
        <v>11604810</v>
      </c>
      <c r="C17" s="601">
        <v>73.680729853069778</v>
      </c>
      <c r="D17" s="600">
        <v>11856339</v>
      </c>
      <c r="E17" s="601">
        <f>+D17/'- 3 -'!F17*100</f>
        <v>73.672213755655591</v>
      </c>
      <c r="F17" s="600">
        <v>8957.9822017357146</v>
      </c>
      <c r="G17" s="600">
        <f>+D17/'- 7 -'!E17</f>
        <v>9212.6913983149625</v>
      </c>
      <c r="I17" s="582" t="str">
        <f t="shared" si="1"/>
        <v/>
      </c>
      <c r="J17" s="634">
        <f>+'- 15 -'!B17</f>
        <v>9460653</v>
      </c>
      <c r="K17" s="633">
        <f>+'- 15 -'!E17</f>
        <v>1985521</v>
      </c>
      <c r="L17" s="633">
        <f>+'- 16 -'!G17</f>
        <v>410165</v>
      </c>
      <c r="M17" s="634">
        <f t="shared" si="0"/>
        <v>11856339</v>
      </c>
    </row>
    <row r="18" spans="1:13" ht="14.1" customHeight="1">
      <c r="A18" s="583" t="s">
        <v>241</v>
      </c>
      <c r="B18" s="584">
        <v>71740844</v>
      </c>
      <c r="C18" s="585">
        <v>66.141356447931955</v>
      </c>
      <c r="D18" s="584">
        <v>75510603</v>
      </c>
      <c r="E18" s="585">
        <f>+D18/'- 3 -'!F18*100</f>
        <v>66.057602241562989</v>
      </c>
      <c r="F18" s="584">
        <v>12420.506232686981</v>
      </c>
      <c r="G18" s="584">
        <f>+D18/'- 7 -'!E18</f>
        <v>12448.581061030696</v>
      </c>
      <c r="I18" s="582" t="str">
        <f t="shared" si="1"/>
        <v/>
      </c>
      <c r="J18" s="634">
        <f>+'- 15 -'!B18</f>
        <v>51374710</v>
      </c>
      <c r="K18" s="633">
        <f>+'- 15 -'!E18</f>
        <v>17639162</v>
      </c>
      <c r="L18" s="633">
        <f>+'- 16 -'!G18</f>
        <v>6496731</v>
      </c>
      <c r="M18" s="634">
        <f t="shared" si="0"/>
        <v>75510603</v>
      </c>
    </row>
    <row r="19" spans="1:13" ht="14.1" customHeight="1">
      <c r="A19" s="599" t="s">
        <v>242</v>
      </c>
      <c r="B19" s="600">
        <v>31307733</v>
      </c>
      <c r="C19" s="601">
        <v>80.472891510908909</v>
      </c>
      <c r="D19" s="600">
        <v>34885851</v>
      </c>
      <c r="E19" s="601">
        <f>+D19/'- 3 -'!F19*100</f>
        <v>80.685573112286392</v>
      </c>
      <c r="F19" s="600">
        <v>7473.2611653498197</v>
      </c>
      <c r="G19" s="600">
        <f>+D19/'- 7 -'!E19</f>
        <v>8319.6248688352571</v>
      </c>
      <c r="I19" s="582" t="str">
        <f t="shared" si="1"/>
        <v/>
      </c>
      <c r="J19" s="634">
        <f>+'- 15 -'!B19</f>
        <v>26326742</v>
      </c>
      <c r="K19" s="633">
        <f>+'- 15 -'!E19</f>
        <v>7301751</v>
      </c>
      <c r="L19" s="633">
        <f>+'- 16 -'!G19</f>
        <v>1257358</v>
      </c>
      <c r="M19" s="634">
        <f t="shared" si="0"/>
        <v>34885851</v>
      </c>
    </row>
    <row r="20" spans="1:13" ht="14.1" customHeight="1">
      <c r="A20" s="583" t="s">
        <v>243</v>
      </c>
      <c r="B20" s="584">
        <v>54074839</v>
      </c>
      <c r="C20" s="585">
        <v>80.082588608704725</v>
      </c>
      <c r="D20" s="584">
        <v>55984320</v>
      </c>
      <c r="E20" s="585">
        <f>+D20/'- 3 -'!F20*100</f>
        <v>79.424574629313554</v>
      </c>
      <c r="F20" s="584">
        <v>7316.8038698328937</v>
      </c>
      <c r="G20" s="584">
        <f>+D20/'- 7 -'!E20</f>
        <v>7586.9792654831281</v>
      </c>
      <c r="I20" s="582" t="str">
        <f t="shared" si="1"/>
        <v/>
      </c>
      <c r="J20" s="634">
        <f>+'- 15 -'!B20</f>
        <v>43737685</v>
      </c>
      <c r="K20" s="633">
        <f>+'- 15 -'!E20</f>
        <v>10112604</v>
      </c>
      <c r="L20" s="633">
        <f>+'- 16 -'!G20</f>
        <v>2134031</v>
      </c>
      <c r="M20" s="634">
        <f t="shared" si="0"/>
        <v>55984320</v>
      </c>
    </row>
    <row r="21" spans="1:13" ht="14.1" customHeight="1">
      <c r="A21" s="599" t="s">
        <v>244</v>
      </c>
      <c r="B21" s="600">
        <v>24921664</v>
      </c>
      <c r="C21" s="601">
        <v>76.900473548157677</v>
      </c>
      <c r="D21" s="600">
        <v>26201614</v>
      </c>
      <c r="E21" s="601">
        <f>+D21/'- 3 -'!F21*100</f>
        <v>76.198976658434006</v>
      </c>
      <c r="F21" s="600">
        <v>9034.4984593075951</v>
      </c>
      <c r="G21" s="600">
        <f>+D21/'- 7 -'!E21</f>
        <v>9693.5308916019239</v>
      </c>
      <c r="I21" s="582" t="str">
        <f t="shared" si="1"/>
        <v/>
      </c>
      <c r="J21" s="634">
        <f>+'- 15 -'!B21</f>
        <v>18965702</v>
      </c>
      <c r="K21" s="633">
        <f>+'- 15 -'!E21</f>
        <v>5666231</v>
      </c>
      <c r="L21" s="633">
        <f>+'- 16 -'!G21</f>
        <v>1569681</v>
      </c>
      <c r="M21" s="634">
        <f t="shared" si="0"/>
        <v>26201614</v>
      </c>
    </row>
    <row r="22" spans="1:13" ht="14.1" customHeight="1">
      <c r="A22" s="583" t="s">
        <v>245</v>
      </c>
      <c r="B22" s="584">
        <v>14179655</v>
      </c>
      <c r="C22" s="585">
        <v>79.11899580039767</v>
      </c>
      <c r="D22" s="584">
        <v>14562510</v>
      </c>
      <c r="E22" s="585">
        <f>+D22/'- 3 -'!F22*100</f>
        <v>78.205218192274657</v>
      </c>
      <c r="F22" s="584">
        <v>8887.2798495769348</v>
      </c>
      <c r="G22" s="584">
        <f>+D22/'- 7 -'!E22</f>
        <v>9286.1305955872976</v>
      </c>
      <c r="I22" s="582" t="str">
        <f t="shared" si="1"/>
        <v/>
      </c>
      <c r="J22" s="634">
        <f>+'- 15 -'!B22</f>
        <v>9721012</v>
      </c>
      <c r="K22" s="633">
        <f>+'- 15 -'!E22</f>
        <v>4396393</v>
      </c>
      <c r="L22" s="633">
        <f>+'- 16 -'!G22</f>
        <v>445105</v>
      </c>
      <c r="M22" s="634">
        <f t="shared" si="0"/>
        <v>14562510</v>
      </c>
    </row>
    <row r="23" spans="1:13" ht="14.1" customHeight="1">
      <c r="A23" s="599" t="s">
        <v>246</v>
      </c>
      <c r="B23" s="600">
        <v>11566988</v>
      </c>
      <c r="C23" s="601">
        <v>74.571330449458586</v>
      </c>
      <c r="D23" s="600">
        <v>11734321</v>
      </c>
      <c r="E23" s="601">
        <f>+D23/'- 3 -'!F23*100</f>
        <v>74.855708628265518</v>
      </c>
      <c r="F23" s="600">
        <v>9757.0544074230274</v>
      </c>
      <c r="G23" s="600">
        <f>+D23/'- 7 -'!E23</f>
        <v>10147.285541335177</v>
      </c>
      <c r="I23" s="582" t="str">
        <f t="shared" si="1"/>
        <v/>
      </c>
      <c r="J23" s="634">
        <f>+'- 15 -'!B23</f>
        <v>8499655</v>
      </c>
      <c r="K23" s="633">
        <f>+'- 15 -'!E23</f>
        <v>2779292</v>
      </c>
      <c r="L23" s="633">
        <f>+'- 16 -'!G23</f>
        <v>455374</v>
      </c>
      <c r="M23" s="634">
        <f t="shared" si="0"/>
        <v>11734321</v>
      </c>
    </row>
    <row r="24" spans="1:13" ht="14.1" customHeight="1">
      <c r="A24" s="583" t="s">
        <v>247</v>
      </c>
      <c r="B24" s="584">
        <v>39912158</v>
      </c>
      <c r="C24" s="585">
        <v>79.448035801796252</v>
      </c>
      <c r="D24" s="584">
        <v>40714952</v>
      </c>
      <c r="E24" s="585">
        <f>+D24/'- 3 -'!F24*100</f>
        <v>79.034404397171571</v>
      </c>
      <c r="F24" s="584">
        <v>9405.037585126187</v>
      </c>
      <c r="G24" s="584">
        <f>+D24/'- 7 -'!E24</f>
        <v>9872.9241737190532</v>
      </c>
      <c r="I24" s="582" t="str">
        <f t="shared" si="1"/>
        <v/>
      </c>
      <c r="J24" s="634">
        <f>+'- 15 -'!B24</f>
        <v>30201049</v>
      </c>
      <c r="K24" s="633">
        <f>+'- 15 -'!E24</f>
        <v>9077563</v>
      </c>
      <c r="L24" s="633">
        <f>+'- 16 -'!G24</f>
        <v>1436340</v>
      </c>
      <c r="M24" s="634">
        <f t="shared" si="0"/>
        <v>40714952</v>
      </c>
    </row>
    <row r="25" spans="1:13" ht="14.1" customHeight="1">
      <c r="A25" s="599" t="s">
        <v>248</v>
      </c>
      <c r="B25" s="600">
        <v>121081225</v>
      </c>
      <c r="C25" s="601">
        <v>81.44369844603996</v>
      </c>
      <c r="D25" s="600">
        <v>124715472</v>
      </c>
      <c r="E25" s="601">
        <f>+D25/'- 3 -'!F25*100</f>
        <v>81.541160879424851</v>
      </c>
      <c r="F25" s="600">
        <v>8834.3055494754044</v>
      </c>
      <c r="G25" s="600">
        <f>+D25/'- 7 -'!E25</f>
        <v>9021.0106329113933</v>
      </c>
      <c r="I25" s="582" t="str">
        <f t="shared" si="1"/>
        <v/>
      </c>
      <c r="J25" s="634">
        <f>+'- 15 -'!B25</f>
        <v>85756533</v>
      </c>
      <c r="K25" s="633">
        <f>+'- 15 -'!E25</f>
        <v>32037793</v>
      </c>
      <c r="L25" s="633">
        <f>+'- 16 -'!G25</f>
        <v>6921146</v>
      </c>
      <c r="M25" s="634">
        <f t="shared" si="0"/>
        <v>124715472</v>
      </c>
    </row>
    <row r="26" spans="1:13" ht="14.1" customHeight="1">
      <c r="A26" s="583" t="s">
        <v>249</v>
      </c>
      <c r="B26" s="584">
        <v>27855633</v>
      </c>
      <c r="C26" s="585">
        <v>74.955923528020747</v>
      </c>
      <c r="D26" s="584">
        <v>27763701</v>
      </c>
      <c r="E26" s="585">
        <f>+D26/'- 3 -'!F26*100</f>
        <v>74.027889542501441</v>
      </c>
      <c r="F26" s="584">
        <v>8964.000965406276</v>
      </c>
      <c r="G26" s="584">
        <f>+D26/'- 7 -'!E26</f>
        <v>8910.0452503209235</v>
      </c>
      <c r="I26" s="582" t="str">
        <f t="shared" si="1"/>
        <v/>
      </c>
      <c r="J26" s="634">
        <f>+'- 15 -'!B26</f>
        <v>21135228</v>
      </c>
      <c r="K26" s="633">
        <f>+'- 15 -'!E26</f>
        <v>5386101</v>
      </c>
      <c r="L26" s="633">
        <f>+'- 16 -'!G26</f>
        <v>1242372</v>
      </c>
      <c r="M26" s="634">
        <f t="shared" si="0"/>
        <v>27763701</v>
      </c>
    </row>
    <row r="27" spans="1:13" ht="14.1" customHeight="1">
      <c r="A27" s="599" t="s">
        <v>250</v>
      </c>
      <c r="B27" s="600">
        <v>29249757</v>
      </c>
      <c r="C27" s="601">
        <v>80.28574221244476</v>
      </c>
      <c r="D27" s="600">
        <v>30221397</v>
      </c>
      <c r="E27" s="601">
        <f>+D27/'- 3 -'!F27*100</f>
        <v>82.200681429012647</v>
      </c>
      <c r="F27" s="600">
        <v>10678.835285355453</v>
      </c>
      <c r="G27" s="600">
        <f>+D27/'- 7 -'!E27</f>
        <v>10887.847029578123</v>
      </c>
      <c r="I27" s="582" t="str">
        <f t="shared" si="1"/>
        <v/>
      </c>
      <c r="J27" s="634">
        <f>+'- 15 -'!B27</f>
        <v>21307403</v>
      </c>
      <c r="K27" s="633">
        <f>+'- 15 -'!E27</f>
        <v>7091777</v>
      </c>
      <c r="L27" s="633">
        <f>+'- 16 -'!G27</f>
        <v>1822217</v>
      </c>
      <c r="M27" s="634">
        <f t="shared" si="0"/>
        <v>30221397</v>
      </c>
    </row>
    <row r="28" spans="1:13" ht="14.1" customHeight="1">
      <c r="A28" s="583" t="s">
        <v>251</v>
      </c>
      <c r="B28" s="584">
        <v>18618866</v>
      </c>
      <c r="C28" s="585">
        <v>73.834216780628907</v>
      </c>
      <c r="D28" s="584">
        <v>19774650</v>
      </c>
      <c r="E28" s="585">
        <f>+D28/'- 3 -'!F28*100</f>
        <v>73.909574342836009</v>
      </c>
      <c r="F28" s="584">
        <v>9382.1446208112866</v>
      </c>
      <c r="G28" s="584">
        <f>+D28/'- 7 -'!E28</f>
        <v>9845.4817027632562</v>
      </c>
      <c r="I28" s="582" t="str">
        <f t="shared" si="1"/>
        <v/>
      </c>
      <c r="J28" s="634">
        <f>+'- 15 -'!B28</f>
        <v>15700140</v>
      </c>
      <c r="K28" s="633">
        <f>+'- 15 -'!E28</f>
        <v>3395937</v>
      </c>
      <c r="L28" s="633">
        <f>+'- 16 -'!G28</f>
        <v>678573</v>
      </c>
      <c r="M28" s="634">
        <f t="shared" si="0"/>
        <v>19774650</v>
      </c>
    </row>
    <row r="29" spans="1:13" ht="14.1" customHeight="1">
      <c r="A29" s="599" t="s">
        <v>252</v>
      </c>
      <c r="B29" s="600">
        <v>111726215</v>
      </c>
      <c r="C29" s="601">
        <v>81.521133440877065</v>
      </c>
      <c r="D29" s="600">
        <v>112764169</v>
      </c>
      <c r="E29" s="601">
        <f>+D29/'- 3 -'!F29*100</f>
        <v>80.701736343591463</v>
      </c>
      <c r="F29" s="600">
        <v>9178.6512930892823</v>
      </c>
      <c r="G29" s="600">
        <f>+D29/'- 7 -'!E29</f>
        <v>9240.9195505912612</v>
      </c>
      <c r="I29" s="582" t="str">
        <f t="shared" si="1"/>
        <v/>
      </c>
      <c r="J29" s="634">
        <f>+'- 15 -'!B29</f>
        <v>77653164</v>
      </c>
      <c r="K29" s="633">
        <f>+'- 15 -'!E29</f>
        <v>29174256</v>
      </c>
      <c r="L29" s="633">
        <f>+'- 16 -'!G29</f>
        <v>5936749</v>
      </c>
      <c r="M29" s="634">
        <f t="shared" si="0"/>
        <v>112764169</v>
      </c>
    </row>
    <row r="30" spans="1:13" ht="14.1" customHeight="1">
      <c r="A30" s="583" t="s">
        <v>253</v>
      </c>
      <c r="B30" s="584">
        <v>9885014</v>
      </c>
      <c r="C30" s="585">
        <v>74.301067348165958</v>
      </c>
      <c r="D30" s="584">
        <v>9950939</v>
      </c>
      <c r="E30" s="585">
        <f>+D30/'- 3 -'!F30*100</f>
        <v>74.037091537964656</v>
      </c>
      <c r="F30" s="584">
        <v>9171.4733716830578</v>
      </c>
      <c r="G30" s="584">
        <f>+D30/'- 7 -'!E30</f>
        <v>9391.7539687033986</v>
      </c>
      <c r="I30" s="582" t="str">
        <f t="shared" si="1"/>
        <v/>
      </c>
      <c r="J30" s="634">
        <f>+'- 15 -'!B30</f>
        <v>8022180</v>
      </c>
      <c r="K30" s="633">
        <f>+'- 15 -'!E30</f>
        <v>1423252</v>
      </c>
      <c r="L30" s="633">
        <f>+'- 16 -'!G30</f>
        <v>505507</v>
      </c>
      <c r="M30" s="634">
        <f t="shared" si="0"/>
        <v>9950939</v>
      </c>
    </row>
    <row r="31" spans="1:13" ht="14.1" customHeight="1">
      <c r="A31" s="599" t="s">
        <v>254</v>
      </c>
      <c r="B31" s="600">
        <v>26140492</v>
      </c>
      <c r="C31" s="601">
        <v>80.200213272100058</v>
      </c>
      <c r="D31" s="600">
        <v>27136897</v>
      </c>
      <c r="E31" s="601">
        <f>+D31/'- 3 -'!F31*100</f>
        <v>80.617734958943828</v>
      </c>
      <c r="F31" s="600">
        <v>8217.6963219113495</v>
      </c>
      <c r="G31" s="600">
        <f>+D31/'- 7 -'!E31</f>
        <v>8529.5920163444916</v>
      </c>
      <c r="I31" s="582" t="str">
        <f t="shared" si="1"/>
        <v/>
      </c>
      <c r="J31" s="634">
        <f>+'- 15 -'!B31</f>
        <v>19563510</v>
      </c>
      <c r="K31" s="633">
        <f>+'- 15 -'!E31</f>
        <v>6380842</v>
      </c>
      <c r="L31" s="633">
        <f>+'- 16 -'!G31</f>
        <v>1192545</v>
      </c>
      <c r="M31" s="634">
        <f t="shared" si="0"/>
        <v>27136897</v>
      </c>
    </row>
    <row r="32" spans="1:13" ht="14.1" customHeight="1">
      <c r="A32" s="583" t="s">
        <v>255</v>
      </c>
      <c r="B32" s="584">
        <v>18420414</v>
      </c>
      <c r="C32" s="585">
        <v>75.507809348788072</v>
      </c>
      <c r="D32" s="584">
        <v>19180788</v>
      </c>
      <c r="E32" s="585">
        <f>+D32/'- 3 -'!F32*100</f>
        <v>74.520449719819666</v>
      </c>
      <c r="F32" s="584">
        <v>8931.1098181818179</v>
      </c>
      <c r="G32" s="584">
        <f>+D32/'- 7 -'!E32</f>
        <v>9486.0474777448071</v>
      </c>
      <c r="I32" s="582" t="str">
        <f t="shared" si="1"/>
        <v/>
      </c>
      <c r="J32" s="634">
        <f>+'- 15 -'!B32</f>
        <v>14745728</v>
      </c>
      <c r="K32" s="633">
        <f>+'- 15 -'!E32</f>
        <v>3721514</v>
      </c>
      <c r="L32" s="633">
        <f>+'- 16 -'!G32</f>
        <v>713546</v>
      </c>
      <c r="M32" s="634">
        <f t="shared" si="0"/>
        <v>19180788</v>
      </c>
    </row>
    <row r="33" spans="1:13" ht="14.1" customHeight="1">
      <c r="A33" s="599" t="s">
        <v>256</v>
      </c>
      <c r="B33" s="600">
        <v>18261571</v>
      </c>
      <c r="C33" s="601">
        <v>72.428971872728738</v>
      </c>
      <c r="D33" s="600">
        <v>18893843</v>
      </c>
      <c r="E33" s="601">
        <f>+D33/'- 3 -'!F33*100</f>
        <v>72.255052895505528</v>
      </c>
      <c r="F33" s="600">
        <v>9022.515316205534</v>
      </c>
      <c r="G33" s="600">
        <f>+D33/'- 7 -'!E33</f>
        <v>9447.8662866286613</v>
      </c>
      <c r="I33" s="582" t="str">
        <f t="shared" si="1"/>
        <v/>
      </c>
      <c r="J33" s="634">
        <f>+'- 15 -'!B33</f>
        <v>14758289</v>
      </c>
      <c r="K33" s="633">
        <f>+'- 15 -'!E33</f>
        <v>3437364</v>
      </c>
      <c r="L33" s="633">
        <f>+'- 16 -'!G33</f>
        <v>698190</v>
      </c>
      <c r="M33" s="634">
        <f t="shared" si="0"/>
        <v>18893843</v>
      </c>
    </row>
    <row r="34" spans="1:13" ht="14.1" customHeight="1">
      <c r="A34" s="583" t="s">
        <v>257</v>
      </c>
      <c r="B34" s="584">
        <v>17802217</v>
      </c>
      <c r="C34" s="585">
        <v>73.595079533144499</v>
      </c>
      <c r="D34" s="584">
        <v>18548380</v>
      </c>
      <c r="E34" s="585">
        <f>+D34/'- 3 -'!F34*100</f>
        <v>73.63950935208166</v>
      </c>
      <c r="F34" s="584">
        <v>8731.4134790349563</v>
      </c>
      <c r="G34" s="584">
        <f>+D34/'- 7 -'!E34</f>
        <v>9415.4213197969548</v>
      </c>
      <c r="I34" s="582" t="str">
        <f t="shared" si="1"/>
        <v/>
      </c>
      <c r="J34" s="634">
        <f>+'- 15 -'!B34</f>
        <v>14350165</v>
      </c>
      <c r="K34" s="633">
        <f>+'- 15 -'!E34</f>
        <v>3637303</v>
      </c>
      <c r="L34" s="633">
        <f>+'- 16 -'!G34</f>
        <v>560912</v>
      </c>
      <c r="M34" s="634">
        <f t="shared" si="0"/>
        <v>18548380</v>
      </c>
    </row>
    <row r="35" spans="1:13" ht="14.1" customHeight="1">
      <c r="A35" s="599" t="s">
        <v>258</v>
      </c>
      <c r="B35" s="600">
        <v>132938655</v>
      </c>
      <c r="C35" s="601">
        <v>81.200029966253766</v>
      </c>
      <c r="D35" s="600">
        <v>135484535</v>
      </c>
      <c r="E35" s="601">
        <f>+D35/'- 3 -'!F35*100</f>
        <v>80.193458289042354</v>
      </c>
      <c r="F35" s="600">
        <v>8422.3679042067924</v>
      </c>
      <c r="G35" s="600">
        <f>+D35/'- 7 -'!E35</f>
        <v>8705.2741992482406</v>
      </c>
      <c r="I35" s="582" t="str">
        <f t="shared" si="1"/>
        <v/>
      </c>
      <c r="J35" s="634">
        <f>+'- 15 -'!B35</f>
        <v>96110782</v>
      </c>
      <c r="K35" s="633">
        <f>+'- 15 -'!E35</f>
        <v>32357156</v>
      </c>
      <c r="L35" s="633">
        <f>+'- 16 -'!G35</f>
        <v>7016597</v>
      </c>
      <c r="M35" s="634">
        <f t="shared" si="0"/>
        <v>135484535</v>
      </c>
    </row>
    <row r="36" spans="1:13" ht="14.1" customHeight="1">
      <c r="A36" s="583" t="s">
        <v>259</v>
      </c>
      <c r="B36" s="584">
        <v>15299200</v>
      </c>
      <c r="C36" s="585">
        <v>74.949066262162219</v>
      </c>
      <c r="D36" s="584">
        <v>16020146</v>
      </c>
      <c r="E36" s="585">
        <f>+D36/'- 3 -'!F36*100</f>
        <v>75.403662438294987</v>
      </c>
      <c r="F36" s="584">
        <v>9275.0530463776904</v>
      </c>
      <c r="G36" s="584">
        <f>+D36/'- 7 -'!E36</f>
        <v>9843.4076804915512</v>
      </c>
      <c r="I36" s="582" t="str">
        <f t="shared" si="1"/>
        <v/>
      </c>
      <c r="J36" s="634">
        <f>+'- 15 -'!B36</f>
        <v>12544013</v>
      </c>
      <c r="K36" s="633">
        <f>+'- 15 -'!E36</f>
        <v>2762483</v>
      </c>
      <c r="L36" s="633">
        <f>+'- 16 -'!G36</f>
        <v>713650</v>
      </c>
      <c r="M36" s="634">
        <f t="shared" si="0"/>
        <v>16020146</v>
      </c>
    </row>
    <row r="37" spans="1:13" ht="14.1" customHeight="1">
      <c r="A37" s="599" t="s">
        <v>260</v>
      </c>
      <c r="B37" s="600">
        <v>30519629</v>
      </c>
      <c r="C37" s="601">
        <v>77.914741804077522</v>
      </c>
      <c r="D37" s="600">
        <v>32411279</v>
      </c>
      <c r="E37" s="601">
        <f>+D37/'- 3 -'!F37*100</f>
        <v>77.364039319526938</v>
      </c>
      <c r="F37" s="600">
        <v>8185.4979214161194</v>
      </c>
      <c r="G37" s="600">
        <f>+D37/'- 7 -'!E37</f>
        <v>8281.9161875558966</v>
      </c>
      <c r="I37" s="582" t="str">
        <f t="shared" si="1"/>
        <v/>
      </c>
      <c r="J37" s="634">
        <f>+'- 15 -'!B37</f>
        <v>23417228</v>
      </c>
      <c r="K37" s="633">
        <f>+'- 15 -'!E37</f>
        <v>7596586</v>
      </c>
      <c r="L37" s="633">
        <f>+'- 16 -'!G37</f>
        <v>1397465</v>
      </c>
      <c r="M37" s="634">
        <f t="shared" si="0"/>
        <v>32411279</v>
      </c>
    </row>
    <row r="38" spans="1:13" ht="14.1" customHeight="1">
      <c r="A38" s="583" t="s">
        <v>261</v>
      </c>
      <c r="B38" s="584">
        <v>88626658</v>
      </c>
      <c r="C38" s="585">
        <v>82.001776312610147</v>
      </c>
      <c r="D38" s="584">
        <v>93124725</v>
      </c>
      <c r="E38" s="585">
        <f>+D38/'- 3 -'!F38*100</f>
        <v>82.581379434390414</v>
      </c>
      <c r="F38" s="584">
        <v>8561.6385872715327</v>
      </c>
      <c r="G38" s="584">
        <f>+D38/'- 7 -'!E38</f>
        <v>8909.9222143554216</v>
      </c>
      <c r="I38" s="582" t="str">
        <f t="shared" si="1"/>
        <v/>
      </c>
      <c r="J38" s="634">
        <f>+'- 15 -'!B38</f>
        <v>68133640</v>
      </c>
      <c r="K38" s="633">
        <f>+'- 15 -'!E38</f>
        <v>20512724</v>
      </c>
      <c r="L38" s="633">
        <f>+'- 16 -'!G38</f>
        <v>4478361</v>
      </c>
      <c r="M38" s="634">
        <f t="shared" si="0"/>
        <v>93124725</v>
      </c>
    </row>
    <row r="39" spans="1:13" ht="14.1" customHeight="1">
      <c r="A39" s="599" t="s">
        <v>262</v>
      </c>
      <c r="B39" s="600">
        <v>14213646</v>
      </c>
      <c r="C39" s="601">
        <v>73.018218021369691</v>
      </c>
      <c r="D39" s="600">
        <v>14536281</v>
      </c>
      <c r="E39" s="601">
        <f>+D39/'- 3 -'!F39*100</f>
        <v>72.012695113179021</v>
      </c>
      <c r="F39" s="600">
        <v>8961.9457755359399</v>
      </c>
      <c r="G39" s="600">
        <f>+D39/'- 7 -'!E39</f>
        <v>9345.0858244937317</v>
      </c>
      <c r="I39" s="582" t="str">
        <f t="shared" si="1"/>
        <v/>
      </c>
      <c r="J39" s="634">
        <f>+'- 15 -'!B39</f>
        <v>11219663</v>
      </c>
      <c r="K39" s="633">
        <f>+'- 15 -'!E39</f>
        <v>2620034</v>
      </c>
      <c r="L39" s="633">
        <f>+'- 16 -'!G39</f>
        <v>696584</v>
      </c>
      <c r="M39" s="634">
        <f t="shared" si="0"/>
        <v>14536281</v>
      </c>
    </row>
    <row r="40" spans="1:13" ht="14.1" customHeight="1">
      <c r="A40" s="583" t="s">
        <v>263</v>
      </c>
      <c r="B40" s="584">
        <v>75352231</v>
      </c>
      <c r="C40" s="585">
        <v>82.02280715143246</v>
      </c>
      <c r="D40" s="584">
        <v>77426586</v>
      </c>
      <c r="E40" s="585">
        <f>+D40/'- 3 -'!F40*100</f>
        <v>82.317424755015921</v>
      </c>
      <c r="F40" s="584">
        <v>9377.1831949923471</v>
      </c>
      <c r="G40" s="584">
        <f>+D40/'- 7 -'!E40</f>
        <v>9746.978530020835</v>
      </c>
      <c r="I40" s="582" t="str">
        <f t="shared" si="1"/>
        <v/>
      </c>
      <c r="J40" s="634">
        <f>+'- 15 -'!B40</f>
        <v>54188618</v>
      </c>
      <c r="K40" s="633">
        <f>+'- 15 -'!E40</f>
        <v>19841412</v>
      </c>
      <c r="L40" s="633">
        <f>+'- 16 -'!G40</f>
        <v>3396556</v>
      </c>
      <c r="M40" s="634">
        <f t="shared" si="0"/>
        <v>77426586</v>
      </c>
    </row>
    <row r="41" spans="1:13" ht="14.1" customHeight="1">
      <c r="A41" s="599" t="s">
        <v>264</v>
      </c>
      <c r="B41" s="600">
        <v>42809656</v>
      </c>
      <c r="C41" s="601">
        <v>75.568261654057608</v>
      </c>
      <c r="D41" s="600">
        <v>43276312</v>
      </c>
      <c r="E41" s="601">
        <f>+D41/'- 3 -'!F41*100</f>
        <v>75.463574684249224</v>
      </c>
      <c r="F41" s="600">
        <v>9568.5417970496201</v>
      </c>
      <c r="G41" s="600">
        <f>+D41/'- 7 -'!E41</f>
        <v>9819.9028817789876</v>
      </c>
      <c r="I41" s="582" t="str">
        <f t="shared" si="1"/>
        <v/>
      </c>
      <c r="J41" s="634">
        <f>+'- 15 -'!B41</f>
        <v>30530894</v>
      </c>
      <c r="K41" s="633">
        <f>+'- 15 -'!E41</f>
        <v>11229008</v>
      </c>
      <c r="L41" s="633">
        <f>+'- 16 -'!G41</f>
        <v>1516410</v>
      </c>
      <c r="M41" s="634">
        <f t="shared" si="0"/>
        <v>43276312</v>
      </c>
    </row>
    <row r="42" spans="1:13" ht="14.1" customHeight="1">
      <c r="A42" s="583" t="s">
        <v>265</v>
      </c>
      <c r="B42" s="584">
        <v>14832415</v>
      </c>
      <c r="C42" s="585">
        <v>75.993230684543974</v>
      </c>
      <c r="D42" s="584">
        <v>15001523</v>
      </c>
      <c r="E42" s="585">
        <f>+D42/'- 3 -'!F42*100</f>
        <v>75.227859604564287</v>
      </c>
      <c r="F42" s="584">
        <v>10381.756141947224</v>
      </c>
      <c r="G42" s="584">
        <f>+D42/'- 7 -'!E42</f>
        <v>10336.610624956935</v>
      </c>
      <c r="I42" s="582" t="str">
        <f t="shared" si="1"/>
        <v/>
      </c>
      <c r="J42" s="634">
        <f>+'- 15 -'!B42</f>
        <v>11362028</v>
      </c>
      <c r="K42" s="633">
        <f>+'- 15 -'!E42</f>
        <v>3110584</v>
      </c>
      <c r="L42" s="633">
        <f>+'- 16 -'!G42</f>
        <v>528911</v>
      </c>
      <c r="M42" s="634">
        <f t="shared" si="0"/>
        <v>15001523</v>
      </c>
    </row>
    <row r="43" spans="1:13" ht="14.1" customHeight="1">
      <c r="A43" s="599" t="s">
        <v>266</v>
      </c>
      <c r="B43" s="600">
        <v>8740617</v>
      </c>
      <c r="C43" s="601">
        <v>76.736335531489786</v>
      </c>
      <c r="D43" s="600">
        <v>9188565</v>
      </c>
      <c r="E43" s="601">
        <f>+D43/'- 3 -'!F43*100</f>
        <v>75.851431141322152</v>
      </c>
      <c r="F43" s="600">
        <v>8960.1404407995906</v>
      </c>
      <c r="G43" s="600">
        <f>+D43/'- 7 -'!E43</f>
        <v>9387.581732733961</v>
      </c>
      <c r="I43" s="582" t="str">
        <f t="shared" si="1"/>
        <v/>
      </c>
      <c r="J43" s="634">
        <f>+'- 15 -'!B43</f>
        <v>6654648</v>
      </c>
      <c r="K43" s="633">
        <f>+'- 15 -'!E43</f>
        <v>2055924</v>
      </c>
      <c r="L43" s="633">
        <f>+'- 16 -'!G43</f>
        <v>477993</v>
      </c>
      <c r="M43" s="634">
        <f t="shared" si="0"/>
        <v>9188565</v>
      </c>
    </row>
    <row r="44" spans="1:13" ht="14.1" customHeight="1">
      <c r="A44" s="583" t="s">
        <v>267</v>
      </c>
      <c r="B44" s="584">
        <v>7194402</v>
      </c>
      <c r="C44" s="585">
        <v>73.838903476577329</v>
      </c>
      <c r="D44" s="584">
        <v>7614656</v>
      </c>
      <c r="E44" s="585">
        <f>+D44/'- 3 -'!F44*100</f>
        <v>74.116537679571607</v>
      </c>
      <c r="F44" s="584">
        <v>10055.069182389938</v>
      </c>
      <c r="G44" s="584">
        <f>+D44/'- 7 -'!E44</f>
        <v>10854.819672131147</v>
      </c>
      <c r="I44" s="582" t="str">
        <f t="shared" si="1"/>
        <v/>
      </c>
      <c r="J44" s="634">
        <f>+'- 15 -'!B44</f>
        <v>5718875</v>
      </c>
      <c r="K44" s="633">
        <f>+'- 15 -'!E44</f>
        <v>1637737</v>
      </c>
      <c r="L44" s="633">
        <f>+'- 16 -'!G44</f>
        <v>258044</v>
      </c>
      <c r="M44" s="634">
        <f t="shared" si="0"/>
        <v>7614656</v>
      </c>
    </row>
    <row r="45" spans="1:13" ht="14.1" customHeight="1">
      <c r="A45" s="599" t="s">
        <v>268</v>
      </c>
      <c r="B45" s="600">
        <v>12702784</v>
      </c>
      <c r="C45" s="601">
        <v>80.040790433100938</v>
      </c>
      <c r="D45" s="600">
        <v>13090175</v>
      </c>
      <c r="E45" s="601">
        <f>+D45/'- 3 -'!F45*100</f>
        <v>79.427907061974906</v>
      </c>
      <c r="F45" s="600">
        <v>7889.927950310559</v>
      </c>
      <c r="G45" s="600">
        <f>+D45/'- 7 -'!E45</f>
        <v>8092.8438948995363</v>
      </c>
      <c r="I45" s="582" t="str">
        <f t="shared" si="1"/>
        <v/>
      </c>
      <c r="J45" s="634">
        <f>+'- 15 -'!B45</f>
        <v>10058663</v>
      </c>
      <c r="K45" s="633">
        <f>+'- 15 -'!E45</f>
        <v>2576865</v>
      </c>
      <c r="L45" s="633">
        <f>+'- 16 -'!G45</f>
        <v>454647</v>
      </c>
      <c r="M45" s="634">
        <f t="shared" si="0"/>
        <v>13090175</v>
      </c>
    </row>
    <row r="46" spans="1:13" ht="14.1" customHeight="1">
      <c r="A46" s="583" t="s">
        <v>269</v>
      </c>
      <c r="B46" s="584">
        <v>275381174</v>
      </c>
      <c r="C46" s="585">
        <v>81.367617707782642</v>
      </c>
      <c r="D46" s="584">
        <v>282582450</v>
      </c>
      <c r="E46" s="585">
        <f>+D46/'- 3 -'!F46*100</f>
        <v>81.459083913515514</v>
      </c>
      <c r="F46" s="584">
        <v>9140.6769343114156</v>
      </c>
      <c r="G46" s="584">
        <f>+D46/'- 7 -'!E46</f>
        <v>9467.2562013374263</v>
      </c>
      <c r="I46" s="582" t="str">
        <f t="shared" si="1"/>
        <v/>
      </c>
      <c r="J46" s="634">
        <f>+'- 15 -'!B46</f>
        <v>188734422</v>
      </c>
      <c r="K46" s="633">
        <f>+'- 15 -'!E46</f>
        <v>84019201</v>
      </c>
      <c r="L46" s="633">
        <f>+'- 16 -'!G46</f>
        <v>9828827</v>
      </c>
      <c r="M46" s="634">
        <f t="shared" si="0"/>
        <v>282582450</v>
      </c>
    </row>
    <row r="47" spans="1:13" ht="5.0999999999999996" customHeight="1">
      <c r="B47" s="582"/>
      <c r="C47" s="582"/>
      <c r="D47" s="582"/>
      <c r="E47" s="582"/>
      <c r="F47" s="582"/>
      <c r="G47" s="582"/>
      <c r="I47" s="582" t="str">
        <f t="shared" si="1"/>
        <v/>
      </c>
      <c r="J47" s="634">
        <f>+'- 15 -'!B47</f>
        <v>0</v>
      </c>
      <c r="K47" s="633">
        <f>+'- 15 -'!E47</f>
        <v>0</v>
      </c>
      <c r="L47" s="633">
        <f>+'- 16 -'!G47</f>
        <v>0</v>
      </c>
      <c r="M47" s="634">
        <f t="shared" si="0"/>
        <v>0</v>
      </c>
    </row>
    <row r="48" spans="1:13" ht="14.1" customHeight="1">
      <c r="A48" s="602" t="s">
        <v>270</v>
      </c>
      <c r="B48" s="603">
        <v>1552379642</v>
      </c>
      <c r="C48" s="604">
        <v>78.796128175080966</v>
      </c>
      <c r="D48" s="603">
        <f>SUM(D11:D46)</f>
        <v>1602176344</v>
      </c>
      <c r="E48" s="604">
        <f>+D48/'- 3 -'!F48*100</f>
        <v>78.631845754255664</v>
      </c>
      <c r="F48" s="603">
        <v>9011.7786788992762</v>
      </c>
      <c r="G48" s="603">
        <f>+D48/'- 7 -'!E48</f>
        <v>9313.7145080049486</v>
      </c>
      <c r="I48" s="582" t="str">
        <f t="shared" si="1"/>
        <v/>
      </c>
      <c r="J48" s="634">
        <f>+'- 15 -'!B48</f>
        <v>1145492703</v>
      </c>
      <c r="K48" s="633">
        <f>+'- 15 -'!E48</f>
        <v>384525286</v>
      </c>
      <c r="L48" s="633">
        <f>+'- 16 -'!G48</f>
        <v>72158355</v>
      </c>
      <c r="M48" s="634">
        <f t="shared" si="0"/>
        <v>1602176344</v>
      </c>
    </row>
    <row r="49" spans="1:7" ht="5.0999999999999996" customHeight="1">
      <c r="B49" s="582"/>
      <c r="C49" s="582"/>
      <c r="D49" s="582"/>
      <c r="E49" s="582"/>
      <c r="F49" s="582"/>
      <c r="G49" s="582"/>
    </row>
    <row r="50" spans="1:7" ht="49.5" customHeight="1">
      <c r="A50" s="586"/>
      <c r="B50" s="587"/>
      <c r="C50" s="587"/>
      <c r="D50" s="587"/>
      <c r="E50" s="587"/>
      <c r="F50" s="587"/>
      <c r="G50" s="587"/>
    </row>
    <row r="51" spans="1:7">
      <c r="A51" s="588" t="s">
        <v>579</v>
      </c>
      <c r="B51" s="582"/>
      <c r="C51" s="582"/>
      <c r="D51" s="582"/>
      <c r="E51" s="582"/>
      <c r="F51" s="582"/>
      <c r="G51" s="582"/>
    </row>
    <row r="52" spans="1:7">
      <c r="A52" s="588" t="s">
        <v>580</v>
      </c>
      <c r="B52" s="582"/>
      <c r="C52" s="582"/>
      <c r="D52" s="582"/>
      <c r="E52" s="582"/>
      <c r="F52" s="582"/>
      <c r="G52" s="582"/>
    </row>
    <row r="53" spans="1:7" ht="10.5" customHeight="1">
      <c r="A53" s="588" t="s">
        <v>686</v>
      </c>
      <c r="B53" s="588"/>
      <c r="C53" s="588"/>
    </row>
    <row r="54" spans="1:7" ht="12" customHeight="1">
      <c r="B54" s="588"/>
      <c r="C54" s="588"/>
    </row>
    <row r="55" spans="1:7" ht="12" customHeight="1">
      <c r="A55" s="589"/>
      <c r="B55" s="588"/>
      <c r="C55" s="588"/>
    </row>
    <row r="56" spans="1:7" ht="12" customHeight="1">
      <c r="A56" s="589"/>
      <c r="B56" s="588"/>
      <c r="C56" s="588"/>
    </row>
    <row r="57" spans="1:7" ht="14.45" customHeight="1">
      <c r="A57" s="588"/>
    </row>
  </sheetData>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6.xml><?xml version="1.0" encoding="utf-8"?>
<worksheet xmlns="http://schemas.openxmlformats.org/spreadsheetml/2006/main" xmlns:r="http://schemas.openxmlformats.org/officeDocument/2006/relationships">
  <sheetPr codeName="Sheet5">
    <pageSetUpPr fitToPage="1"/>
  </sheetPr>
  <dimension ref="A1:H57"/>
  <sheetViews>
    <sheetView showGridLines="0" showZeros="0" workbookViewId="0"/>
  </sheetViews>
  <sheetFormatPr defaultColWidth="16.83203125" defaultRowHeight="12"/>
  <cols>
    <col min="1" max="1" width="32.83203125" style="1" customWidth="1"/>
    <col min="2" max="6" width="16.83203125" style="1" customWidth="1"/>
    <col min="7" max="16384" width="16.83203125" style="1"/>
  </cols>
  <sheetData>
    <row r="1" spans="1:7" ht="6.95" customHeight="1">
      <c r="A1" s="6"/>
      <c r="B1" s="7"/>
      <c r="C1" s="7"/>
      <c r="D1" s="7"/>
      <c r="E1" s="7"/>
      <c r="F1" s="7"/>
      <c r="G1" s="7"/>
    </row>
    <row r="2" spans="1:7" ht="15.95" customHeight="1">
      <c r="A2" s="71"/>
      <c r="B2" s="81" t="s">
        <v>183</v>
      </c>
      <c r="C2" s="9"/>
      <c r="D2" s="9"/>
      <c r="E2" s="9"/>
      <c r="F2" s="82"/>
      <c r="G2" s="82"/>
    </row>
    <row r="3" spans="1:7" ht="15.95" customHeight="1">
      <c r="A3" s="698"/>
      <c r="B3" s="83" t="s">
        <v>357</v>
      </c>
      <c r="C3" s="11"/>
      <c r="D3" s="11"/>
      <c r="E3" s="11"/>
      <c r="F3" s="84"/>
      <c r="G3" s="84"/>
    </row>
    <row r="4" spans="1:7" ht="15.95" customHeight="1">
      <c r="B4" s="7"/>
      <c r="C4" s="7"/>
      <c r="D4" s="7"/>
      <c r="E4" s="7"/>
      <c r="F4" s="7"/>
      <c r="G4" s="7"/>
    </row>
    <row r="5" spans="1:7" ht="15.95" customHeight="1"/>
    <row r="6" spans="1:7" ht="15.95" customHeight="1">
      <c r="B6" s="677" t="s">
        <v>395</v>
      </c>
      <c r="C6" s="678"/>
      <c r="D6" s="679"/>
      <c r="E6" s="680" t="s">
        <v>396</v>
      </c>
      <c r="F6" s="680" t="s">
        <v>397</v>
      </c>
      <c r="G6" s="681" t="s">
        <v>397</v>
      </c>
    </row>
    <row r="7" spans="1:7" ht="15.95" customHeight="1">
      <c r="B7" s="711" t="s">
        <v>745</v>
      </c>
      <c r="C7" s="712"/>
      <c r="D7" s="713"/>
      <c r="E7" s="478" t="s">
        <v>745</v>
      </c>
      <c r="F7" s="570" t="s">
        <v>707</v>
      </c>
      <c r="G7" s="570" t="s">
        <v>690</v>
      </c>
    </row>
    <row r="8" spans="1:7" ht="15.95" customHeight="1">
      <c r="A8" s="502"/>
      <c r="B8" s="682" t="s">
        <v>432</v>
      </c>
      <c r="C8" s="85" t="s">
        <v>83</v>
      </c>
      <c r="D8" s="86" t="s">
        <v>419</v>
      </c>
      <c r="E8" s="14" t="s">
        <v>420</v>
      </c>
      <c r="F8" s="14" t="s">
        <v>419</v>
      </c>
      <c r="G8" s="683" t="s">
        <v>419</v>
      </c>
    </row>
    <row r="9" spans="1:7" ht="15.95" customHeight="1">
      <c r="A9" s="503" t="s">
        <v>93</v>
      </c>
      <c r="B9" s="684" t="s">
        <v>184</v>
      </c>
      <c r="C9" s="685" t="s">
        <v>184</v>
      </c>
      <c r="D9" s="685" t="s">
        <v>184</v>
      </c>
      <c r="E9" s="686" t="s">
        <v>184</v>
      </c>
      <c r="F9" s="687" t="s">
        <v>184</v>
      </c>
      <c r="G9" s="688" t="s">
        <v>184</v>
      </c>
    </row>
    <row r="10" spans="1:7" ht="5.0999999999999996" customHeight="1">
      <c r="A10" s="5"/>
    </row>
    <row r="11" spans="1:7" ht="14.1" customHeight="1">
      <c r="A11" s="328" t="s">
        <v>235</v>
      </c>
      <c r="B11" s="329">
        <v>1538</v>
      </c>
      <c r="C11" s="329">
        <v>0</v>
      </c>
      <c r="D11" s="329">
        <f>+B11-C11</f>
        <v>1538</v>
      </c>
      <c r="E11" s="335">
        <f>'- 7 -'!E11</f>
        <v>1483</v>
      </c>
      <c r="F11" s="335">
        <v>1496.5</v>
      </c>
      <c r="G11" s="335">
        <v>1428.5</v>
      </c>
    </row>
    <row r="12" spans="1:7" ht="14.1" customHeight="1">
      <c r="A12" s="26" t="s">
        <v>236</v>
      </c>
      <c r="B12" s="27">
        <v>2272</v>
      </c>
      <c r="C12" s="27">
        <v>0</v>
      </c>
      <c r="D12" s="27">
        <f t="shared" ref="D12:D46" si="0">+B12-C12</f>
        <v>2272</v>
      </c>
      <c r="E12" s="79">
        <f>'- 7 -'!E12</f>
        <v>2188.2000000000003</v>
      </c>
      <c r="F12" s="79">
        <v>2154.9</v>
      </c>
      <c r="G12" s="79">
        <v>2190</v>
      </c>
    </row>
    <row r="13" spans="1:7" ht="14.1" customHeight="1">
      <c r="A13" s="328" t="s">
        <v>237</v>
      </c>
      <c r="B13" s="329">
        <v>8329</v>
      </c>
      <c r="C13" s="329">
        <v>0</v>
      </c>
      <c r="D13" s="329">
        <f t="shared" si="0"/>
        <v>8329</v>
      </c>
      <c r="E13" s="335">
        <f>'- 7 -'!E13</f>
        <v>8000.5</v>
      </c>
      <c r="F13" s="335">
        <v>7781.5</v>
      </c>
      <c r="G13" s="335">
        <v>7522.4</v>
      </c>
    </row>
    <row r="14" spans="1:7" ht="14.1" customHeight="1">
      <c r="A14" s="26" t="s">
        <v>636</v>
      </c>
      <c r="B14" s="27">
        <v>5201</v>
      </c>
      <c r="C14" s="27">
        <v>0</v>
      </c>
      <c r="D14" s="27">
        <f t="shared" si="0"/>
        <v>5201</v>
      </c>
      <c r="E14" s="79">
        <f>'- 7 -'!E14</f>
        <v>5201</v>
      </c>
      <c r="F14" s="79">
        <v>4837.7</v>
      </c>
      <c r="G14" s="79">
        <v>4705.1000000000004</v>
      </c>
    </row>
    <row r="15" spans="1:7" ht="14.1" customHeight="1">
      <c r="A15" s="328" t="s">
        <v>238</v>
      </c>
      <c r="B15" s="329">
        <v>1544</v>
      </c>
      <c r="C15" s="329">
        <v>0</v>
      </c>
      <c r="D15" s="329">
        <f t="shared" si="0"/>
        <v>1544</v>
      </c>
      <c r="E15" s="335">
        <f>'- 7 -'!E15</f>
        <v>1491.5</v>
      </c>
      <c r="F15" s="335">
        <v>1512</v>
      </c>
      <c r="G15" s="335">
        <v>1499.6</v>
      </c>
    </row>
    <row r="16" spans="1:7" ht="14.1" customHeight="1">
      <c r="A16" s="26" t="s">
        <v>239</v>
      </c>
      <c r="B16" s="27">
        <v>1001</v>
      </c>
      <c r="C16" s="27">
        <v>0</v>
      </c>
      <c r="D16" s="27">
        <f t="shared" si="0"/>
        <v>1001</v>
      </c>
      <c r="E16" s="79">
        <f>'- 7 -'!E16</f>
        <v>962</v>
      </c>
      <c r="F16" s="79">
        <v>956.6</v>
      </c>
      <c r="G16" s="79">
        <v>959.4</v>
      </c>
    </row>
    <row r="17" spans="1:7" ht="14.1" customHeight="1">
      <c r="A17" s="328" t="s">
        <v>240</v>
      </c>
      <c r="B17" s="329">
        <v>1368</v>
      </c>
      <c r="C17" s="329">
        <v>0</v>
      </c>
      <c r="D17" s="329">
        <f t="shared" si="0"/>
        <v>1368</v>
      </c>
      <c r="E17" s="335">
        <f>'- 7 -'!E17</f>
        <v>1286.9571428571428</v>
      </c>
      <c r="F17" s="335">
        <v>1263</v>
      </c>
      <c r="G17" s="335">
        <v>1273.7</v>
      </c>
    </row>
    <row r="18" spans="1:7" ht="14.1" customHeight="1">
      <c r="A18" s="26" t="s">
        <v>241</v>
      </c>
      <c r="B18" s="27">
        <v>6704</v>
      </c>
      <c r="C18" s="27">
        <v>495</v>
      </c>
      <c r="D18" s="27">
        <f t="shared" si="0"/>
        <v>6209</v>
      </c>
      <c r="E18" s="79">
        <f>'- 7 -'!E18</f>
        <v>6065.8</v>
      </c>
      <c r="F18" s="79">
        <v>2409.1</v>
      </c>
      <c r="G18" s="79">
        <v>2482.9</v>
      </c>
    </row>
    <row r="19" spans="1:7" ht="14.1" customHeight="1">
      <c r="A19" s="328" t="s">
        <v>242</v>
      </c>
      <c r="B19" s="329">
        <v>4335</v>
      </c>
      <c r="C19" s="329">
        <v>0</v>
      </c>
      <c r="D19" s="329">
        <f t="shared" si="0"/>
        <v>4335</v>
      </c>
      <c r="E19" s="335">
        <f>'- 7 -'!E19</f>
        <v>4193.2</v>
      </c>
      <c r="F19" s="335">
        <v>4168.2</v>
      </c>
      <c r="G19" s="335">
        <v>4113.6000000000004</v>
      </c>
    </row>
    <row r="20" spans="1:7" ht="14.1" customHeight="1">
      <c r="A20" s="26" t="s">
        <v>243</v>
      </c>
      <c r="B20" s="27">
        <v>7721</v>
      </c>
      <c r="C20" s="27">
        <v>0</v>
      </c>
      <c r="D20" s="27">
        <f t="shared" si="0"/>
        <v>7721</v>
      </c>
      <c r="E20" s="79">
        <f>'- 7 -'!E20</f>
        <v>7379</v>
      </c>
      <c r="F20" s="79">
        <v>7378.4</v>
      </c>
      <c r="G20" s="79">
        <v>7288</v>
      </c>
    </row>
    <row r="21" spans="1:7" ht="14.1" customHeight="1">
      <c r="A21" s="328" t="s">
        <v>244</v>
      </c>
      <c r="B21" s="329">
        <v>2815</v>
      </c>
      <c r="C21" s="329">
        <v>0</v>
      </c>
      <c r="D21" s="329">
        <f t="shared" si="0"/>
        <v>2815</v>
      </c>
      <c r="E21" s="335">
        <f>'- 7 -'!E21</f>
        <v>2703</v>
      </c>
      <c r="F21" s="335">
        <v>2756.8</v>
      </c>
      <c r="G21" s="335">
        <v>2836.4</v>
      </c>
    </row>
    <row r="22" spans="1:7" ht="14.1" customHeight="1">
      <c r="A22" s="26" t="s">
        <v>245</v>
      </c>
      <c r="B22" s="27">
        <v>1632</v>
      </c>
      <c r="C22" s="27">
        <v>0</v>
      </c>
      <c r="D22" s="27">
        <f t="shared" si="0"/>
        <v>1632</v>
      </c>
      <c r="E22" s="79">
        <f>'- 7 -'!E22</f>
        <v>1568.2</v>
      </c>
      <c r="F22" s="79">
        <v>1595.5</v>
      </c>
      <c r="G22" s="79">
        <v>1565.2</v>
      </c>
    </row>
    <row r="23" spans="1:7" ht="14.1" customHeight="1">
      <c r="A23" s="328" t="s">
        <v>246</v>
      </c>
      <c r="B23" s="329">
        <v>1195</v>
      </c>
      <c r="C23" s="329">
        <v>0</v>
      </c>
      <c r="D23" s="329">
        <f t="shared" si="0"/>
        <v>1195</v>
      </c>
      <c r="E23" s="335">
        <f>'- 7 -'!E23</f>
        <v>1156.4000000000001</v>
      </c>
      <c r="F23" s="335">
        <v>1075.6000000000001</v>
      </c>
      <c r="G23" s="335">
        <v>1068.9000000000001</v>
      </c>
    </row>
    <row r="24" spans="1:7" ht="14.1" customHeight="1">
      <c r="A24" s="26" t="s">
        <v>247</v>
      </c>
      <c r="B24" s="27">
        <v>4257</v>
      </c>
      <c r="C24" s="27">
        <v>0</v>
      </c>
      <c r="D24" s="27">
        <f t="shared" si="0"/>
        <v>4257</v>
      </c>
      <c r="E24" s="79">
        <f>'- 7 -'!E24</f>
        <v>4123.8999999999996</v>
      </c>
      <c r="F24" s="79">
        <v>4159.2</v>
      </c>
      <c r="G24" s="79">
        <v>4237.6000000000004</v>
      </c>
    </row>
    <row r="25" spans="1:7" ht="14.1" customHeight="1">
      <c r="A25" s="328" t="s">
        <v>248</v>
      </c>
      <c r="B25" s="329">
        <v>14343</v>
      </c>
      <c r="C25" s="329">
        <v>0</v>
      </c>
      <c r="D25" s="329">
        <f t="shared" si="0"/>
        <v>14343</v>
      </c>
      <c r="E25" s="335">
        <f>'- 7 -'!E25</f>
        <v>13825</v>
      </c>
      <c r="F25" s="335">
        <v>13554.3</v>
      </c>
      <c r="G25" s="335">
        <v>13592.8</v>
      </c>
    </row>
    <row r="26" spans="1:7" ht="14.1" customHeight="1">
      <c r="A26" s="26" t="s">
        <v>249</v>
      </c>
      <c r="B26" s="27">
        <v>3225</v>
      </c>
      <c r="C26" s="27">
        <v>0</v>
      </c>
      <c r="D26" s="27">
        <f t="shared" si="0"/>
        <v>3225</v>
      </c>
      <c r="E26" s="79">
        <f>'- 7 -'!E26</f>
        <v>3116</v>
      </c>
      <c r="F26" s="79">
        <v>2958.4</v>
      </c>
      <c r="G26" s="79">
        <v>2948.8</v>
      </c>
    </row>
    <row r="27" spans="1:7" ht="14.1" customHeight="1">
      <c r="A27" s="328" t="s">
        <v>250</v>
      </c>
      <c r="B27" s="329">
        <v>2888</v>
      </c>
      <c r="C27" s="329">
        <v>0</v>
      </c>
      <c r="D27" s="329">
        <f t="shared" si="0"/>
        <v>2888</v>
      </c>
      <c r="E27" s="335">
        <f>'- 7 -'!E27</f>
        <v>2775.7000000000003</v>
      </c>
      <c r="F27" s="335">
        <v>2684</v>
      </c>
      <c r="G27" s="335">
        <v>2748.3</v>
      </c>
    </row>
    <row r="28" spans="1:7" ht="14.1" customHeight="1">
      <c r="A28" s="26" t="s">
        <v>251</v>
      </c>
      <c r="B28" s="27">
        <v>2075</v>
      </c>
      <c r="C28" s="27">
        <v>0</v>
      </c>
      <c r="D28" s="27">
        <f t="shared" si="0"/>
        <v>2075</v>
      </c>
      <c r="E28" s="79">
        <f>'- 7 -'!E28</f>
        <v>2008.5</v>
      </c>
      <c r="F28" s="79">
        <v>1503.8</v>
      </c>
      <c r="G28" s="79">
        <v>1528.5</v>
      </c>
    </row>
    <row r="29" spans="1:7" ht="14.1" customHeight="1">
      <c r="A29" s="328" t="s">
        <v>252</v>
      </c>
      <c r="B29" s="329">
        <v>12709</v>
      </c>
      <c r="C29" s="329">
        <v>0</v>
      </c>
      <c r="D29" s="329">
        <f t="shared" si="0"/>
        <v>12709</v>
      </c>
      <c r="E29" s="335">
        <f>'- 7 -'!E29</f>
        <v>12202.7</v>
      </c>
      <c r="F29" s="335">
        <v>12076.7</v>
      </c>
      <c r="G29" s="335">
        <v>12073.8</v>
      </c>
    </row>
    <row r="30" spans="1:7" ht="14.1" customHeight="1">
      <c r="A30" s="26" t="s">
        <v>253</v>
      </c>
      <c r="B30" s="27">
        <v>1100</v>
      </c>
      <c r="C30" s="27">
        <v>0</v>
      </c>
      <c r="D30" s="27">
        <f t="shared" si="0"/>
        <v>1100</v>
      </c>
      <c r="E30" s="79">
        <f>'- 7 -'!E30</f>
        <v>1059.5400000000002</v>
      </c>
      <c r="F30" s="79">
        <v>1073.8</v>
      </c>
      <c r="G30" s="79">
        <v>1097</v>
      </c>
    </row>
    <row r="31" spans="1:7" ht="14.1" customHeight="1">
      <c r="A31" s="328" t="s">
        <v>254</v>
      </c>
      <c r="B31" s="329">
        <v>3308</v>
      </c>
      <c r="C31" s="329">
        <v>0</v>
      </c>
      <c r="D31" s="329">
        <f t="shared" si="0"/>
        <v>3308</v>
      </c>
      <c r="E31" s="335">
        <f>'- 7 -'!E31</f>
        <v>3181.5</v>
      </c>
      <c r="F31" s="335">
        <v>3054</v>
      </c>
      <c r="G31" s="335">
        <v>3074.6</v>
      </c>
    </row>
    <row r="32" spans="1:7" ht="14.1" customHeight="1">
      <c r="A32" s="26" t="s">
        <v>255</v>
      </c>
      <c r="B32" s="27">
        <v>2124</v>
      </c>
      <c r="C32" s="27">
        <v>0</v>
      </c>
      <c r="D32" s="27">
        <f t="shared" si="0"/>
        <v>2124</v>
      </c>
      <c r="E32" s="79">
        <f>'- 7 -'!E32</f>
        <v>2022</v>
      </c>
      <c r="F32" s="79">
        <v>2037.7</v>
      </c>
      <c r="G32" s="79">
        <v>2051.9</v>
      </c>
    </row>
    <row r="33" spans="1:8" ht="14.1" customHeight="1">
      <c r="A33" s="328" t="s">
        <v>256</v>
      </c>
      <c r="B33" s="329">
        <v>2082</v>
      </c>
      <c r="C33" s="329">
        <v>0</v>
      </c>
      <c r="D33" s="329">
        <f t="shared" si="0"/>
        <v>2082</v>
      </c>
      <c r="E33" s="335">
        <f>'- 7 -'!E33</f>
        <v>1999.8000000000002</v>
      </c>
      <c r="F33" s="335">
        <v>1988</v>
      </c>
      <c r="G33" s="335">
        <v>2003.5</v>
      </c>
    </row>
    <row r="34" spans="1:8" ht="14.1" customHeight="1">
      <c r="A34" s="26" t="s">
        <v>257</v>
      </c>
      <c r="B34" s="27">
        <v>2050</v>
      </c>
      <c r="C34" s="27">
        <v>0</v>
      </c>
      <c r="D34" s="27">
        <f t="shared" si="0"/>
        <v>2050</v>
      </c>
      <c r="E34" s="79">
        <f>'- 7 -'!E34</f>
        <v>1970</v>
      </c>
      <c r="F34" s="79">
        <v>2025.6</v>
      </c>
      <c r="G34" s="79">
        <v>1993.2</v>
      </c>
    </row>
    <row r="35" spans="1:8" ht="14.1" customHeight="1">
      <c r="A35" s="328" t="s">
        <v>258</v>
      </c>
      <c r="B35" s="329">
        <v>16106</v>
      </c>
      <c r="C35" s="329">
        <v>0</v>
      </c>
      <c r="D35" s="329">
        <f t="shared" si="0"/>
        <v>16106</v>
      </c>
      <c r="E35" s="335">
        <f>'- 7 -'!E35</f>
        <v>15563.5</v>
      </c>
      <c r="F35" s="335">
        <v>15565</v>
      </c>
      <c r="G35" s="335">
        <v>15549.6</v>
      </c>
    </row>
    <row r="36" spans="1:8" ht="14.1" customHeight="1">
      <c r="A36" s="26" t="s">
        <v>259</v>
      </c>
      <c r="B36" s="27">
        <v>1698</v>
      </c>
      <c r="C36" s="27">
        <v>0</v>
      </c>
      <c r="D36" s="27">
        <f t="shared" si="0"/>
        <v>1698</v>
      </c>
      <c r="E36" s="79">
        <f>'- 7 -'!E36</f>
        <v>1627.5</v>
      </c>
      <c r="F36" s="79">
        <v>1550.4</v>
      </c>
      <c r="G36" s="79">
        <v>1553.8</v>
      </c>
    </row>
    <row r="37" spans="1:8" ht="14.1" customHeight="1">
      <c r="A37" s="328" t="s">
        <v>260</v>
      </c>
      <c r="B37" s="329">
        <v>4097</v>
      </c>
      <c r="C37" s="329">
        <v>0</v>
      </c>
      <c r="D37" s="329">
        <f t="shared" si="0"/>
        <v>4097</v>
      </c>
      <c r="E37" s="335">
        <f>'- 7 -'!E37</f>
        <v>3913.5</v>
      </c>
      <c r="F37" s="335">
        <v>3714.2</v>
      </c>
      <c r="G37" s="335">
        <v>3674.7</v>
      </c>
    </row>
    <row r="38" spans="1:8" ht="14.1" customHeight="1">
      <c r="A38" s="26" t="s">
        <v>261</v>
      </c>
      <c r="B38" s="27">
        <v>10858</v>
      </c>
      <c r="C38" s="27">
        <v>0</v>
      </c>
      <c r="D38" s="27">
        <f t="shared" si="0"/>
        <v>10858</v>
      </c>
      <c r="E38" s="79">
        <f>'- 7 -'!E38</f>
        <v>10451.800000000001</v>
      </c>
      <c r="F38" s="79">
        <v>10270.700000000001</v>
      </c>
      <c r="G38" s="79">
        <v>10072.9</v>
      </c>
    </row>
    <row r="39" spans="1:8" ht="14.1" customHeight="1">
      <c r="A39" s="328" t="s">
        <v>262</v>
      </c>
      <c r="B39" s="329">
        <v>1615</v>
      </c>
      <c r="C39" s="329">
        <v>0</v>
      </c>
      <c r="D39" s="329">
        <f t="shared" si="0"/>
        <v>1615</v>
      </c>
      <c r="E39" s="335">
        <f>'- 7 -'!E39</f>
        <v>1555.5</v>
      </c>
      <c r="F39" s="335">
        <v>1584.8</v>
      </c>
      <c r="G39" s="335">
        <v>1586.7</v>
      </c>
    </row>
    <row r="40" spans="1:8" ht="14.1" customHeight="1">
      <c r="A40" s="26" t="s">
        <v>263</v>
      </c>
      <c r="B40" s="27">
        <v>8305</v>
      </c>
      <c r="C40" s="27">
        <v>0</v>
      </c>
      <c r="D40" s="27">
        <f t="shared" si="0"/>
        <v>8305</v>
      </c>
      <c r="E40" s="79">
        <f>'- 7 -'!E40</f>
        <v>7943.65</v>
      </c>
      <c r="F40" s="79">
        <v>7913.4</v>
      </c>
      <c r="G40" s="79">
        <v>8073.2</v>
      </c>
    </row>
    <row r="41" spans="1:8" ht="14.1" customHeight="1">
      <c r="A41" s="328" t="s">
        <v>264</v>
      </c>
      <c r="B41" s="329">
        <v>4565</v>
      </c>
      <c r="C41" s="329">
        <v>0</v>
      </c>
      <c r="D41" s="329">
        <f t="shared" si="0"/>
        <v>4565</v>
      </c>
      <c r="E41" s="335">
        <f>'- 7 -'!E41</f>
        <v>4407</v>
      </c>
      <c r="F41" s="335">
        <v>4384.8</v>
      </c>
      <c r="G41" s="335">
        <v>4478.3</v>
      </c>
    </row>
    <row r="42" spans="1:8" ht="14.1" customHeight="1">
      <c r="A42" s="26" t="s">
        <v>265</v>
      </c>
      <c r="B42" s="27">
        <v>1581</v>
      </c>
      <c r="C42" s="27">
        <v>65</v>
      </c>
      <c r="D42" s="27">
        <f t="shared" si="0"/>
        <v>1516</v>
      </c>
      <c r="E42" s="79">
        <f>'- 7 -'!E42</f>
        <v>1451.3</v>
      </c>
      <c r="F42" s="79">
        <v>1394.2</v>
      </c>
      <c r="G42" s="79">
        <v>1437.5</v>
      </c>
    </row>
    <row r="43" spans="1:8" ht="14.1" customHeight="1">
      <c r="A43" s="328" t="s">
        <v>266</v>
      </c>
      <c r="B43" s="329">
        <v>1019</v>
      </c>
      <c r="C43" s="329">
        <v>0</v>
      </c>
      <c r="D43" s="329">
        <f t="shared" si="0"/>
        <v>1019</v>
      </c>
      <c r="E43" s="335">
        <f>'- 7 -'!E43</f>
        <v>978.8</v>
      </c>
      <c r="F43" s="335">
        <v>975.5</v>
      </c>
      <c r="G43" s="335">
        <v>972.8</v>
      </c>
    </row>
    <row r="44" spans="1:8" ht="14.1" customHeight="1">
      <c r="A44" s="26" t="s">
        <v>267</v>
      </c>
      <c r="B44" s="27">
        <v>729</v>
      </c>
      <c r="C44" s="27">
        <v>0</v>
      </c>
      <c r="D44" s="27">
        <f t="shared" si="0"/>
        <v>729</v>
      </c>
      <c r="E44" s="79">
        <f>'- 7 -'!E44</f>
        <v>701.5</v>
      </c>
      <c r="F44" s="79">
        <v>713.5</v>
      </c>
      <c r="G44" s="79">
        <v>711.6</v>
      </c>
    </row>
    <row r="45" spans="1:8" ht="14.1" customHeight="1">
      <c r="A45" s="328" t="s">
        <v>268</v>
      </c>
      <c r="B45" s="329">
        <v>1713</v>
      </c>
      <c r="C45" s="329">
        <v>0</v>
      </c>
      <c r="D45" s="329">
        <f t="shared" si="0"/>
        <v>1713</v>
      </c>
      <c r="E45" s="335">
        <f>'- 7 -'!E45</f>
        <v>1617.5</v>
      </c>
      <c r="F45" s="335">
        <v>1598.7</v>
      </c>
      <c r="G45" s="335">
        <v>1630.7</v>
      </c>
    </row>
    <row r="46" spans="1:8" ht="14.1" customHeight="1">
      <c r="A46" s="26" t="s">
        <v>269</v>
      </c>
      <c r="B46" s="27">
        <v>33176</v>
      </c>
      <c r="C46" s="27">
        <v>1789</v>
      </c>
      <c r="D46" s="27">
        <f t="shared" si="0"/>
        <v>31387</v>
      </c>
      <c r="E46" s="79">
        <f>'- 7 -'!E46</f>
        <v>29848.399999999998</v>
      </c>
      <c r="F46" s="79">
        <v>29801.5</v>
      </c>
      <c r="G46" s="79">
        <v>29931.200000000001</v>
      </c>
    </row>
    <row r="47" spans="1:8" ht="5.0999999999999996" customHeight="1">
      <c r="A47"/>
      <c r="B47"/>
      <c r="C47"/>
      <c r="D47"/>
      <c r="E47"/>
      <c r="F47"/>
      <c r="G47"/>
      <c r="H47"/>
    </row>
    <row r="48" spans="1:8" ht="14.1" customHeight="1">
      <c r="A48" s="330" t="s">
        <v>270</v>
      </c>
      <c r="B48" s="331">
        <f t="shared" ref="B48:G48" si="1">SUM(B11:B46)</f>
        <v>181278</v>
      </c>
      <c r="C48" s="331">
        <f t="shared" si="1"/>
        <v>2349</v>
      </c>
      <c r="D48" s="331">
        <f t="shared" si="1"/>
        <v>178929</v>
      </c>
      <c r="E48" s="338">
        <f t="shared" si="1"/>
        <v>172023.34714285712</v>
      </c>
      <c r="F48" s="338">
        <f t="shared" si="1"/>
        <v>165968</v>
      </c>
      <c r="G48" s="338">
        <f t="shared" si="1"/>
        <v>165956.70000000001</v>
      </c>
      <c r="H48" s="636"/>
    </row>
    <row r="49" spans="1:7" ht="5.0999999999999996" customHeight="1">
      <c r="A49" s="28" t="s">
        <v>16</v>
      </c>
      <c r="B49" s="29"/>
      <c r="C49" s="29"/>
      <c r="D49" s="29"/>
      <c r="E49" s="80"/>
      <c r="F49" s="80"/>
      <c r="G49" s="80"/>
    </row>
    <row r="50" spans="1:7" ht="14.1" customHeight="1">
      <c r="A50" s="328" t="s">
        <v>271</v>
      </c>
      <c r="B50" s="329">
        <v>179</v>
      </c>
      <c r="C50" s="329">
        <v>0</v>
      </c>
      <c r="D50" s="329">
        <f>+B50-C50</f>
        <v>179</v>
      </c>
      <c r="E50" s="335">
        <f>'- 7 -'!E50</f>
        <v>176.5</v>
      </c>
      <c r="F50" s="335">
        <v>167</v>
      </c>
      <c r="G50" s="335">
        <v>178.5</v>
      </c>
    </row>
    <row r="51" spans="1:7" ht="14.1" customHeight="1">
      <c r="A51" s="26" t="s">
        <v>272</v>
      </c>
      <c r="B51" s="27"/>
      <c r="C51" s="27"/>
      <c r="D51" s="27">
        <f>+B51-C51</f>
        <v>0</v>
      </c>
      <c r="E51" s="79">
        <f>'- 7 -'!E51</f>
        <v>722.9</v>
      </c>
      <c r="F51" s="79"/>
      <c r="G51" s="79"/>
    </row>
    <row r="52" spans="1:7" ht="50.1" customHeight="1">
      <c r="A52" s="30"/>
      <c r="B52" s="30"/>
      <c r="C52" s="30"/>
      <c r="D52" s="30"/>
      <c r="E52" s="30"/>
      <c r="F52" s="89"/>
      <c r="G52" s="89"/>
    </row>
    <row r="53" spans="1:7" ht="15" customHeight="1">
      <c r="A53" s="1" t="s">
        <v>398</v>
      </c>
      <c r="C53" s="90"/>
      <c r="D53" s="90"/>
      <c r="E53" s="90"/>
      <c r="F53" s="90"/>
    </row>
    <row r="54" spans="1:7" ht="12" customHeight="1">
      <c r="A54" s="1" t="s">
        <v>401</v>
      </c>
      <c r="C54" s="90"/>
      <c r="D54" s="90"/>
      <c r="E54" s="90"/>
      <c r="F54" s="90"/>
    </row>
    <row r="55" spans="1:7" ht="12" customHeight="1">
      <c r="A55" s="1" t="s">
        <v>641</v>
      </c>
      <c r="C55" s="90"/>
      <c r="D55" s="90"/>
      <c r="E55" s="90"/>
      <c r="F55" s="90"/>
    </row>
    <row r="56" spans="1:7" ht="12" customHeight="1">
      <c r="A56" s="151" t="s">
        <v>741</v>
      </c>
      <c r="C56" s="90"/>
      <c r="D56" s="90"/>
      <c r="E56" s="90"/>
      <c r="F56" s="91"/>
    </row>
    <row r="57" spans="1:7">
      <c r="A57" s="1" t="s">
        <v>642</v>
      </c>
    </row>
  </sheetData>
  <mergeCells count="1">
    <mergeCell ref="B7: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sheetPr codeName="Sheet61">
    <pageSetUpPr fitToPage="1"/>
  </sheetPr>
  <dimension ref="A1:I58"/>
  <sheetViews>
    <sheetView showGridLines="0" showZeros="0" workbookViewId="0"/>
  </sheetViews>
  <sheetFormatPr defaultColWidth="12.83203125" defaultRowHeight="12"/>
  <cols>
    <col min="1" max="1" width="30.83203125" style="1" customWidth="1"/>
    <col min="2" max="8" width="12.83203125" style="1" customWidth="1"/>
    <col min="9" max="16384" width="12.83203125" style="1"/>
  </cols>
  <sheetData>
    <row r="1" spans="1:9" ht="6.95" customHeight="1">
      <c r="A1" s="6"/>
      <c r="B1" s="7"/>
      <c r="C1" s="7"/>
    </row>
    <row r="2" spans="1:9" ht="15.95" customHeight="1">
      <c r="A2" s="277" t="s">
        <v>363</v>
      </c>
      <c r="B2" s="278"/>
      <c r="C2" s="278"/>
      <c r="D2" s="278"/>
      <c r="E2" s="278"/>
      <c r="F2" s="160"/>
      <c r="G2" s="160"/>
      <c r="H2" s="160"/>
      <c r="I2" s="160"/>
    </row>
    <row r="3" spans="1:9" ht="15.95" customHeight="1">
      <c r="A3" s="700" t="str">
        <f>B9&amp;" AND "&amp;C9&amp;" ACTUAL"</f>
        <v>2012/13 AND 2013/14 ACTUAL</v>
      </c>
      <c r="B3" s="279"/>
      <c r="C3" s="280"/>
      <c r="D3" s="280"/>
      <c r="E3" s="280"/>
      <c r="F3" s="281"/>
      <c r="G3" s="281"/>
      <c r="H3" s="281"/>
      <c r="I3" s="281"/>
    </row>
    <row r="4" spans="1:9" ht="15.95" customHeight="1">
      <c r="B4" s="38"/>
      <c r="C4" s="7"/>
    </row>
    <row r="5" spans="1:9" ht="15.95" customHeight="1">
      <c r="B5" s="259"/>
      <c r="C5" s="7"/>
    </row>
    <row r="6" spans="1:9" ht="15.95" customHeight="1">
      <c r="B6" s="449" t="s">
        <v>121</v>
      </c>
      <c r="C6" s="450"/>
      <c r="D6" s="451"/>
      <c r="E6" s="452"/>
      <c r="F6" s="449" t="s">
        <v>126</v>
      </c>
      <c r="G6" s="450"/>
      <c r="H6" s="459"/>
      <c r="I6" s="460"/>
    </row>
    <row r="7" spans="1:9" ht="15.95" customHeight="1">
      <c r="B7" s="453" t="s">
        <v>86</v>
      </c>
      <c r="C7" s="454"/>
      <c r="D7" s="453" t="s">
        <v>11</v>
      </c>
      <c r="E7" s="454"/>
      <c r="F7" s="453" t="s">
        <v>362</v>
      </c>
      <c r="G7" s="454"/>
      <c r="H7" s="453" t="s">
        <v>160</v>
      </c>
      <c r="I7" s="454"/>
    </row>
    <row r="8" spans="1:9" ht="15.95" customHeight="1">
      <c r="A8" s="75"/>
      <c r="B8" s="455" t="s">
        <v>411</v>
      </c>
      <c r="C8" s="456"/>
      <c r="D8" s="455" t="s">
        <v>12</v>
      </c>
      <c r="E8" s="456"/>
      <c r="F8" s="455" t="s">
        <v>96</v>
      </c>
      <c r="G8" s="456"/>
      <c r="H8" s="455" t="s">
        <v>361</v>
      </c>
      <c r="I8" s="456"/>
    </row>
    <row r="9" spans="1:9" ht="15.95" customHeight="1">
      <c r="A9" s="42" t="s">
        <v>93</v>
      </c>
      <c r="B9" s="623" t="str">
        <f>PrevY</f>
        <v>2012/13</v>
      </c>
      <c r="C9" s="624" t="str">
        <f>+CurrY</f>
        <v>2013/14</v>
      </c>
      <c r="D9" s="623" t="str">
        <f>+B9</f>
        <v>2012/13</v>
      </c>
      <c r="E9" s="624" t="s">
        <v>738</v>
      </c>
      <c r="F9" s="624">
        <v>2012</v>
      </c>
      <c r="G9" s="624" t="s">
        <v>739</v>
      </c>
      <c r="H9" s="624">
        <f>+F9</f>
        <v>2012</v>
      </c>
      <c r="I9" s="624" t="s">
        <v>740</v>
      </c>
    </row>
    <row r="10" spans="1:9" ht="5.0999999999999996" customHeight="1">
      <c r="A10" s="5"/>
      <c r="C10" s="282"/>
    </row>
    <row r="11" spans="1:9" ht="14.1" customHeight="1">
      <c r="A11" s="408" t="s">
        <v>235</v>
      </c>
      <c r="B11" s="408">
        <v>10408</v>
      </c>
      <c r="C11" s="408">
        <f>'- 4 -'!E11</f>
        <v>11219</v>
      </c>
      <c r="D11" s="409">
        <v>13.860426474660761</v>
      </c>
      <c r="E11" s="409">
        <f>'- 9 -'!C11</f>
        <v>13.211581291759467</v>
      </c>
      <c r="F11" s="408">
        <v>340743</v>
      </c>
      <c r="G11" s="408">
        <f>'- 56 -'!F11</f>
        <v>334569</v>
      </c>
      <c r="H11" s="409">
        <v>14.633477902941767</v>
      </c>
      <c r="I11" s="409">
        <f>'- 54 -'!G11</f>
        <v>14.773414251757448</v>
      </c>
    </row>
    <row r="12" spans="1:9" ht="14.1" customHeight="1">
      <c r="A12" s="171" t="s">
        <v>236</v>
      </c>
      <c r="B12" s="171">
        <v>12656</v>
      </c>
      <c r="C12" s="171">
        <f>'- 4 -'!E12</f>
        <v>13349</v>
      </c>
      <c r="D12" s="270">
        <v>11.790667697860274</v>
      </c>
      <c r="E12" s="270">
        <f>'- 9 -'!C12</f>
        <v>11.395034106052536</v>
      </c>
      <c r="F12" s="171">
        <v>260717</v>
      </c>
      <c r="G12" s="171">
        <f>'- 56 -'!F12</f>
        <v>267863</v>
      </c>
      <c r="H12" s="270">
        <v>17.849989827623453</v>
      </c>
      <c r="I12" s="270">
        <f>'- 54 -'!G12</f>
        <v>18.149988788655811</v>
      </c>
    </row>
    <row r="13" spans="1:9" ht="14.1" customHeight="1">
      <c r="A13" s="408" t="s">
        <v>237</v>
      </c>
      <c r="B13" s="408">
        <v>10212</v>
      </c>
      <c r="C13" s="408">
        <f>'- 4 -'!E13</f>
        <v>10452</v>
      </c>
      <c r="D13" s="409">
        <v>12.752664760171584</v>
      </c>
      <c r="E13" s="409">
        <f>'- 9 -'!C13</f>
        <v>12.448652517582621</v>
      </c>
      <c r="F13" s="408">
        <v>297596</v>
      </c>
      <c r="G13" s="408">
        <f>'- 56 -'!F13</f>
        <v>293805</v>
      </c>
      <c r="H13" s="409">
        <v>15.378816344401205</v>
      </c>
      <c r="I13" s="409">
        <f>'- 54 -'!G13</f>
        <v>16.577755047306972</v>
      </c>
    </row>
    <row r="14" spans="1:9" ht="14.1" customHeight="1">
      <c r="A14" s="171" t="s">
        <v>636</v>
      </c>
      <c r="B14" s="171">
        <v>13532</v>
      </c>
      <c r="C14" s="171">
        <f>'- 4 -'!E14</f>
        <v>13823</v>
      </c>
      <c r="D14" s="270">
        <v>12.698175291654202</v>
      </c>
      <c r="E14" s="270">
        <f>'- 9 -'!C14</f>
        <v>12.795847069822369</v>
      </c>
      <c r="F14" s="171">
        <v>327836</v>
      </c>
      <c r="G14" s="171">
        <f>'- 56 -'!F14</f>
        <v>332918</v>
      </c>
      <c r="H14" s="270">
        <v>0</v>
      </c>
      <c r="I14" s="270">
        <f>'- 54 -'!G14</f>
        <v>0</v>
      </c>
    </row>
    <row r="15" spans="1:9" ht="14.1" customHeight="1">
      <c r="A15" s="408" t="s">
        <v>238</v>
      </c>
      <c r="B15" s="408">
        <v>11994</v>
      </c>
      <c r="C15" s="408">
        <f>'- 4 -'!E15</f>
        <v>12681</v>
      </c>
      <c r="D15" s="409">
        <v>13.798033958891869</v>
      </c>
      <c r="E15" s="409">
        <f>'- 9 -'!C15</f>
        <v>12.981982766124121</v>
      </c>
      <c r="F15" s="408">
        <v>507300</v>
      </c>
      <c r="G15" s="408">
        <f>'- 56 -'!F15</f>
        <v>523644</v>
      </c>
      <c r="H15" s="409">
        <v>10.715970197555372</v>
      </c>
      <c r="I15" s="409">
        <f>'- 54 -'!G15</f>
        <v>11.506448245555587</v>
      </c>
    </row>
    <row r="16" spans="1:9" ht="14.1" customHeight="1">
      <c r="A16" s="171" t="s">
        <v>239</v>
      </c>
      <c r="B16" s="171">
        <v>12769</v>
      </c>
      <c r="C16" s="171">
        <f>'- 4 -'!E16</f>
        <v>13436</v>
      </c>
      <c r="D16" s="270">
        <v>12.999345121152588</v>
      </c>
      <c r="E16" s="270">
        <f>'- 9 -'!C16</f>
        <v>12.254777070063694</v>
      </c>
      <c r="F16" s="171">
        <v>156527</v>
      </c>
      <c r="G16" s="171">
        <f>'- 56 -'!F16</f>
        <v>161888</v>
      </c>
      <c r="H16" s="270">
        <v>17.81814584473975</v>
      </c>
      <c r="I16" s="270">
        <f>'- 54 -'!G16</f>
        <v>18.363783469703989</v>
      </c>
    </row>
    <row r="17" spans="1:9" ht="14.1" customHeight="1">
      <c r="A17" s="408" t="s">
        <v>240</v>
      </c>
      <c r="B17" s="408">
        <v>12158</v>
      </c>
      <c r="C17" s="408">
        <f>'- 4 -'!E17</f>
        <v>12505</v>
      </c>
      <c r="D17" s="409">
        <v>12.872331364978425</v>
      </c>
      <c r="E17" s="409">
        <f>'- 9 -'!C17</f>
        <v>12.981209833136401</v>
      </c>
      <c r="F17" s="408">
        <v>466048</v>
      </c>
      <c r="G17" s="408">
        <f>'- 56 -'!F17</f>
        <v>500788</v>
      </c>
      <c r="H17" s="409">
        <v>12.171161460132527</v>
      </c>
      <c r="I17" s="409">
        <f>'- 54 -'!G17</f>
        <v>11.830673908994086</v>
      </c>
    </row>
    <row r="18" spans="1:9" ht="14.1" customHeight="1">
      <c r="A18" s="171" t="s">
        <v>241</v>
      </c>
      <c r="B18" s="171">
        <v>18779</v>
      </c>
      <c r="C18" s="171">
        <f>'- 4 -'!E18</f>
        <v>18845</v>
      </c>
      <c r="D18" s="270">
        <v>11.324131966367878</v>
      </c>
      <c r="E18" s="270">
        <f>'- 9 -'!C18</f>
        <v>11.767969735182849</v>
      </c>
      <c r="F18" s="171">
        <v>72484</v>
      </c>
      <c r="G18" s="171">
        <f>'- 56 -'!F18</f>
        <v>74484</v>
      </c>
      <c r="H18" s="270">
        <v>16.50000118268143</v>
      </c>
      <c r="I18" s="270">
        <f>'- 54 -'!G18</f>
        <v>16.500003201250781</v>
      </c>
    </row>
    <row r="19" spans="1:9" ht="14.1" customHeight="1">
      <c r="A19" s="408" t="s">
        <v>242</v>
      </c>
      <c r="B19" s="408">
        <v>9287</v>
      </c>
      <c r="C19" s="408">
        <f>'- 4 -'!E19</f>
        <v>10311</v>
      </c>
      <c r="D19" s="409">
        <v>15.244350642261926</v>
      </c>
      <c r="E19" s="409">
        <f>'- 9 -'!C19</f>
        <v>14.421516026963818</v>
      </c>
      <c r="F19" s="408">
        <v>188101</v>
      </c>
      <c r="G19" s="408">
        <f>'- 56 -'!F19</f>
        <v>191134</v>
      </c>
      <c r="H19" s="409">
        <v>19.124400503801382</v>
      </c>
      <c r="I19" s="409">
        <f>'- 54 -'!G19</f>
        <v>19.810443430881755</v>
      </c>
    </row>
    <row r="20" spans="1:9" ht="14.1" customHeight="1">
      <c r="A20" s="171" t="s">
        <v>243</v>
      </c>
      <c r="B20" s="171">
        <v>9137</v>
      </c>
      <c r="C20" s="171">
        <f>'- 4 -'!E20</f>
        <v>9552</v>
      </c>
      <c r="D20" s="270">
        <v>15.336169329736459</v>
      </c>
      <c r="E20" s="270">
        <f>'- 9 -'!C20</f>
        <v>14.925161812297734</v>
      </c>
      <c r="F20" s="171">
        <v>196027</v>
      </c>
      <c r="G20" s="171">
        <f>'- 56 -'!F20</f>
        <v>200957</v>
      </c>
      <c r="H20" s="270">
        <v>16.402942930568337</v>
      </c>
      <c r="I20" s="270">
        <f>'- 54 -'!G20</f>
        <v>16.786458600169674</v>
      </c>
    </row>
    <row r="21" spans="1:9" ht="14.1" customHeight="1">
      <c r="A21" s="408" t="s">
        <v>244</v>
      </c>
      <c r="B21" s="408">
        <v>11748</v>
      </c>
      <c r="C21" s="408">
        <f>'- 4 -'!E21</f>
        <v>12721</v>
      </c>
      <c r="D21" s="409">
        <v>12.580380352989467</v>
      </c>
      <c r="E21" s="409">
        <f>'- 9 -'!C21</f>
        <v>11.925350745610164</v>
      </c>
      <c r="F21" s="408">
        <v>307690</v>
      </c>
      <c r="G21" s="408">
        <f>'- 56 -'!F21</f>
        <v>326239</v>
      </c>
      <c r="H21" s="409">
        <v>14.362763623388398</v>
      </c>
      <c r="I21" s="409">
        <f>'- 54 -'!G21</f>
        <v>15.034367295845755</v>
      </c>
    </row>
    <row r="22" spans="1:9" ht="14.1" customHeight="1">
      <c r="A22" s="171" t="s">
        <v>245</v>
      </c>
      <c r="B22" s="171">
        <v>11233</v>
      </c>
      <c r="C22" s="171">
        <f>'- 4 -'!E22</f>
        <v>11874</v>
      </c>
      <c r="D22" s="270">
        <v>13.572947681837515</v>
      </c>
      <c r="E22" s="270">
        <f>'- 9 -'!C22</f>
        <v>13.228173766343316</v>
      </c>
      <c r="F22" s="171">
        <v>117664</v>
      </c>
      <c r="G22" s="171">
        <f>'- 56 -'!F22</f>
        <v>118193</v>
      </c>
      <c r="H22" s="270">
        <v>21.62422031121281</v>
      </c>
      <c r="I22" s="270">
        <f>'- 54 -'!G22</f>
        <v>22.353353273156841</v>
      </c>
    </row>
    <row r="23" spans="1:9" ht="14.1" customHeight="1">
      <c r="A23" s="408" t="s">
        <v>246</v>
      </c>
      <c r="B23" s="408">
        <v>13084</v>
      </c>
      <c r="C23" s="408">
        <f>'- 4 -'!E23</f>
        <v>13556</v>
      </c>
      <c r="D23" s="409">
        <v>11.998987854251011</v>
      </c>
      <c r="E23" s="409">
        <f>'- 9 -'!C23</f>
        <v>11.587174348697394</v>
      </c>
      <c r="F23" s="408">
        <v>186803</v>
      </c>
      <c r="G23" s="408">
        <f>'- 56 -'!F23</f>
        <v>192554</v>
      </c>
      <c r="H23" s="409">
        <v>19.710203785160186</v>
      </c>
      <c r="I23" s="409">
        <f>'- 54 -'!G23</f>
        <v>19.995764725935832</v>
      </c>
    </row>
    <row r="24" spans="1:9" ht="14.1" customHeight="1">
      <c r="A24" s="171" t="s">
        <v>247</v>
      </c>
      <c r="B24" s="171">
        <v>11838</v>
      </c>
      <c r="C24" s="171">
        <f>'- 4 -'!E24</f>
        <v>12492</v>
      </c>
      <c r="D24" s="270">
        <v>12.795332569498884</v>
      </c>
      <c r="E24" s="270">
        <f>'- 9 -'!C24</f>
        <v>12.461547759344874</v>
      </c>
      <c r="F24" s="171">
        <v>367776</v>
      </c>
      <c r="G24" s="171">
        <f>'- 56 -'!F24</f>
        <v>378335</v>
      </c>
      <c r="H24" s="270">
        <v>13.560320069760674</v>
      </c>
      <c r="I24" s="270">
        <f>'- 54 -'!G24</f>
        <v>14.466649987853678</v>
      </c>
    </row>
    <row r="25" spans="1:9" ht="14.1" customHeight="1">
      <c r="A25" s="408" t="s">
        <v>248</v>
      </c>
      <c r="B25" s="408">
        <v>10847</v>
      </c>
      <c r="C25" s="408">
        <f>'- 4 -'!E25</f>
        <v>11063</v>
      </c>
      <c r="D25" s="409">
        <v>14.302351062830667</v>
      </c>
      <c r="E25" s="409">
        <f>'- 9 -'!C25</f>
        <v>14.053367217280814</v>
      </c>
      <c r="F25" s="408">
        <v>378173</v>
      </c>
      <c r="G25" s="408">
        <f>'- 56 -'!F25</f>
        <v>386163</v>
      </c>
      <c r="H25" s="409">
        <v>12.76324340447392</v>
      </c>
      <c r="I25" s="409">
        <f>'- 54 -'!G25</f>
        <v>13.283493527850837</v>
      </c>
    </row>
    <row r="26" spans="1:9" ht="14.1" customHeight="1">
      <c r="A26" s="171" t="s">
        <v>249</v>
      </c>
      <c r="B26" s="171">
        <v>11959</v>
      </c>
      <c r="C26" s="171">
        <f>'- 4 -'!E26</f>
        <v>12036</v>
      </c>
      <c r="D26" s="270">
        <v>13.25951527564431</v>
      </c>
      <c r="E26" s="270">
        <f>'- 9 -'!C26</f>
        <v>13.181049069373943</v>
      </c>
      <c r="F26" s="171">
        <v>234526</v>
      </c>
      <c r="G26" s="171">
        <f>'- 56 -'!F26</f>
        <v>239481</v>
      </c>
      <c r="H26" s="270">
        <v>18.958390553674487</v>
      </c>
      <c r="I26" s="270">
        <f>'- 54 -'!G26</f>
        <v>19.090216824236443</v>
      </c>
    </row>
    <row r="27" spans="1:9" ht="14.1" customHeight="1">
      <c r="A27" s="408" t="s">
        <v>250</v>
      </c>
      <c r="B27" s="408">
        <v>13301</v>
      </c>
      <c r="C27" s="408">
        <f>'- 4 -'!E27</f>
        <v>13245</v>
      </c>
      <c r="D27" s="409">
        <v>11.270841906015963</v>
      </c>
      <c r="E27" s="409">
        <f>'- 9 -'!C27</f>
        <v>11.469360770216108</v>
      </c>
      <c r="F27" s="408">
        <v>164673</v>
      </c>
      <c r="G27" s="408">
        <f>'- 56 -'!F27</f>
        <v>183297</v>
      </c>
      <c r="H27" s="409">
        <v>18.266735356602293</v>
      </c>
      <c r="I27" s="409">
        <f>'- 54 -'!G27</f>
        <v>18.635027696905503</v>
      </c>
    </row>
    <row r="28" spans="1:9" ht="14.1" customHeight="1">
      <c r="A28" s="171" t="s">
        <v>251</v>
      </c>
      <c r="B28" s="171">
        <v>12707</v>
      </c>
      <c r="C28" s="171">
        <f>'- 4 -'!E28</f>
        <v>13321</v>
      </c>
      <c r="D28" s="270">
        <v>11.849883561234849</v>
      </c>
      <c r="E28" s="270">
        <f>'- 9 -'!C28</f>
        <v>10.948487326246934</v>
      </c>
      <c r="F28" s="171">
        <v>317147</v>
      </c>
      <c r="G28" s="171">
        <f>'- 56 -'!F28</f>
        <v>328838</v>
      </c>
      <c r="H28" s="270">
        <v>14.822389746303783</v>
      </c>
      <c r="I28" s="270">
        <f>'- 54 -'!G28</f>
        <v>15.160461091796163</v>
      </c>
    </row>
    <row r="29" spans="1:9" ht="14.1" customHeight="1">
      <c r="A29" s="408" t="s">
        <v>252</v>
      </c>
      <c r="B29" s="408">
        <v>11259</v>
      </c>
      <c r="C29" s="408">
        <f>'- 4 -'!E29</f>
        <v>11451</v>
      </c>
      <c r="D29" s="409">
        <v>14.092666774723877</v>
      </c>
      <c r="E29" s="409">
        <f>'- 9 -'!C29</f>
        <v>14.078684741851745</v>
      </c>
      <c r="F29" s="408">
        <v>467686</v>
      </c>
      <c r="G29" s="408">
        <f>'- 56 -'!F29</f>
        <v>477729</v>
      </c>
      <c r="H29" s="409">
        <v>12.877250662813736</v>
      </c>
      <c r="I29" s="409">
        <f>'- 54 -'!G29</f>
        <v>13.227617198353357</v>
      </c>
    </row>
    <row r="30" spans="1:9" ht="14.1" customHeight="1">
      <c r="A30" s="171" t="s">
        <v>253</v>
      </c>
      <c r="B30" s="171">
        <v>12344</v>
      </c>
      <c r="C30" s="171">
        <f>'- 4 -'!E30</f>
        <v>12685</v>
      </c>
      <c r="D30" s="270">
        <v>12.529644268774701</v>
      </c>
      <c r="E30" s="270">
        <f>'- 9 -'!C30</f>
        <v>12.646693721651948</v>
      </c>
      <c r="F30" s="171">
        <v>273276</v>
      </c>
      <c r="G30" s="171">
        <f>'- 56 -'!F30</f>
        <v>281298</v>
      </c>
      <c r="H30" s="270">
        <v>16.943112729889908</v>
      </c>
      <c r="I30" s="270">
        <f>'- 54 -'!G30</f>
        <v>17.092347782855803</v>
      </c>
    </row>
    <row r="31" spans="1:9" ht="14.1" customHeight="1">
      <c r="A31" s="408" t="s">
        <v>254</v>
      </c>
      <c r="B31" s="408">
        <v>10246</v>
      </c>
      <c r="C31" s="408">
        <f>'- 4 -'!E31</f>
        <v>10580</v>
      </c>
      <c r="D31" s="409">
        <v>13.336407848398457</v>
      </c>
      <c r="E31" s="409">
        <f>'- 9 -'!C31</f>
        <v>12.973535048729763</v>
      </c>
      <c r="F31" s="408">
        <v>284341</v>
      </c>
      <c r="G31" s="408">
        <f>'- 56 -'!F31</f>
        <v>292151</v>
      </c>
      <c r="H31" s="409">
        <v>15.45326209450042</v>
      </c>
      <c r="I31" s="409">
        <f>'- 54 -'!G31</f>
        <v>15.729658604768465</v>
      </c>
    </row>
    <row r="32" spans="1:9" ht="14.1" customHeight="1">
      <c r="A32" s="171" t="s">
        <v>255</v>
      </c>
      <c r="B32" s="171">
        <v>11828</v>
      </c>
      <c r="C32" s="171">
        <f>'- 4 -'!E32</f>
        <v>12729</v>
      </c>
      <c r="D32" s="270">
        <v>12.371041266794625</v>
      </c>
      <c r="E32" s="270">
        <f>'- 9 -'!C32</f>
        <v>12.152172606526834</v>
      </c>
      <c r="F32" s="171">
        <v>353238</v>
      </c>
      <c r="G32" s="171">
        <f>'- 56 -'!F32</f>
        <v>359016</v>
      </c>
      <c r="H32" s="270">
        <v>13.705118650003305</v>
      </c>
      <c r="I32" s="270">
        <f>'- 54 -'!G32</f>
        <v>14.473853859252268</v>
      </c>
    </row>
    <row r="33" spans="1:9" ht="14.1" customHeight="1">
      <c r="A33" s="408" t="s">
        <v>256</v>
      </c>
      <c r="B33" s="408">
        <v>12457</v>
      </c>
      <c r="C33" s="408">
        <f>'- 4 -'!E33</f>
        <v>13076</v>
      </c>
      <c r="D33" s="409">
        <v>13.171938045034493</v>
      </c>
      <c r="E33" s="409">
        <f>'- 9 -'!C33</f>
        <v>12.593198992443325</v>
      </c>
      <c r="F33" s="408">
        <v>327209</v>
      </c>
      <c r="G33" s="408">
        <f>'- 56 -'!F33</f>
        <v>336280</v>
      </c>
      <c r="H33" s="409">
        <v>15.222615790973432</v>
      </c>
      <c r="I33" s="409">
        <f>'- 54 -'!G33</f>
        <v>15.888112386483442</v>
      </c>
    </row>
    <row r="34" spans="1:9" ht="14.1" customHeight="1">
      <c r="A34" s="171" t="s">
        <v>257</v>
      </c>
      <c r="B34" s="171">
        <v>11864</v>
      </c>
      <c r="C34" s="171">
        <f>'- 4 -'!E34</f>
        <v>12786</v>
      </c>
      <c r="D34" s="270">
        <v>12.663002297993913</v>
      </c>
      <c r="E34" s="270">
        <f>'- 9 -'!C34</f>
        <v>12.4651986838775</v>
      </c>
      <c r="F34" s="171">
        <v>345374</v>
      </c>
      <c r="G34" s="171">
        <f>'- 56 -'!F34</f>
        <v>356869</v>
      </c>
      <c r="H34" s="270">
        <v>16.252378172249536</v>
      </c>
      <c r="I34" s="270">
        <f>'- 54 -'!G34</f>
        <v>16.799831080446435</v>
      </c>
    </row>
    <row r="35" spans="1:9" ht="14.1" customHeight="1">
      <c r="A35" s="408" t="s">
        <v>258</v>
      </c>
      <c r="B35" s="408">
        <v>10372</v>
      </c>
      <c r="C35" s="408">
        <f>'- 4 -'!E35</f>
        <v>10855</v>
      </c>
      <c r="D35" s="409">
        <v>13.978285127260492</v>
      </c>
      <c r="E35" s="409">
        <f>'- 9 -'!C35</f>
        <v>13.557764343084132</v>
      </c>
      <c r="F35" s="408">
        <v>317084</v>
      </c>
      <c r="G35" s="408">
        <f>'- 56 -'!F35</f>
        <v>322250</v>
      </c>
      <c r="H35" s="409">
        <v>14.229430792843869</v>
      </c>
      <c r="I35" s="409">
        <f>'- 54 -'!G35</f>
        <v>14.638837452834139</v>
      </c>
    </row>
    <row r="36" spans="1:9" ht="14.1" customHeight="1">
      <c r="A36" s="171" t="s">
        <v>259</v>
      </c>
      <c r="B36" s="171">
        <v>12375</v>
      </c>
      <c r="C36" s="171">
        <f>'- 4 -'!E36</f>
        <v>13054</v>
      </c>
      <c r="D36" s="270">
        <v>12.583918217882211</v>
      </c>
      <c r="E36" s="270">
        <f>'- 9 -'!C36</f>
        <v>12.284873188405799</v>
      </c>
      <c r="F36" s="171">
        <v>368678</v>
      </c>
      <c r="G36" s="171">
        <f>'- 56 -'!F36</f>
        <v>385158</v>
      </c>
      <c r="H36" s="270">
        <v>14.853946723177192</v>
      </c>
      <c r="I36" s="270">
        <f>'- 54 -'!G36</f>
        <v>15.18739967854483</v>
      </c>
    </row>
    <row r="37" spans="1:9" ht="14.1" customHeight="1">
      <c r="A37" s="408" t="s">
        <v>260</v>
      </c>
      <c r="B37" s="408">
        <v>10506</v>
      </c>
      <c r="C37" s="408">
        <f>'- 4 -'!E37</f>
        <v>10705</v>
      </c>
      <c r="D37" s="409">
        <v>14.281063275624328</v>
      </c>
      <c r="E37" s="409">
        <f>'- 9 -'!C37</f>
        <v>14.330965284898198</v>
      </c>
      <c r="F37" s="408">
        <v>241693</v>
      </c>
      <c r="G37" s="408">
        <f>'- 56 -'!F37</f>
        <v>244382</v>
      </c>
      <c r="H37" s="409">
        <v>14.84616126729183</v>
      </c>
      <c r="I37" s="409">
        <f>'- 54 -'!G37</f>
        <v>15.536429544550314</v>
      </c>
    </row>
    <row r="38" spans="1:9" ht="14.1" customHeight="1">
      <c r="A38" s="171" t="s">
        <v>261</v>
      </c>
      <c r="B38" s="171">
        <v>10441</v>
      </c>
      <c r="C38" s="171">
        <f>'- 4 -'!E38</f>
        <v>10789</v>
      </c>
      <c r="D38" s="270">
        <v>14.104918926284235</v>
      </c>
      <c r="E38" s="270">
        <f>'- 9 -'!C38</f>
        <v>14.036044262999575</v>
      </c>
      <c r="F38" s="171">
        <v>253452</v>
      </c>
      <c r="G38" s="171">
        <f>'- 56 -'!F38</f>
        <v>250226</v>
      </c>
      <c r="H38" s="270">
        <v>16.207341577020323</v>
      </c>
      <c r="I38" s="270">
        <f>'- 54 -'!G38</f>
        <v>16.958346909368956</v>
      </c>
    </row>
    <row r="39" spans="1:9" ht="14.1" customHeight="1">
      <c r="A39" s="408" t="s">
        <v>262</v>
      </c>
      <c r="B39" s="408">
        <v>12274</v>
      </c>
      <c r="C39" s="408">
        <f>'- 4 -'!E39</f>
        <v>12977</v>
      </c>
      <c r="D39" s="409">
        <v>13.026694045174539</v>
      </c>
      <c r="E39" s="409">
        <f>'- 9 -'!C39</f>
        <v>12.444000000000001</v>
      </c>
      <c r="F39" s="408">
        <v>411560</v>
      </c>
      <c r="G39" s="408">
        <f>'- 56 -'!F39</f>
        <v>435619</v>
      </c>
      <c r="H39" s="409">
        <v>14.584021483105188</v>
      </c>
      <c r="I39" s="409">
        <f>'- 54 -'!G39</f>
        <v>14.968209923612523</v>
      </c>
    </row>
    <row r="40" spans="1:9" ht="14.1" customHeight="1">
      <c r="A40" s="171" t="s">
        <v>263</v>
      </c>
      <c r="B40" s="171">
        <v>11432</v>
      </c>
      <c r="C40" s="171">
        <f>'- 4 -'!E40</f>
        <v>11841</v>
      </c>
      <c r="D40" s="270">
        <v>13.847015439757374</v>
      </c>
      <c r="E40" s="270">
        <f>'- 9 -'!C40</f>
        <v>13.95802217497496</v>
      </c>
      <c r="F40" s="171">
        <v>460518</v>
      </c>
      <c r="G40" s="171">
        <f>'- 56 -'!F40</f>
        <v>462268</v>
      </c>
      <c r="H40" s="270">
        <v>12.583316157433099</v>
      </c>
      <c r="I40" s="270">
        <f>'- 54 -'!G40</f>
        <v>13.398505086892365</v>
      </c>
    </row>
    <row r="41" spans="1:9" ht="14.1" customHeight="1">
      <c r="A41" s="408" t="s">
        <v>264</v>
      </c>
      <c r="B41" s="408">
        <v>12662</v>
      </c>
      <c r="C41" s="408">
        <f>'- 4 -'!E41</f>
        <v>13013</v>
      </c>
      <c r="D41" s="409">
        <v>12.585799482390007</v>
      </c>
      <c r="E41" s="409">
        <f>'- 9 -'!C41</f>
        <v>12.450559385241268</v>
      </c>
      <c r="F41" s="408">
        <v>380895</v>
      </c>
      <c r="G41" s="408">
        <f>'- 56 -'!F41</f>
        <v>396963</v>
      </c>
      <c r="H41" s="409">
        <v>14.833116448910015</v>
      </c>
      <c r="I41" s="409">
        <f>'- 54 -'!G41</f>
        <v>14.857944819805915</v>
      </c>
    </row>
    <row r="42" spans="1:9" ht="14.1" customHeight="1">
      <c r="A42" s="171" t="s">
        <v>265</v>
      </c>
      <c r="B42" s="171">
        <v>13661</v>
      </c>
      <c r="C42" s="171">
        <f>'- 4 -'!E42</f>
        <v>13740</v>
      </c>
      <c r="D42" s="270">
        <v>11.811342592592593</v>
      </c>
      <c r="E42" s="270">
        <f>'- 9 -'!C42</f>
        <v>12.105263157894736</v>
      </c>
      <c r="F42" s="171">
        <v>232150</v>
      </c>
      <c r="G42" s="171">
        <f>'- 56 -'!F42</f>
        <v>241928</v>
      </c>
      <c r="H42" s="270">
        <v>18.678140521394276</v>
      </c>
      <c r="I42" s="270">
        <f>'- 54 -'!G42</f>
        <v>18.678137856399569</v>
      </c>
    </row>
    <row r="43" spans="1:9" ht="14.1" customHeight="1">
      <c r="A43" s="408" t="s">
        <v>266</v>
      </c>
      <c r="B43" s="408">
        <v>11677</v>
      </c>
      <c r="C43" s="408">
        <f>'- 4 -'!E43</f>
        <v>12376</v>
      </c>
      <c r="D43" s="409">
        <v>13.008401120149355</v>
      </c>
      <c r="E43" s="409">
        <f>'- 9 -'!C43</f>
        <v>12.481509818923744</v>
      </c>
      <c r="F43" s="408">
        <v>348361</v>
      </c>
      <c r="G43" s="408">
        <f>'- 56 -'!F43</f>
        <v>354995</v>
      </c>
      <c r="H43" s="409">
        <v>15.797757219516564</v>
      </c>
      <c r="I43" s="409">
        <f>'- 54 -'!G43</f>
        <v>16.366904290057438</v>
      </c>
    </row>
    <row r="44" spans="1:9" ht="14.1" customHeight="1">
      <c r="A44" s="171" t="s">
        <v>267</v>
      </c>
      <c r="B44" s="171">
        <v>13618</v>
      </c>
      <c r="C44" s="171">
        <f>'- 4 -'!E44</f>
        <v>14646</v>
      </c>
      <c r="D44" s="270">
        <v>11.492129778348859</v>
      </c>
      <c r="E44" s="270">
        <f>'- 9 -'!C44</f>
        <v>11.111991129415491</v>
      </c>
      <c r="F44" s="171">
        <v>182473</v>
      </c>
      <c r="G44" s="171">
        <f>'- 56 -'!F44</f>
        <v>186381</v>
      </c>
      <c r="H44" s="270">
        <v>19.318488330085227</v>
      </c>
      <c r="I44" s="270">
        <f>'- 54 -'!G44</f>
        <v>19.320924401324479</v>
      </c>
    </row>
    <row r="45" spans="1:9" ht="14.1" customHeight="1">
      <c r="A45" s="408" t="s">
        <v>268</v>
      </c>
      <c r="B45" s="408">
        <v>9857</v>
      </c>
      <c r="C45" s="408">
        <f>'- 4 -'!E45</f>
        <v>10189</v>
      </c>
      <c r="D45" s="409">
        <v>14.566181127295756</v>
      </c>
      <c r="E45" s="409">
        <f>'- 9 -'!C45</f>
        <v>13.701821262177043</v>
      </c>
      <c r="F45" s="408">
        <v>237925</v>
      </c>
      <c r="G45" s="408">
        <f>'- 56 -'!F45</f>
        <v>247105</v>
      </c>
      <c r="H45" s="409">
        <v>17.976475772334258</v>
      </c>
      <c r="I45" s="409">
        <f>'- 54 -'!G45</f>
        <v>18.381702655581645</v>
      </c>
    </row>
    <row r="46" spans="1:9" ht="14.1" customHeight="1">
      <c r="A46" s="171" t="s">
        <v>269</v>
      </c>
      <c r="B46" s="171">
        <v>11234</v>
      </c>
      <c r="C46" s="171">
        <f>'- 4 -'!E46</f>
        <v>11622</v>
      </c>
      <c r="D46" s="270">
        <v>13.694713396063458</v>
      </c>
      <c r="E46" s="270">
        <f>'- 9 -'!C46</f>
        <v>13.56147516776694</v>
      </c>
      <c r="F46" s="171">
        <v>312832</v>
      </c>
      <c r="G46" s="171">
        <f>'- 56 -'!F46</f>
        <v>313494</v>
      </c>
      <c r="H46" s="270">
        <v>15.563316941711673</v>
      </c>
      <c r="I46" s="270">
        <f>'- 54 -'!G46</f>
        <v>16.733323868677022</v>
      </c>
    </row>
    <row r="47" spans="1:9" ht="5.0999999999999996" customHeight="1">
      <c r="A47"/>
      <c r="B47"/>
      <c r="C47"/>
      <c r="D47" s="457"/>
      <c r="E47" s="457"/>
      <c r="F47"/>
      <c r="G47"/>
      <c r="H47" s="457"/>
      <c r="I47" s="457"/>
    </row>
    <row r="48" spans="1:9" ht="14.1" customHeight="1">
      <c r="A48" s="411" t="s">
        <v>270</v>
      </c>
      <c r="B48" s="412">
        <v>11437</v>
      </c>
      <c r="C48" s="412">
        <f>'- 4 -'!E48</f>
        <v>11845</v>
      </c>
      <c r="D48" s="458">
        <v>13.462047355043353</v>
      </c>
      <c r="E48" s="458">
        <f>'- 9 -'!C48</f>
        <v>13.259317349107096</v>
      </c>
      <c r="F48" s="412">
        <v>317648.67153662862</v>
      </c>
      <c r="G48" s="412">
        <f>'- 56 -'!F48</f>
        <v>322846.28653302381</v>
      </c>
      <c r="H48" s="458">
        <v>14.657406684072306</v>
      </c>
      <c r="I48" s="458">
        <f>'- 54 -'!G48</f>
        <v>15.286442903116251</v>
      </c>
    </row>
    <row r="49" spans="1:9" ht="5.0999999999999996" customHeight="1">
      <c r="A49" s="148"/>
      <c r="B49" s="172"/>
      <c r="C49" s="172"/>
      <c r="D49" s="272"/>
      <c r="E49" s="272"/>
      <c r="F49" s="172"/>
      <c r="G49" s="172"/>
      <c r="H49" s="272"/>
      <c r="I49" s="272"/>
    </row>
    <row r="50" spans="1:9" ht="14.1" customHeight="1">
      <c r="A50" s="171" t="s">
        <v>271</v>
      </c>
      <c r="B50" s="171">
        <v>18923</v>
      </c>
      <c r="C50" s="171">
        <f>'- 4 -'!E50</f>
        <v>17996</v>
      </c>
      <c r="D50" s="270">
        <v>8.329177057356608</v>
      </c>
      <c r="E50" s="270">
        <f>'- 9 -'!C50</f>
        <v>8.5888077858880774</v>
      </c>
      <c r="F50" s="171"/>
      <c r="G50" s="171"/>
      <c r="H50" s="270">
        <v>0</v>
      </c>
      <c r="I50" s="270">
        <f>'- 54 -'!G50</f>
        <v>0</v>
      </c>
    </row>
    <row r="51" spans="1:9" ht="14.1" customHeight="1">
      <c r="A51" s="408" t="s">
        <v>272</v>
      </c>
      <c r="B51" s="408">
        <v>13222</v>
      </c>
      <c r="C51" s="408">
        <f>'- 4 -'!E51</f>
        <v>13607</v>
      </c>
      <c r="D51" s="409">
        <v>15.364080765143465</v>
      </c>
      <c r="E51" s="409">
        <f>'- 9 -'!C51</f>
        <v>18.072499999999998</v>
      </c>
      <c r="F51" s="408"/>
      <c r="G51" s="408"/>
      <c r="H51" s="409">
        <v>0</v>
      </c>
      <c r="I51" s="409">
        <f>'- 54 -'!G51</f>
        <v>0</v>
      </c>
    </row>
    <row r="52" spans="1:9" ht="50.1" customHeight="1">
      <c r="A52" s="30"/>
      <c r="B52" s="30"/>
      <c r="C52" s="30"/>
      <c r="D52" s="30"/>
      <c r="E52" s="30"/>
      <c r="F52" s="30"/>
      <c r="G52" s="30"/>
      <c r="H52" s="30"/>
      <c r="I52" s="30"/>
    </row>
    <row r="53" spans="1:9" ht="15" customHeight="1">
      <c r="A53" s="45" t="s">
        <v>598</v>
      </c>
      <c r="B53" s="45"/>
      <c r="C53" s="45"/>
    </row>
    <row r="54" spans="1:9" ht="12" customHeight="1">
      <c r="A54" s="45" t="s">
        <v>599</v>
      </c>
      <c r="B54" s="45"/>
      <c r="C54" s="45"/>
    </row>
    <row r="55" spans="1:9" ht="12" customHeight="1">
      <c r="A55" s="151" t="s">
        <v>684</v>
      </c>
      <c r="B55" s="45"/>
      <c r="C55" s="45"/>
    </row>
    <row r="56" spans="1:9" ht="12" customHeight="1">
      <c r="A56" s="151" t="s">
        <v>691</v>
      </c>
      <c r="B56" s="45"/>
      <c r="C56" s="45"/>
    </row>
    <row r="57" spans="1:9" ht="12" customHeight="1">
      <c r="A57" s="45"/>
      <c r="B57" s="45"/>
      <c r="C57" s="45"/>
    </row>
    <row r="58" spans="1:9" ht="12" customHeight="1">
      <c r="B58" s="45"/>
      <c r="C58" s="45"/>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61.xml><?xml version="1.0" encoding="utf-8"?>
<worksheet xmlns="http://schemas.openxmlformats.org/spreadsheetml/2006/main" xmlns:r="http://schemas.openxmlformats.org/officeDocument/2006/relationships">
  <sheetPr transitionEvaluation="1" codeName="Sheet49"/>
  <dimension ref="A1:V91"/>
  <sheetViews>
    <sheetView showGridLines="0" defaultGridColor="0" colorId="22" workbookViewId="0">
      <pane xSplit="1" ySplit="10" topLeftCell="B11" activePane="bottomRight" state="frozen"/>
      <selection activeCell="A3" sqref="A3"/>
      <selection pane="topRight" activeCell="A3" sqref="A3"/>
      <selection pane="bottomLeft" activeCell="A3" sqref="A3"/>
      <selection pane="bottomRight"/>
    </sheetView>
  </sheetViews>
  <sheetFormatPr defaultColWidth="15.83203125" defaultRowHeight="12"/>
  <cols>
    <col min="1" max="1" width="5.83203125" style="1" customWidth="1"/>
    <col min="2" max="2" width="30.83203125" style="1" customWidth="1"/>
    <col min="3" max="13" width="15.83203125" style="1" customWidth="1"/>
    <col min="14" max="14" width="3.5" style="1" customWidth="1"/>
    <col min="15" max="15" width="15.83203125" style="1"/>
    <col min="16" max="16" width="1.83203125" style="1" customWidth="1"/>
    <col min="17" max="17" width="21.33203125" style="1" bestFit="1" customWidth="1"/>
    <col min="18" max="18" width="14.1640625" style="1" bestFit="1" customWidth="1"/>
    <col min="19" max="19" width="2.1640625" style="1" customWidth="1"/>
    <col min="20" max="20" width="23.6640625" style="1" bestFit="1" customWidth="1"/>
    <col min="21" max="16384" width="15.83203125" style="1"/>
  </cols>
  <sheetData>
    <row r="1" spans="1:21" ht="6" customHeight="1">
      <c r="A1" s="6"/>
      <c r="B1" s="234"/>
      <c r="C1" s="234"/>
      <c r="D1" s="234"/>
      <c r="E1" s="234"/>
      <c r="F1" s="234"/>
      <c r="G1" s="234"/>
      <c r="H1" s="234"/>
      <c r="I1" s="234"/>
      <c r="J1" s="234"/>
      <c r="K1" s="234"/>
      <c r="L1" s="234"/>
      <c r="M1" s="234"/>
    </row>
    <row r="2" spans="1:21">
      <c r="A2" s="234"/>
      <c r="B2" s="206"/>
      <c r="C2" s="206"/>
      <c r="D2" s="206"/>
      <c r="E2" s="206"/>
      <c r="F2" s="206"/>
      <c r="G2" s="206"/>
      <c r="H2" s="206"/>
      <c r="I2" s="206"/>
      <c r="J2" s="206"/>
      <c r="K2" s="206"/>
      <c r="L2" s="206"/>
      <c r="M2" s="206"/>
    </row>
    <row r="3" spans="1:21">
      <c r="A3" s="313" t="s">
        <v>109</v>
      </c>
      <c r="B3" s="1" t="s">
        <v>181</v>
      </c>
      <c r="C3" s="234"/>
      <c r="D3" s="234"/>
      <c r="E3" s="234"/>
      <c r="F3" s="234"/>
      <c r="G3" s="234"/>
      <c r="H3" s="234"/>
      <c r="I3" s="234"/>
      <c r="J3" s="234"/>
      <c r="K3" s="234"/>
      <c r="L3" s="234"/>
      <c r="M3" s="234"/>
    </row>
    <row r="4" spans="1:21">
      <c r="A4" s="1" t="s">
        <v>590</v>
      </c>
      <c r="B4" s="319" t="s">
        <v>706</v>
      </c>
      <c r="C4" s="206"/>
      <c r="D4" s="206"/>
      <c r="E4" s="206"/>
      <c r="F4" s="206"/>
      <c r="G4" s="206"/>
      <c r="H4" s="206"/>
      <c r="I4" s="206"/>
      <c r="J4" s="206"/>
      <c r="K4" s="206"/>
      <c r="L4" s="206"/>
      <c r="M4" s="206"/>
      <c r="O4" s="1" t="s">
        <v>711</v>
      </c>
    </row>
    <row r="5" spans="1:21">
      <c r="A5" s="1" t="s">
        <v>589</v>
      </c>
      <c r="B5" s="319" t="s">
        <v>734</v>
      </c>
      <c r="C5" s="314" t="s">
        <v>72</v>
      </c>
      <c r="D5" s="315"/>
      <c r="E5" s="315"/>
      <c r="F5" s="315"/>
      <c r="G5" s="315"/>
      <c r="H5" s="315"/>
      <c r="I5" s="315"/>
      <c r="J5" s="315"/>
      <c r="K5" s="315"/>
      <c r="L5" s="315"/>
      <c r="M5" s="316"/>
      <c r="O5" s="1" t="s">
        <v>667</v>
      </c>
    </row>
    <row r="6" spans="1:21">
      <c r="A6" s="1" t="s">
        <v>13</v>
      </c>
      <c r="B6" s="622">
        <v>2013</v>
      </c>
      <c r="O6" s="151" t="s">
        <v>743</v>
      </c>
      <c r="T6" s="1" t="s">
        <v>698</v>
      </c>
    </row>
    <row r="7" spans="1:21">
      <c r="A7" s="1" t="s">
        <v>14</v>
      </c>
      <c r="B7" s="317" t="str">
        <f>TEXT((B6+1),"0")</f>
        <v>2014</v>
      </c>
      <c r="C7" s="90"/>
      <c r="M7" s="3" t="s">
        <v>388</v>
      </c>
      <c r="O7" s="1" t="s">
        <v>664</v>
      </c>
      <c r="Q7" s="5" t="s">
        <v>696</v>
      </c>
      <c r="T7" s="3" t="s">
        <v>67</v>
      </c>
    </row>
    <row r="8" spans="1:21">
      <c r="C8" s="318" t="s">
        <v>91</v>
      </c>
      <c r="D8" s="7"/>
      <c r="E8" s="7"/>
      <c r="F8" s="7"/>
      <c r="G8" s="7"/>
      <c r="H8" s="7"/>
      <c r="I8" s="7"/>
      <c r="J8" s="7">
        <v>700</v>
      </c>
      <c r="K8" s="3" t="s">
        <v>67</v>
      </c>
      <c r="L8" s="3" t="s">
        <v>366</v>
      </c>
      <c r="M8" s="3" t="s">
        <v>376</v>
      </c>
      <c r="O8" s="1" t="s">
        <v>665</v>
      </c>
      <c r="Q8" s="673" t="s">
        <v>584</v>
      </c>
      <c r="R8" s="1" t="s">
        <v>586</v>
      </c>
      <c r="T8" s="3" t="s">
        <v>92</v>
      </c>
      <c r="U8" s="701" t="s">
        <v>92</v>
      </c>
    </row>
    <row r="9" spans="1:21">
      <c r="A9" s="319" t="s">
        <v>277</v>
      </c>
      <c r="B9" s="1" t="s">
        <v>278</v>
      </c>
      <c r="C9" s="1">
        <v>100</v>
      </c>
      <c r="D9" s="1">
        <v>200</v>
      </c>
      <c r="E9" s="1">
        <v>300</v>
      </c>
      <c r="F9" s="1">
        <v>400</v>
      </c>
      <c r="G9" s="1">
        <v>500</v>
      </c>
      <c r="H9" s="1">
        <v>600</v>
      </c>
      <c r="I9" s="1">
        <v>700</v>
      </c>
      <c r="J9" s="3" t="s">
        <v>106</v>
      </c>
      <c r="K9" s="3" t="s">
        <v>107</v>
      </c>
      <c r="L9" s="3" t="s">
        <v>186</v>
      </c>
      <c r="M9" s="3" t="s">
        <v>212</v>
      </c>
      <c r="O9" s="1" t="s">
        <v>666</v>
      </c>
      <c r="Q9" s="673" t="s">
        <v>147</v>
      </c>
      <c r="R9" s="1" t="s">
        <v>147</v>
      </c>
      <c r="T9" s="516" t="s">
        <v>744</v>
      </c>
      <c r="U9" s="3" t="s">
        <v>757</v>
      </c>
    </row>
    <row r="10" spans="1:21" ht="3.95" customHeight="1"/>
    <row r="11" spans="1:21" ht="10.9" customHeight="1">
      <c r="A11" s="317" t="s">
        <v>279</v>
      </c>
      <c r="B11" s="1" t="s">
        <v>235</v>
      </c>
      <c r="C11" s="1">
        <v>60528</v>
      </c>
      <c r="D11" s="1">
        <v>15000</v>
      </c>
      <c r="E11" s="1">
        <v>0</v>
      </c>
      <c r="F11" s="1">
        <v>0</v>
      </c>
      <c r="G11" s="1">
        <v>0</v>
      </c>
      <c r="H11" s="1">
        <v>9400</v>
      </c>
      <c r="I11" s="1">
        <v>0</v>
      </c>
      <c r="J11" s="1">
        <v>0</v>
      </c>
      <c r="K11" s="65">
        <f t="shared" ref="K11:K42" si="0">SUM(C11:I11)-J11</f>
        <v>84928</v>
      </c>
      <c r="L11" s="65">
        <v>16281</v>
      </c>
      <c r="M11" s="65">
        <v>0</v>
      </c>
      <c r="O11" s="1">
        <v>334569</v>
      </c>
      <c r="Q11" s="1">
        <v>7807199</v>
      </c>
      <c r="R11" s="1">
        <v>7302868</v>
      </c>
      <c r="T11" s="1">
        <v>259509</v>
      </c>
    </row>
    <row r="12" spans="1:21" ht="10.9" customHeight="1">
      <c r="A12" s="317" t="s">
        <v>280</v>
      </c>
      <c r="B12" s="1" t="s">
        <v>236</v>
      </c>
      <c r="C12" s="1">
        <v>356691</v>
      </c>
      <c r="D12" s="1">
        <v>0</v>
      </c>
      <c r="E12" s="1">
        <v>-23235</v>
      </c>
      <c r="F12" s="1">
        <v>0</v>
      </c>
      <c r="G12" s="1">
        <v>0</v>
      </c>
      <c r="H12" s="1">
        <v>0</v>
      </c>
      <c r="I12" s="1">
        <v>750</v>
      </c>
      <c r="J12" s="1">
        <v>0</v>
      </c>
      <c r="K12" s="65">
        <f t="shared" si="0"/>
        <v>334206</v>
      </c>
      <c r="L12" s="65">
        <v>30360</v>
      </c>
      <c r="M12" s="65">
        <v>0</v>
      </c>
      <c r="O12" s="1">
        <v>267863</v>
      </c>
      <c r="Q12" s="1">
        <v>13581123</v>
      </c>
      <c r="R12" s="1">
        <v>10844168</v>
      </c>
      <c r="T12" s="1">
        <v>388439</v>
      </c>
    </row>
    <row r="13" spans="1:21" ht="10.9" customHeight="1">
      <c r="A13" s="317" t="s">
        <v>281</v>
      </c>
      <c r="B13" s="1" t="s">
        <v>237</v>
      </c>
      <c r="C13" s="1">
        <v>122850</v>
      </c>
      <c r="D13" s="1">
        <v>0</v>
      </c>
      <c r="E13" s="1">
        <v>0</v>
      </c>
      <c r="F13" s="1">
        <v>0</v>
      </c>
      <c r="G13" s="1">
        <v>0</v>
      </c>
      <c r="H13" s="1">
        <v>0</v>
      </c>
      <c r="I13" s="1">
        <v>0</v>
      </c>
      <c r="J13" s="1">
        <v>0</v>
      </c>
      <c r="K13" s="65">
        <f t="shared" si="0"/>
        <v>122850</v>
      </c>
      <c r="L13" s="65">
        <v>50794</v>
      </c>
      <c r="M13" s="65">
        <v>0</v>
      </c>
      <c r="O13" s="1">
        <v>293805</v>
      </c>
      <c r="Q13" s="1">
        <v>39877926</v>
      </c>
      <c r="R13" s="1">
        <v>38029913</v>
      </c>
      <c r="T13" s="1">
        <v>1046677</v>
      </c>
    </row>
    <row r="14" spans="1:21" ht="10.9" customHeight="1">
      <c r="A14" s="317" t="s">
        <v>282</v>
      </c>
      <c r="B14" s="1" t="s">
        <v>273</v>
      </c>
      <c r="C14" s="1">
        <v>251044</v>
      </c>
      <c r="D14" s="1">
        <v>0</v>
      </c>
      <c r="E14" s="1">
        <v>0</v>
      </c>
      <c r="F14" s="1">
        <v>0</v>
      </c>
      <c r="G14" s="1">
        <v>0</v>
      </c>
      <c r="H14" s="1">
        <v>14300</v>
      </c>
      <c r="I14" s="1">
        <v>0</v>
      </c>
      <c r="J14" s="1">
        <v>0</v>
      </c>
      <c r="K14" s="65">
        <f t="shared" si="0"/>
        <v>265344</v>
      </c>
      <c r="L14" s="65">
        <v>0</v>
      </c>
      <c r="M14" s="65">
        <v>0</v>
      </c>
      <c r="O14" s="1">
        <v>332918</v>
      </c>
      <c r="Q14" s="1">
        <v>0</v>
      </c>
      <c r="R14" s="1">
        <v>0</v>
      </c>
      <c r="T14" s="1">
        <v>901618</v>
      </c>
    </row>
    <row r="15" spans="1:21" ht="10.9" customHeight="1">
      <c r="A15" s="317" t="s">
        <v>283</v>
      </c>
      <c r="B15" s="1" t="s">
        <v>238</v>
      </c>
      <c r="C15" s="1">
        <v>38600</v>
      </c>
      <c r="D15" s="1">
        <v>0</v>
      </c>
      <c r="E15" s="1">
        <v>0</v>
      </c>
      <c r="F15" s="1">
        <v>0</v>
      </c>
      <c r="G15" s="1">
        <v>1150</v>
      </c>
      <c r="H15" s="1">
        <v>6000</v>
      </c>
      <c r="I15" s="1">
        <v>0</v>
      </c>
      <c r="J15" s="1">
        <v>0</v>
      </c>
      <c r="K15" s="65">
        <f t="shared" si="0"/>
        <v>45750</v>
      </c>
      <c r="L15" s="65">
        <v>25106</v>
      </c>
      <c r="M15" s="65">
        <v>0</v>
      </c>
      <c r="O15" s="1">
        <v>523644</v>
      </c>
      <c r="Q15" s="1">
        <v>10661564</v>
      </c>
      <c r="R15" s="1">
        <v>9066247</v>
      </c>
      <c r="T15" s="1">
        <v>289004</v>
      </c>
    </row>
    <row r="16" spans="1:21" ht="10.9" customHeight="1">
      <c r="A16" s="317" t="s">
        <v>284</v>
      </c>
      <c r="B16" s="1" t="s">
        <v>239</v>
      </c>
      <c r="C16" s="1">
        <v>8159</v>
      </c>
      <c r="D16" s="1">
        <v>0</v>
      </c>
      <c r="E16" s="1">
        <v>0</v>
      </c>
      <c r="F16" s="1">
        <v>0</v>
      </c>
      <c r="G16" s="1">
        <v>0</v>
      </c>
      <c r="H16" s="1">
        <v>0</v>
      </c>
      <c r="I16" s="1">
        <v>0</v>
      </c>
      <c r="J16" s="1">
        <v>0</v>
      </c>
      <c r="K16" s="65">
        <f t="shared" si="0"/>
        <v>8159</v>
      </c>
      <c r="L16" s="65">
        <v>15567</v>
      </c>
      <c r="M16" s="65">
        <v>0</v>
      </c>
      <c r="O16" s="1">
        <v>161888</v>
      </c>
      <c r="Q16" s="1">
        <v>4511152</v>
      </c>
      <c r="R16" s="1">
        <v>3758439</v>
      </c>
      <c r="T16" s="1">
        <v>196781</v>
      </c>
    </row>
    <row r="17" spans="1:22" ht="10.9" customHeight="1">
      <c r="A17" s="317" t="s">
        <v>285</v>
      </c>
      <c r="B17" s="1" t="s">
        <v>240</v>
      </c>
      <c r="C17" s="1">
        <v>162915</v>
      </c>
      <c r="D17" s="1">
        <v>0</v>
      </c>
      <c r="E17" s="1">
        <v>0</v>
      </c>
      <c r="F17" s="1">
        <v>0</v>
      </c>
      <c r="G17" s="1">
        <v>4388</v>
      </c>
      <c r="H17" s="1">
        <v>0</v>
      </c>
      <c r="I17" s="1">
        <v>0</v>
      </c>
      <c r="J17" s="1">
        <v>0</v>
      </c>
      <c r="K17" s="65">
        <f t="shared" si="0"/>
        <v>167303</v>
      </c>
      <c r="L17" s="65">
        <v>24530</v>
      </c>
      <c r="M17" s="65">
        <v>0</v>
      </c>
      <c r="O17" s="1">
        <v>500788</v>
      </c>
      <c r="Q17" s="1">
        <v>8064236</v>
      </c>
      <c r="R17" s="1">
        <v>7576451</v>
      </c>
      <c r="T17" s="1">
        <v>259999</v>
      </c>
    </row>
    <row r="18" spans="1:22" ht="10.9" customHeight="1">
      <c r="A18" s="317" t="s">
        <v>286</v>
      </c>
      <c r="B18" s="1" t="s">
        <v>241</v>
      </c>
      <c r="C18" s="1">
        <v>3261384</v>
      </c>
      <c r="D18" s="1">
        <v>0</v>
      </c>
      <c r="E18" s="1">
        <v>1054606</v>
      </c>
      <c r="F18" s="1">
        <v>0</v>
      </c>
      <c r="G18" s="1">
        <v>94234</v>
      </c>
      <c r="H18" s="1">
        <v>33395</v>
      </c>
      <c r="I18" s="1">
        <v>184909</v>
      </c>
      <c r="J18" s="1">
        <v>0</v>
      </c>
      <c r="K18" s="65">
        <f t="shared" si="0"/>
        <v>4628528</v>
      </c>
      <c r="L18" s="65">
        <v>0</v>
      </c>
      <c r="M18" s="65">
        <v>0</v>
      </c>
      <c r="O18" s="1">
        <v>74484</v>
      </c>
      <c r="Q18" s="1">
        <v>3436787</v>
      </c>
      <c r="R18" s="1">
        <v>3118313</v>
      </c>
      <c r="T18" s="1">
        <v>1367002.2</v>
      </c>
    </row>
    <row r="19" spans="1:22" ht="10.9" customHeight="1">
      <c r="A19" s="317" t="s">
        <v>287</v>
      </c>
      <c r="B19" s="1" t="s">
        <v>242</v>
      </c>
      <c r="C19" s="1">
        <v>363258</v>
      </c>
      <c r="D19" s="1">
        <v>0</v>
      </c>
      <c r="E19" s="1">
        <v>0</v>
      </c>
      <c r="F19" s="1">
        <v>17000</v>
      </c>
      <c r="G19" s="1">
        <v>14457</v>
      </c>
      <c r="H19" s="1">
        <v>0</v>
      </c>
      <c r="I19" s="1">
        <v>0</v>
      </c>
      <c r="J19" s="1">
        <v>0</v>
      </c>
      <c r="K19" s="65">
        <f t="shared" si="0"/>
        <v>394715</v>
      </c>
      <c r="L19" s="65">
        <v>32673</v>
      </c>
      <c r="M19" s="65">
        <v>0</v>
      </c>
      <c r="O19" s="1">
        <v>191134</v>
      </c>
      <c r="Q19" s="1">
        <v>16434868</v>
      </c>
      <c r="R19" s="1">
        <v>15788695</v>
      </c>
      <c r="T19" s="1">
        <v>630848</v>
      </c>
    </row>
    <row r="20" spans="1:22" ht="10.9" customHeight="1">
      <c r="A20" s="317" t="s">
        <v>288</v>
      </c>
      <c r="B20" s="1" t="s">
        <v>243</v>
      </c>
      <c r="C20" s="1">
        <v>1026218</v>
      </c>
      <c r="D20" s="1">
        <v>0</v>
      </c>
      <c r="E20" s="1">
        <v>0</v>
      </c>
      <c r="F20" s="1">
        <v>0</v>
      </c>
      <c r="G20" s="1">
        <v>0</v>
      </c>
      <c r="H20" s="1">
        <v>0</v>
      </c>
      <c r="I20" s="1">
        <v>0</v>
      </c>
      <c r="J20" s="1">
        <v>0</v>
      </c>
      <c r="K20" s="65">
        <f t="shared" si="0"/>
        <v>1026218</v>
      </c>
      <c r="L20" s="65">
        <v>59948</v>
      </c>
      <c r="M20" s="65">
        <v>0</v>
      </c>
      <c r="O20" s="1">
        <v>200957</v>
      </c>
      <c r="Q20" s="1">
        <v>27133792</v>
      </c>
      <c r="R20" s="1">
        <v>25625666</v>
      </c>
      <c r="T20" s="1">
        <v>953877</v>
      </c>
    </row>
    <row r="21" spans="1:22" ht="10.9" customHeight="1">
      <c r="A21" s="317" t="s">
        <v>289</v>
      </c>
      <c r="B21" s="1" t="s">
        <v>244</v>
      </c>
      <c r="C21" s="1">
        <v>227039</v>
      </c>
      <c r="D21" s="1">
        <v>54810</v>
      </c>
      <c r="E21" s="1">
        <v>0</v>
      </c>
      <c r="F21" s="1">
        <v>9940</v>
      </c>
      <c r="G21" s="1">
        <v>12842</v>
      </c>
      <c r="H21" s="1">
        <v>19575</v>
      </c>
      <c r="I21" s="1">
        <v>0</v>
      </c>
      <c r="J21" s="1">
        <v>0</v>
      </c>
      <c r="K21" s="65">
        <f t="shared" si="0"/>
        <v>324206</v>
      </c>
      <c r="L21" s="65">
        <v>34968</v>
      </c>
      <c r="M21" s="65">
        <v>0</v>
      </c>
      <c r="O21" s="1">
        <v>326239</v>
      </c>
      <c r="Q21" s="1">
        <v>15573280</v>
      </c>
      <c r="R21" s="1">
        <v>14283729</v>
      </c>
      <c r="T21" s="1">
        <v>452946</v>
      </c>
    </row>
    <row r="22" spans="1:22" ht="10.9" customHeight="1">
      <c r="A22" s="317" t="s">
        <v>290</v>
      </c>
      <c r="B22" s="1" t="s">
        <v>245</v>
      </c>
      <c r="C22" s="1">
        <v>10567</v>
      </c>
      <c r="D22" s="1">
        <v>0</v>
      </c>
      <c r="E22" s="1">
        <v>0</v>
      </c>
      <c r="F22" s="1">
        <v>0</v>
      </c>
      <c r="G22" s="1">
        <v>0</v>
      </c>
      <c r="H22" s="1">
        <v>8910</v>
      </c>
      <c r="I22" s="1">
        <v>0</v>
      </c>
      <c r="J22" s="1">
        <v>0</v>
      </c>
      <c r="K22" s="65">
        <f t="shared" si="0"/>
        <v>19477</v>
      </c>
      <c r="L22" s="65">
        <v>17333</v>
      </c>
      <c r="M22" s="65">
        <v>0</v>
      </c>
      <c r="O22" s="1">
        <v>118193</v>
      </c>
      <c r="Q22" s="1">
        <v>4500156</v>
      </c>
      <c r="R22" s="1">
        <v>4190749</v>
      </c>
      <c r="T22" s="1">
        <v>338393</v>
      </c>
    </row>
    <row r="23" spans="1:22" ht="10.9" customHeight="1">
      <c r="A23" s="317" t="s">
        <v>291</v>
      </c>
      <c r="B23" s="1" t="s">
        <v>246</v>
      </c>
      <c r="C23" s="1">
        <v>47809</v>
      </c>
      <c r="D23" s="1">
        <v>0</v>
      </c>
      <c r="E23" s="1">
        <v>0</v>
      </c>
      <c r="F23" s="1">
        <v>0</v>
      </c>
      <c r="G23" s="1">
        <v>0</v>
      </c>
      <c r="H23" s="1">
        <v>1700</v>
      </c>
      <c r="I23" s="1">
        <v>0</v>
      </c>
      <c r="J23" s="1">
        <v>0</v>
      </c>
      <c r="K23" s="65">
        <f t="shared" si="0"/>
        <v>49509</v>
      </c>
      <c r="L23" s="65">
        <v>23271</v>
      </c>
      <c r="M23" s="65">
        <v>0</v>
      </c>
      <c r="O23" s="1">
        <v>192554</v>
      </c>
      <c r="Q23" s="1">
        <v>4578716</v>
      </c>
      <c r="R23" s="1">
        <v>4138643</v>
      </c>
      <c r="T23" s="1">
        <v>233256</v>
      </c>
    </row>
    <row r="24" spans="1:22" ht="10.9" customHeight="1">
      <c r="A24" s="317" t="s">
        <v>292</v>
      </c>
      <c r="B24" s="1" t="s">
        <v>247</v>
      </c>
      <c r="C24" s="1">
        <v>240235</v>
      </c>
      <c r="D24" s="1">
        <v>0</v>
      </c>
      <c r="E24" s="1">
        <v>0</v>
      </c>
      <c r="F24" s="1">
        <v>0</v>
      </c>
      <c r="G24" s="1">
        <v>0</v>
      </c>
      <c r="H24" s="1">
        <v>0</v>
      </c>
      <c r="I24" s="1">
        <v>0</v>
      </c>
      <c r="J24" s="1">
        <v>0</v>
      </c>
      <c r="K24" s="65">
        <f t="shared" si="0"/>
        <v>240235</v>
      </c>
      <c r="L24" s="65">
        <v>36632</v>
      </c>
      <c r="M24" s="65">
        <v>0</v>
      </c>
      <c r="O24" s="1">
        <v>378335</v>
      </c>
      <c r="Q24" s="1">
        <v>26060345</v>
      </c>
      <c r="R24" s="1">
        <v>23367442</v>
      </c>
      <c r="T24" s="1">
        <v>705303</v>
      </c>
    </row>
    <row r="25" spans="1:22" ht="10.9" customHeight="1">
      <c r="A25" s="317" t="s">
        <v>293</v>
      </c>
      <c r="B25" s="1" t="s">
        <v>248</v>
      </c>
      <c r="C25" s="1">
        <v>872417</v>
      </c>
      <c r="D25" s="1">
        <v>392833</v>
      </c>
      <c r="E25" s="1">
        <v>0</v>
      </c>
      <c r="F25" s="1">
        <v>0</v>
      </c>
      <c r="G25" s="1">
        <v>14185</v>
      </c>
      <c r="H25" s="1">
        <v>17750</v>
      </c>
      <c r="I25" s="1">
        <v>0</v>
      </c>
      <c r="J25" s="1">
        <v>0</v>
      </c>
      <c r="K25" s="65">
        <f t="shared" si="0"/>
        <v>1297185</v>
      </c>
      <c r="L25" s="65">
        <v>16462</v>
      </c>
      <c r="M25" s="65">
        <v>131147</v>
      </c>
      <c r="O25" s="1">
        <v>386163</v>
      </c>
      <c r="Q25" s="1">
        <v>85458642</v>
      </c>
      <c r="R25" s="1">
        <v>78917639</v>
      </c>
      <c r="T25" s="1">
        <v>2235032</v>
      </c>
    </row>
    <row r="26" spans="1:22" ht="10.9" customHeight="1">
      <c r="A26" s="317" t="s">
        <v>294</v>
      </c>
      <c r="B26" s="1" t="s">
        <v>249</v>
      </c>
      <c r="C26" s="1">
        <v>0</v>
      </c>
      <c r="D26" s="1">
        <v>0</v>
      </c>
      <c r="E26" s="1">
        <v>0</v>
      </c>
      <c r="F26" s="1">
        <v>0</v>
      </c>
      <c r="G26" s="1">
        <v>0</v>
      </c>
      <c r="H26" s="1">
        <v>5384</v>
      </c>
      <c r="I26" s="1">
        <v>0</v>
      </c>
      <c r="J26" s="1">
        <v>0</v>
      </c>
      <c r="K26" s="65">
        <f t="shared" si="0"/>
        <v>5384</v>
      </c>
      <c r="L26" s="65">
        <v>44373</v>
      </c>
      <c r="M26" s="65">
        <v>0</v>
      </c>
      <c r="O26" s="1">
        <v>239481</v>
      </c>
      <c r="Q26" s="1">
        <v>13915496</v>
      </c>
      <c r="R26" s="1">
        <v>13225136</v>
      </c>
      <c r="T26" s="1">
        <v>769803</v>
      </c>
    </row>
    <row r="27" spans="1:22" ht="10.9" customHeight="1">
      <c r="A27" s="317" t="s">
        <v>295</v>
      </c>
      <c r="B27" s="1" t="s">
        <v>250</v>
      </c>
      <c r="C27" s="1">
        <v>1300</v>
      </c>
      <c r="D27" s="1">
        <v>0</v>
      </c>
      <c r="E27" s="1">
        <v>0</v>
      </c>
      <c r="F27" s="1">
        <v>0</v>
      </c>
      <c r="G27" s="1">
        <v>0</v>
      </c>
      <c r="H27" s="1">
        <v>0</v>
      </c>
      <c r="I27" s="1">
        <v>0</v>
      </c>
      <c r="J27" s="1">
        <v>0</v>
      </c>
      <c r="K27" s="65">
        <f t="shared" si="0"/>
        <v>1300</v>
      </c>
      <c r="L27" s="65">
        <v>6649</v>
      </c>
      <c r="M27" s="65">
        <v>0</v>
      </c>
      <c r="O27" s="1">
        <v>183297</v>
      </c>
      <c r="Q27" s="1">
        <v>8899776</v>
      </c>
      <c r="R27" s="1">
        <v>7813726</v>
      </c>
      <c r="T27" s="1">
        <v>462300</v>
      </c>
    </row>
    <row r="28" spans="1:22" ht="10.9" customHeight="1">
      <c r="A28" s="317" t="s">
        <v>296</v>
      </c>
      <c r="B28" s="1" t="s">
        <v>251</v>
      </c>
      <c r="C28" s="1">
        <v>86146</v>
      </c>
      <c r="D28" s="1">
        <v>0</v>
      </c>
      <c r="E28" s="1">
        <v>39350</v>
      </c>
      <c r="F28" s="1">
        <v>0</v>
      </c>
      <c r="G28" s="1">
        <v>0</v>
      </c>
      <c r="H28" s="1">
        <v>0</v>
      </c>
      <c r="I28" s="1">
        <v>0</v>
      </c>
      <c r="J28" s="1">
        <v>0</v>
      </c>
      <c r="K28" s="65">
        <f t="shared" si="0"/>
        <v>125496</v>
      </c>
      <c r="L28" s="65">
        <v>17008</v>
      </c>
      <c r="M28" s="65">
        <v>0</v>
      </c>
      <c r="O28" s="1">
        <v>328838</v>
      </c>
      <c r="Q28" s="1">
        <v>8913637</v>
      </c>
      <c r="R28" s="1">
        <v>8096284</v>
      </c>
      <c r="T28" s="1">
        <v>390571</v>
      </c>
      <c r="U28" s="1">
        <v>50000</v>
      </c>
      <c r="V28" s="1" t="s">
        <v>756</v>
      </c>
    </row>
    <row r="29" spans="1:22" ht="10.9" customHeight="1">
      <c r="A29" s="317" t="s">
        <v>297</v>
      </c>
      <c r="B29" s="1" t="s">
        <v>252</v>
      </c>
      <c r="C29" s="1">
        <v>2014718</v>
      </c>
      <c r="D29" s="1">
        <v>0</v>
      </c>
      <c r="E29" s="1">
        <v>0</v>
      </c>
      <c r="F29" s="1">
        <v>0</v>
      </c>
      <c r="G29" s="1">
        <v>1050</v>
      </c>
      <c r="H29" s="1">
        <v>0</v>
      </c>
      <c r="I29" s="1">
        <v>0</v>
      </c>
      <c r="J29" s="1">
        <v>0</v>
      </c>
      <c r="K29" s="65">
        <f t="shared" si="0"/>
        <v>2015768</v>
      </c>
      <c r="L29" s="65">
        <v>77935</v>
      </c>
      <c r="M29" s="65">
        <v>702464</v>
      </c>
      <c r="O29" s="1">
        <v>477729</v>
      </c>
      <c r="Q29" s="1">
        <v>82251778</v>
      </c>
      <c r="R29" s="1">
        <v>77392089</v>
      </c>
      <c r="T29" s="1">
        <v>1705038</v>
      </c>
    </row>
    <row r="30" spans="1:22" ht="10.9" customHeight="1">
      <c r="A30" s="317" t="s">
        <v>298</v>
      </c>
      <c r="B30" s="1" t="s">
        <v>253</v>
      </c>
      <c r="C30" s="1">
        <v>35103</v>
      </c>
      <c r="D30" s="1">
        <v>0</v>
      </c>
      <c r="E30" s="1">
        <v>0</v>
      </c>
      <c r="F30" s="1">
        <v>0</v>
      </c>
      <c r="G30" s="1">
        <v>0</v>
      </c>
      <c r="H30" s="1">
        <v>0</v>
      </c>
      <c r="I30" s="1">
        <v>0</v>
      </c>
      <c r="J30" s="1">
        <v>0</v>
      </c>
      <c r="K30" s="65">
        <f t="shared" si="0"/>
        <v>35103</v>
      </c>
      <c r="L30" s="65">
        <v>19795</v>
      </c>
      <c r="M30" s="65">
        <v>0</v>
      </c>
      <c r="O30" s="1">
        <v>281298</v>
      </c>
      <c r="Q30" s="1">
        <v>5608184</v>
      </c>
      <c r="R30" s="1">
        <v>5275969</v>
      </c>
      <c r="T30" s="1">
        <v>209725</v>
      </c>
    </row>
    <row r="31" spans="1:22" ht="10.9" customHeight="1">
      <c r="A31" s="317" t="s">
        <v>299</v>
      </c>
      <c r="B31" s="1" t="s">
        <v>254</v>
      </c>
      <c r="C31" s="1">
        <v>42900</v>
      </c>
      <c r="D31" s="1">
        <v>0</v>
      </c>
      <c r="E31" s="1">
        <v>0</v>
      </c>
      <c r="F31" s="1">
        <v>0</v>
      </c>
      <c r="G31" s="1">
        <v>0</v>
      </c>
      <c r="H31" s="1">
        <v>0</v>
      </c>
      <c r="I31" s="1">
        <v>0</v>
      </c>
      <c r="J31" s="1">
        <v>0</v>
      </c>
      <c r="K31" s="65">
        <f t="shared" si="0"/>
        <v>42900</v>
      </c>
      <c r="L31" s="65">
        <v>38064</v>
      </c>
      <c r="M31" s="65">
        <v>0</v>
      </c>
      <c r="O31" s="1">
        <v>292151</v>
      </c>
      <c r="Q31" s="1">
        <v>14614929</v>
      </c>
      <c r="R31" s="1">
        <v>14091893</v>
      </c>
      <c r="T31" s="1">
        <v>594504</v>
      </c>
    </row>
    <row r="32" spans="1:22" ht="10.9" customHeight="1">
      <c r="A32" s="317" t="s">
        <v>300</v>
      </c>
      <c r="B32" s="1" t="s">
        <v>255</v>
      </c>
      <c r="C32" s="1">
        <v>226845</v>
      </c>
      <c r="D32" s="1">
        <v>0</v>
      </c>
      <c r="E32" s="1">
        <v>609</v>
      </c>
      <c r="F32" s="1">
        <v>0</v>
      </c>
      <c r="G32" s="1">
        <v>0</v>
      </c>
      <c r="H32" s="1">
        <v>3897</v>
      </c>
      <c r="I32" s="1">
        <v>0</v>
      </c>
      <c r="J32" s="1">
        <v>0</v>
      </c>
      <c r="K32" s="65">
        <f t="shared" si="0"/>
        <v>231351</v>
      </c>
      <c r="L32" s="65">
        <v>18718</v>
      </c>
      <c r="M32" s="65">
        <v>0</v>
      </c>
      <c r="O32" s="1">
        <v>359016</v>
      </c>
      <c r="Q32" s="1">
        <v>12747187</v>
      </c>
      <c r="R32" s="1">
        <v>11594078</v>
      </c>
      <c r="T32" s="1">
        <v>383214</v>
      </c>
    </row>
    <row r="33" spans="1:20" ht="10.9" customHeight="1">
      <c r="A33" s="317" t="s">
        <v>301</v>
      </c>
      <c r="B33" s="1" t="s">
        <v>256</v>
      </c>
      <c r="C33" s="1">
        <v>98177</v>
      </c>
      <c r="D33" s="1">
        <v>0</v>
      </c>
      <c r="E33" s="1">
        <v>0</v>
      </c>
      <c r="F33" s="1">
        <v>0</v>
      </c>
      <c r="G33" s="1">
        <v>1155</v>
      </c>
      <c r="H33" s="1">
        <v>6327</v>
      </c>
      <c r="I33" s="1">
        <v>0</v>
      </c>
      <c r="J33" s="1">
        <v>0</v>
      </c>
      <c r="K33" s="65">
        <f t="shared" si="0"/>
        <v>105659</v>
      </c>
      <c r="L33" s="65">
        <v>34407</v>
      </c>
      <c r="M33" s="65">
        <v>0</v>
      </c>
      <c r="O33" s="1">
        <v>336280</v>
      </c>
      <c r="Q33" s="1">
        <v>13003947</v>
      </c>
      <c r="R33" s="1">
        <v>12109962</v>
      </c>
      <c r="T33" s="1">
        <v>494345</v>
      </c>
    </row>
    <row r="34" spans="1:20" ht="10.9" customHeight="1">
      <c r="A34" s="317" t="s">
        <v>302</v>
      </c>
      <c r="B34" s="1" t="s">
        <v>257</v>
      </c>
      <c r="C34" s="1">
        <v>393766</v>
      </c>
      <c r="D34" s="1">
        <v>8922</v>
      </c>
      <c r="E34" s="1">
        <v>0</v>
      </c>
      <c r="F34" s="1">
        <v>0</v>
      </c>
      <c r="G34" s="1">
        <v>0</v>
      </c>
      <c r="H34" s="1">
        <v>9054</v>
      </c>
      <c r="I34" s="1">
        <v>0</v>
      </c>
      <c r="J34" s="1">
        <v>0</v>
      </c>
      <c r="K34" s="65">
        <f t="shared" si="0"/>
        <v>411742</v>
      </c>
      <c r="L34" s="65">
        <v>33485</v>
      </c>
      <c r="M34" s="65">
        <v>0</v>
      </c>
      <c r="O34" s="1">
        <v>356869</v>
      </c>
      <c r="Q34" s="1">
        <v>14507890</v>
      </c>
      <c r="R34" s="1">
        <v>13638014</v>
      </c>
      <c r="T34" s="1">
        <v>381765</v>
      </c>
    </row>
    <row r="35" spans="1:20" ht="10.9" customHeight="1">
      <c r="A35" s="317" t="s">
        <v>303</v>
      </c>
      <c r="B35" s="1" t="s">
        <v>258</v>
      </c>
      <c r="C35" s="1">
        <v>553058</v>
      </c>
      <c r="D35" s="1">
        <v>0</v>
      </c>
      <c r="E35" s="1">
        <v>0</v>
      </c>
      <c r="F35" s="1">
        <v>0</v>
      </c>
      <c r="G35" s="1">
        <v>1500</v>
      </c>
      <c r="H35" s="1">
        <v>38550</v>
      </c>
      <c r="I35" s="1">
        <v>0</v>
      </c>
      <c r="J35" s="1">
        <v>0</v>
      </c>
      <c r="K35" s="65">
        <f t="shared" si="0"/>
        <v>593108</v>
      </c>
      <c r="L35" s="65">
        <v>71713</v>
      </c>
      <c r="M35" s="65">
        <v>415636</v>
      </c>
      <c r="O35" s="1">
        <v>322250</v>
      </c>
      <c r="Q35" s="1">
        <v>74736098</v>
      </c>
      <c r="R35" s="1">
        <v>73245575</v>
      </c>
      <c r="T35" s="1">
        <v>2444268</v>
      </c>
    </row>
    <row r="36" spans="1:20" ht="10.9" customHeight="1">
      <c r="A36" s="317" t="s">
        <v>304</v>
      </c>
      <c r="B36" s="1" t="s">
        <v>259</v>
      </c>
      <c r="C36" s="1">
        <v>236978</v>
      </c>
      <c r="D36" s="1">
        <v>0</v>
      </c>
      <c r="E36" s="1">
        <v>0</v>
      </c>
      <c r="F36" s="1">
        <v>0</v>
      </c>
      <c r="G36" s="1">
        <v>0</v>
      </c>
      <c r="H36" s="1">
        <v>1360</v>
      </c>
      <c r="I36" s="1">
        <v>0</v>
      </c>
      <c r="J36" s="1">
        <v>0</v>
      </c>
      <c r="K36" s="65">
        <f t="shared" si="0"/>
        <v>238338</v>
      </c>
      <c r="L36" s="65">
        <v>28493</v>
      </c>
      <c r="M36" s="65">
        <v>0</v>
      </c>
      <c r="O36" s="1">
        <v>385158</v>
      </c>
      <c r="Q36" s="1">
        <v>10164478</v>
      </c>
      <c r="R36" s="1">
        <v>9400587</v>
      </c>
      <c r="T36" s="1">
        <v>321655</v>
      </c>
    </row>
    <row r="37" spans="1:20" ht="10.9" customHeight="1">
      <c r="A37" s="317" t="s">
        <v>305</v>
      </c>
      <c r="B37" s="1" t="s">
        <v>260</v>
      </c>
      <c r="C37" s="1">
        <v>522462</v>
      </c>
      <c r="D37" s="1">
        <v>115014</v>
      </c>
      <c r="E37" s="1">
        <v>0</v>
      </c>
      <c r="F37" s="1">
        <v>0</v>
      </c>
      <c r="G37" s="1">
        <v>0</v>
      </c>
      <c r="H37" s="1">
        <v>19130</v>
      </c>
      <c r="I37" s="1">
        <v>0</v>
      </c>
      <c r="J37" s="1">
        <v>0</v>
      </c>
      <c r="K37" s="65">
        <f t="shared" si="0"/>
        <v>656606</v>
      </c>
      <c r="L37" s="65">
        <v>39494</v>
      </c>
      <c r="M37" s="65">
        <v>0</v>
      </c>
      <c r="O37" s="1">
        <v>244382</v>
      </c>
      <c r="Q37" s="1">
        <v>21866968</v>
      </c>
      <c r="R37" s="1">
        <v>19287874</v>
      </c>
      <c r="T37" s="1">
        <v>577935</v>
      </c>
    </row>
    <row r="38" spans="1:20" ht="10.9" customHeight="1">
      <c r="A38" s="317" t="s">
        <v>306</v>
      </c>
      <c r="B38" s="1" t="s">
        <v>261</v>
      </c>
      <c r="C38" s="1">
        <v>930356</v>
      </c>
      <c r="D38" s="1">
        <v>213555</v>
      </c>
      <c r="E38" s="1">
        <v>22500</v>
      </c>
      <c r="F38" s="1">
        <v>12293</v>
      </c>
      <c r="G38" s="1">
        <v>-34793</v>
      </c>
      <c r="H38" s="1">
        <v>116986</v>
      </c>
      <c r="I38" s="1">
        <v>0</v>
      </c>
      <c r="J38" s="1">
        <v>0</v>
      </c>
      <c r="K38" s="65">
        <f t="shared" si="0"/>
        <v>1260897</v>
      </c>
      <c r="L38" s="65">
        <v>54075</v>
      </c>
      <c r="M38" s="65">
        <v>0</v>
      </c>
      <c r="O38" s="1">
        <v>250226</v>
      </c>
      <c r="Q38" s="1">
        <v>47993283</v>
      </c>
      <c r="R38" s="1">
        <v>42629449</v>
      </c>
      <c r="T38" s="1">
        <v>1209431</v>
      </c>
    </row>
    <row r="39" spans="1:20" ht="10.9" customHeight="1">
      <c r="A39" s="317" t="s">
        <v>307</v>
      </c>
      <c r="B39" s="1" t="s">
        <v>262</v>
      </c>
      <c r="C39" s="1">
        <v>149202</v>
      </c>
      <c r="D39" s="1">
        <v>0</v>
      </c>
      <c r="E39" s="1">
        <v>0</v>
      </c>
      <c r="F39" s="1">
        <v>0</v>
      </c>
      <c r="G39" s="1">
        <v>0</v>
      </c>
      <c r="H39" s="1">
        <v>0</v>
      </c>
      <c r="I39" s="1">
        <v>0</v>
      </c>
      <c r="J39" s="1">
        <v>0</v>
      </c>
      <c r="K39" s="65">
        <f t="shared" si="0"/>
        <v>149202</v>
      </c>
      <c r="L39" s="65">
        <v>28734</v>
      </c>
      <c r="M39" s="65">
        <v>0</v>
      </c>
      <c r="O39" s="1">
        <v>435619</v>
      </c>
      <c r="Q39" s="1">
        <v>10933589</v>
      </c>
      <c r="R39" s="1">
        <v>10175133</v>
      </c>
      <c r="T39" s="1">
        <v>312673</v>
      </c>
    </row>
    <row r="40" spans="1:20" ht="10.9" customHeight="1">
      <c r="A40" s="317" t="s">
        <v>308</v>
      </c>
      <c r="B40" s="1" t="s">
        <v>263</v>
      </c>
      <c r="C40" s="1">
        <v>459597</v>
      </c>
      <c r="D40" s="1">
        <v>0</v>
      </c>
      <c r="E40" s="1">
        <v>0</v>
      </c>
      <c r="F40" s="1">
        <v>5895</v>
      </c>
      <c r="G40" s="1">
        <v>0</v>
      </c>
      <c r="H40" s="1">
        <v>0</v>
      </c>
      <c r="I40" s="1">
        <v>0</v>
      </c>
      <c r="J40" s="1">
        <v>0</v>
      </c>
      <c r="K40" s="65">
        <f t="shared" si="0"/>
        <v>465492</v>
      </c>
      <c r="L40" s="65">
        <v>1267</v>
      </c>
      <c r="M40" s="65">
        <v>302964</v>
      </c>
      <c r="O40" s="1">
        <v>462268</v>
      </c>
      <c r="Q40" s="1">
        <v>52296561</v>
      </c>
      <c r="R40" s="1">
        <v>48816038</v>
      </c>
      <c r="T40" s="1">
        <v>1420105</v>
      </c>
    </row>
    <row r="41" spans="1:20" ht="10.9" customHeight="1">
      <c r="A41" s="317" t="s">
        <v>309</v>
      </c>
      <c r="B41" s="1" t="s">
        <v>264</v>
      </c>
      <c r="C41" s="1">
        <v>587600</v>
      </c>
      <c r="D41" s="1">
        <v>155047</v>
      </c>
      <c r="E41" s="1">
        <v>30000</v>
      </c>
      <c r="F41" s="1">
        <v>0</v>
      </c>
      <c r="G41" s="1">
        <v>-17772</v>
      </c>
      <c r="H41" s="1">
        <v>0</v>
      </c>
      <c r="I41" s="1">
        <v>0</v>
      </c>
      <c r="J41" s="1">
        <v>0</v>
      </c>
      <c r="K41" s="65">
        <f t="shared" si="0"/>
        <v>754875</v>
      </c>
      <c r="L41" s="65">
        <v>26555</v>
      </c>
      <c r="M41" s="65">
        <v>0</v>
      </c>
      <c r="O41" s="1">
        <v>396963</v>
      </c>
      <c r="Q41" s="1">
        <v>31139857</v>
      </c>
      <c r="R41" s="1">
        <v>28160160</v>
      </c>
      <c r="T41" s="1">
        <v>729400</v>
      </c>
    </row>
    <row r="42" spans="1:20" ht="10.9" customHeight="1">
      <c r="A42" s="317" t="s">
        <v>310</v>
      </c>
      <c r="B42" s="1" t="s">
        <v>265</v>
      </c>
      <c r="C42" s="1">
        <v>1300</v>
      </c>
      <c r="D42" s="1">
        <v>0</v>
      </c>
      <c r="E42" s="1">
        <v>0</v>
      </c>
      <c r="F42" s="1">
        <v>0</v>
      </c>
      <c r="G42" s="1">
        <v>0</v>
      </c>
      <c r="H42" s="1">
        <v>0</v>
      </c>
      <c r="I42" s="1">
        <v>0</v>
      </c>
      <c r="J42" s="1">
        <v>0</v>
      </c>
      <c r="K42" s="65">
        <f t="shared" si="0"/>
        <v>1300</v>
      </c>
      <c r="L42" s="65">
        <v>23576</v>
      </c>
      <c r="M42" s="65">
        <v>0</v>
      </c>
      <c r="O42" s="1">
        <v>241928</v>
      </c>
      <c r="Q42" s="1">
        <v>7521491</v>
      </c>
      <c r="R42" s="1">
        <v>6464994</v>
      </c>
      <c r="T42" s="1">
        <v>322621</v>
      </c>
    </row>
    <row r="43" spans="1:20" ht="10.9" customHeight="1">
      <c r="A43" s="317" t="s">
        <v>311</v>
      </c>
      <c r="B43" s="1" t="s">
        <v>266</v>
      </c>
      <c r="C43" s="1">
        <v>22100</v>
      </c>
      <c r="D43" s="1">
        <v>0</v>
      </c>
      <c r="E43" s="1">
        <v>0</v>
      </c>
      <c r="F43" s="1">
        <v>0</v>
      </c>
      <c r="G43" s="1">
        <v>0</v>
      </c>
      <c r="H43" s="1">
        <v>0</v>
      </c>
      <c r="I43" s="1">
        <v>0</v>
      </c>
      <c r="J43" s="1">
        <v>0</v>
      </c>
      <c r="K43" s="65">
        <f>SUM(C43:I43)-J43</f>
        <v>22100</v>
      </c>
      <c r="L43" s="65">
        <v>18790</v>
      </c>
      <c r="M43" s="65">
        <v>0</v>
      </c>
      <c r="O43" s="1">
        <v>354995</v>
      </c>
      <c r="Q43" s="1">
        <v>5605067</v>
      </c>
      <c r="R43" s="1">
        <v>5605067</v>
      </c>
      <c r="T43" s="1">
        <v>182598</v>
      </c>
    </row>
    <row r="44" spans="1:20" ht="10.9" customHeight="1">
      <c r="A44" s="317" t="s">
        <v>312</v>
      </c>
      <c r="B44" s="1" t="s">
        <v>267</v>
      </c>
      <c r="C44" s="1">
        <v>183005</v>
      </c>
      <c r="D44" s="1">
        <v>0</v>
      </c>
      <c r="E44" s="1">
        <v>0</v>
      </c>
      <c r="F44" s="1">
        <v>0</v>
      </c>
      <c r="G44" s="1">
        <v>0</v>
      </c>
      <c r="H44" s="1">
        <v>0</v>
      </c>
      <c r="I44" s="1">
        <v>3121</v>
      </c>
      <c r="J44" s="1">
        <v>0</v>
      </c>
      <c r="K44" s="65">
        <f>SUM(C44:I44)-J44</f>
        <v>186126</v>
      </c>
      <c r="L44" s="65">
        <v>11431</v>
      </c>
      <c r="M44" s="65">
        <v>0</v>
      </c>
      <c r="O44" s="1">
        <v>186381</v>
      </c>
      <c r="Q44" s="1">
        <v>3312853</v>
      </c>
      <c r="R44" s="1">
        <v>2843934</v>
      </c>
      <c r="T44" s="1">
        <v>179107</v>
      </c>
    </row>
    <row r="45" spans="1:20" ht="10.9" customHeight="1">
      <c r="A45" s="317" t="s">
        <v>313</v>
      </c>
      <c r="B45" s="1" t="s">
        <v>268</v>
      </c>
      <c r="C45" s="1">
        <v>249536</v>
      </c>
      <c r="D45" s="1">
        <v>0</v>
      </c>
      <c r="E45" s="1">
        <v>7000</v>
      </c>
      <c r="F45" s="1">
        <v>0</v>
      </c>
      <c r="G45" s="1">
        <v>-7000</v>
      </c>
      <c r="H45" s="1">
        <v>0</v>
      </c>
      <c r="I45" s="1">
        <v>0</v>
      </c>
      <c r="J45" s="1">
        <v>0</v>
      </c>
      <c r="K45" s="65">
        <f>SUM(C45:I45)-J45</f>
        <v>249536</v>
      </c>
      <c r="L45" s="65">
        <v>13622</v>
      </c>
      <c r="M45" s="65">
        <v>0</v>
      </c>
      <c r="O45" s="1">
        <v>247105</v>
      </c>
      <c r="Q45" s="1">
        <v>7135370</v>
      </c>
      <c r="R45" s="1">
        <v>7135370</v>
      </c>
      <c r="T45" s="1">
        <v>207024</v>
      </c>
    </row>
    <row r="46" spans="1:20" ht="10.9" customHeight="1">
      <c r="A46" s="317" t="s">
        <v>314</v>
      </c>
      <c r="B46" s="1" t="s">
        <v>269</v>
      </c>
      <c r="C46" s="1">
        <v>1900681</v>
      </c>
      <c r="D46" s="1">
        <v>305443</v>
      </c>
      <c r="E46" s="1">
        <v>0</v>
      </c>
      <c r="F46" s="1">
        <v>0</v>
      </c>
      <c r="G46" s="1">
        <v>7395</v>
      </c>
      <c r="H46" s="1">
        <v>80089</v>
      </c>
      <c r="I46" s="1">
        <v>0</v>
      </c>
      <c r="J46" s="1">
        <v>0</v>
      </c>
      <c r="K46" s="65">
        <f>SUM(C46:I46)-J46</f>
        <v>2293608</v>
      </c>
      <c r="L46" s="65">
        <v>0</v>
      </c>
      <c r="M46" s="65">
        <v>179280</v>
      </c>
      <c r="O46" s="1">
        <v>313494</v>
      </c>
      <c r="Q46" s="1">
        <v>162807694</v>
      </c>
      <c r="R46" s="1">
        <v>153227298</v>
      </c>
      <c r="T46" s="1">
        <v>4981120</v>
      </c>
    </row>
    <row r="47" spans="1:20" ht="3.95" customHeight="1">
      <c r="A47" s="317"/>
      <c r="T47"/>
    </row>
    <row r="48" spans="1:20">
      <c r="A48" s="317"/>
      <c r="B48" s="1" t="s">
        <v>270</v>
      </c>
      <c r="C48" s="1">
        <f t="shared" ref="C48:M48" si="1">SUM(C11:C46)</f>
        <v>15744544</v>
      </c>
      <c r="D48" s="1">
        <f t="shared" si="1"/>
        <v>1260624</v>
      </c>
      <c r="E48" s="1">
        <f t="shared" si="1"/>
        <v>1130830</v>
      </c>
      <c r="F48" s="1">
        <f t="shared" si="1"/>
        <v>45128</v>
      </c>
      <c r="G48" s="1">
        <f t="shared" si="1"/>
        <v>92791</v>
      </c>
      <c r="H48" s="1">
        <f t="shared" si="1"/>
        <v>391807</v>
      </c>
      <c r="I48" s="1">
        <f t="shared" si="1"/>
        <v>188780</v>
      </c>
      <c r="J48" s="1">
        <f t="shared" si="1"/>
        <v>0</v>
      </c>
      <c r="K48" s="1">
        <f t="shared" si="1"/>
        <v>18854504</v>
      </c>
      <c r="L48" s="1">
        <f t="shared" si="1"/>
        <v>992109</v>
      </c>
      <c r="M48" s="1">
        <f t="shared" si="1"/>
        <v>1731491</v>
      </c>
      <c r="O48" s="1">
        <v>322846.28653302381</v>
      </c>
      <c r="Q48" s="1">
        <v>877655919</v>
      </c>
      <c r="R48" s="1">
        <v>816237592</v>
      </c>
      <c r="T48" s="1">
        <f>SUM(T11:T46)</f>
        <v>28537886.199999999</v>
      </c>
    </row>
    <row r="49" spans="1:20" ht="3.95" customHeight="1">
      <c r="A49" s="317"/>
      <c r="B49" s="1" t="s">
        <v>16</v>
      </c>
    </row>
    <row r="50" spans="1:20" ht="10.9" customHeight="1">
      <c r="A50" s="317" t="s">
        <v>316</v>
      </c>
      <c r="B50" s="1" t="s">
        <v>271</v>
      </c>
      <c r="C50" s="1">
        <v>0</v>
      </c>
      <c r="D50" s="1">
        <v>0</v>
      </c>
      <c r="E50" s="1">
        <v>0</v>
      </c>
      <c r="F50" s="1">
        <v>5500</v>
      </c>
      <c r="G50" s="1">
        <v>0</v>
      </c>
      <c r="H50" s="1">
        <v>0</v>
      </c>
      <c r="I50" s="1">
        <v>0</v>
      </c>
      <c r="J50" s="1">
        <v>0</v>
      </c>
      <c r="K50" s="65">
        <f>SUM(C50:I50)-J50</f>
        <v>5500</v>
      </c>
      <c r="L50" s="65">
        <v>33606</v>
      </c>
      <c r="M50" s="65">
        <v>0</v>
      </c>
      <c r="T50" s="517">
        <v>72531</v>
      </c>
    </row>
    <row r="51" spans="1:20">
      <c r="A51" s="317" t="s">
        <v>315</v>
      </c>
      <c r="B51" s="1" t="s">
        <v>272</v>
      </c>
      <c r="C51" s="1">
        <v>0</v>
      </c>
      <c r="D51" s="1">
        <v>0</v>
      </c>
      <c r="E51" s="1">
        <v>454290</v>
      </c>
      <c r="F51" s="1">
        <v>0</v>
      </c>
      <c r="G51" s="1">
        <v>0</v>
      </c>
      <c r="H51" s="1">
        <v>0</v>
      </c>
      <c r="I51" s="1">
        <v>0</v>
      </c>
      <c r="J51" s="1">
        <v>0</v>
      </c>
      <c r="K51" s="65">
        <f>SUM(C51:I51)-J51</f>
        <v>454290</v>
      </c>
      <c r="L51" s="65">
        <v>0</v>
      </c>
      <c r="M51" s="65">
        <v>0</v>
      </c>
    </row>
    <row r="88" spans="2:3">
      <c r="B88" s="1" t="s">
        <v>519</v>
      </c>
    </row>
    <row r="89" spans="2:3">
      <c r="B89" s="317">
        <f>+FALLYR-1</f>
        <v>2012</v>
      </c>
      <c r="C89" s="1" t="s">
        <v>520</v>
      </c>
    </row>
    <row r="90" spans="2:3">
      <c r="B90" s="317"/>
    </row>
    <row r="91" spans="2:3">
      <c r="B91" s="317"/>
    </row>
  </sheetData>
  <phoneticPr fontId="6" type="noConversion"/>
  <pageMargins left="0.5" right="0.5" top="0.6" bottom="0.2" header="0.3" footer="0.5"/>
  <pageSetup scale="87" orientation="landscape" horizont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Sheet6">
    <pageSetUpPr fitToPage="1"/>
  </sheetPr>
  <dimension ref="A1:D58"/>
  <sheetViews>
    <sheetView showGridLines="0" showZeros="0" workbookViewId="0"/>
  </sheetViews>
  <sheetFormatPr defaultRowHeight="12"/>
  <cols>
    <col min="1" max="1" width="39.83203125" style="1" customWidth="1"/>
    <col min="2" max="3" width="31.83203125" style="1" customWidth="1"/>
    <col min="4" max="4" width="29.83203125" style="1" customWidth="1"/>
    <col min="5" max="16384" width="9.33203125" style="1"/>
  </cols>
  <sheetData>
    <row r="1" spans="1:4" ht="6.95" customHeight="1">
      <c r="A1" s="6"/>
      <c r="B1" s="7"/>
      <c r="C1" s="7"/>
      <c r="D1" s="7"/>
    </row>
    <row r="2" spans="1:4" ht="15.95" customHeight="1">
      <c r="A2" s="71"/>
      <c r="B2" s="8" t="s">
        <v>185</v>
      </c>
      <c r="C2" s="9"/>
      <c r="D2" s="72"/>
    </row>
    <row r="3" spans="1:4" ht="15.95" customHeight="1">
      <c r="A3" s="698"/>
      <c r="B3" s="10" t="str">
        <f>STATDATE</f>
        <v>ACTUAL SEPTEMBER 30, 2013</v>
      </c>
      <c r="C3" s="11"/>
      <c r="D3" s="74"/>
    </row>
    <row r="4" spans="1:4" ht="15.95" customHeight="1">
      <c r="B4" s="7"/>
      <c r="C4" s="7"/>
      <c r="D4" s="7"/>
    </row>
    <row r="5" spans="1:4" ht="15.95" customHeight="1">
      <c r="B5" s="7"/>
      <c r="C5" s="7"/>
      <c r="D5" s="7"/>
    </row>
    <row r="6" spans="1:4" ht="15.95" customHeight="1">
      <c r="B6" s="7"/>
      <c r="C6" s="7"/>
      <c r="D6" s="7"/>
    </row>
    <row r="7" spans="1:4" ht="15.95" customHeight="1">
      <c r="B7" s="346" t="s">
        <v>185</v>
      </c>
      <c r="C7" s="326"/>
      <c r="D7" s="7"/>
    </row>
    <row r="8" spans="1:4" ht="15.95" customHeight="1">
      <c r="A8" s="75"/>
      <c r="B8" s="76" t="s">
        <v>84</v>
      </c>
      <c r="C8" s="77"/>
      <c r="D8" s="78"/>
    </row>
    <row r="9" spans="1:4" ht="15.95" customHeight="1">
      <c r="A9" s="42" t="s">
        <v>93</v>
      </c>
      <c r="B9" s="43" t="s">
        <v>399</v>
      </c>
      <c r="C9" s="43" t="s">
        <v>400</v>
      </c>
    </row>
    <row r="10" spans="1:4" ht="5.0999999999999996" customHeight="1">
      <c r="A10" s="5"/>
    </row>
    <row r="11" spans="1:4" ht="14.1" customHeight="1">
      <c r="A11" s="328" t="s">
        <v>235</v>
      </c>
      <c r="B11" s="335">
        <v>15.676532769556026</v>
      </c>
      <c r="C11" s="335">
        <v>13.211581291759467</v>
      </c>
    </row>
    <row r="12" spans="1:4" ht="14.1" customHeight="1">
      <c r="A12" s="26" t="s">
        <v>236</v>
      </c>
      <c r="B12" s="79">
        <v>14.204948475623297</v>
      </c>
      <c r="C12" s="79">
        <v>11.395034106052536</v>
      </c>
    </row>
    <row r="13" spans="1:4" ht="14.1" customHeight="1">
      <c r="A13" s="328" t="s">
        <v>237</v>
      </c>
      <c r="B13" s="335">
        <v>16.784148362598863</v>
      </c>
      <c r="C13" s="335">
        <v>12.448652517582621</v>
      </c>
    </row>
    <row r="14" spans="1:4" ht="14.1" customHeight="1">
      <c r="A14" s="26" t="s">
        <v>636</v>
      </c>
      <c r="B14" s="79">
        <v>15.854290504496266</v>
      </c>
      <c r="C14" s="79">
        <v>12.795847069822369</v>
      </c>
    </row>
    <row r="15" spans="1:4" ht="14.1" customHeight="1">
      <c r="A15" s="328" t="s">
        <v>238</v>
      </c>
      <c r="B15" s="335">
        <v>16.598041397729801</v>
      </c>
      <c r="C15" s="335">
        <v>12.981982766124121</v>
      </c>
    </row>
    <row r="16" spans="1:4" ht="14.1" customHeight="1">
      <c r="A16" s="26" t="s">
        <v>239</v>
      </c>
      <c r="B16" s="79">
        <v>16.033333333333335</v>
      </c>
      <c r="C16" s="79">
        <v>12.254777070063694</v>
      </c>
    </row>
    <row r="17" spans="1:3" ht="14.1" customHeight="1">
      <c r="A17" s="328" t="s">
        <v>240</v>
      </c>
      <c r="B17" s="335">
        <v>15.761875601434694</v>
      </c>
      <c r="C17" s="335">
        <v>12.981209833136401</v>
      </c>
    </row>
    <row r="18" spans="1:3" ht="14.1" customHeight="1">
      <c r="A18" s="26" t="s">
        <v>241</v>
      </c>
      <c r="B18" s="79">
        <v>14.651690821256039</v>
      </c>
      <c r="C18" s="79">
        <v>11.767969735182849</v>
      </c>
    </row>
    <row r="19" spans="1:3" ht="14.1" customHeight="1">
      <c r="A19" s="328" t="s">
        <v>242</v>
      </c>
      <c r="B19" s="335">
        <v>17.527902018977553</v>
      </c>
      <c r="C19" s="335">
        <v>14.421516026963818</v>
      </c>
    </row>
    <row r="20" spans="1:3" ht="14.1" customHeight="1">
      <c r="A20" s="26" t="s">
        <v>243</v>
      </c>
      <c r="B20" s="79">
        <v>17.84479214529274</v>
      </c>
      <c r="C20" s="79">
        <v>14.925161812297734</v>
      </c>
    </row>
    <row r="21" spans="1:3" ht="14.1" customHeight="1">
      <c r="A21" s="328" t="s">
        <v>244</v>
      </c>
      <c r="B21" s="335">
        <v>15.929985855728429</v>
      </c>
      <c r="C21" s="335">
        <v>11.925350745610164</v>
      </c>
    </row>
    <row r="22" spans="1:3" ht="14.1" customHeight="1">
      <c r="A22" s="26" t="s">
        <v>245</v>
      </c>
      <c r="B22" s="79">
        <v>18.129479768786126</v>
      </c>
      <c r="C22" s="79">
        <v>13.228173766343316</v>
      </c>
    </row>
    <row r="23" spans="1:3" ht="14.1" customHeight="1">
      <c r="A23" s="328" t="s">
        <v>246</v>
      </c>
      <c r="B23" s="335">
        <v>14.921290322580646</v>
      </c>
      <c r="C23" s="335">
        <v>11.587174348697394</v>
      </c>
    </row>
    <row r="24" spans="1:3" ht="14.1" customHeight="1">
      <c r="A24" s="26" t="s">
        <v>247</v>
      </c>
      <c r="B24" s="79">
        <v>15.942090613885881</v>
      </c>
      <c r="C24" s="79">
        <v>12.461547759344874</v>
      </c>
    </row>
    <row r="25" spans="1:3" ht="14.1" customHeight="1">
      <c r="A25" s="328" t="s">
        <v>248</v>
      </c>
      <c r="B25" s="335">
        <v>18.585236667697313</v>
      </c>
      <c r="C25" s="335">
        <v>14.053367217280814</v>
      </c>
    </row>
    <row r="26" spans="1:3" ht="14.1" customHeight="1">
      <c r="A26" s="26" t="s">
        <v>249</v>
      </c>
      <c r="B26" s="79">
        <v>16.266443934015452</v>
      </c>
      <c r="C26" s="79">
        <v>13.181049069373943</v>
      </c>
    </row>
    <row r="27" spans="1:3" ht="14.1" customHeight="1">
      <c r="A27" s="328" t="s">
        <v>250</v>
      </c>
      <c r="B27" s="335">
        <v>15.367622633152475</v>
      </c>
      <c r="C27" s="335">
        <v>11.469360770216108</v>
      </c>
    </row>
    <row r="28" spans="1:3" ht="14.1" customHeight="1">
      <c r="A28" s="26" t="s">
        <v>251</v>
      </c>
      <c r="B28" s="79">
        <v>13.225126753144137</v>
      </c>
      <c r="C28" s="79">
        <v>10.948487326246934</v>
      </c>
    </row>
    <row r="29" spans="1:3" ht="14.1" customHeight="1">
      <c r="A29" s="328" t="s">
        <v>252</v>
      </c>
      <c r="B29" s="335">
        <v>17.994101599941018</v>
      </c>
      <c r="C29" s="335">
        <v>14.078684741851745</v>
      </c>
    </row>
    <row r="30" spans="1:3" ht="14.1" customHeight="1">
      <c r="A30" s="26" t="s">
        <v>253</v>
      </c>
      <c r="B30" s="79">
        <v>15.048146570089479</v>
      </c>
      <c r="C30" s="79">
        <v>12.646693721651948</v>
      </c>
    </row>
    <row r="31" spans="1:3" ht="14.1" customHeight="1">
      <c r="A31" s="328" t="s">
        <v>254</v>
      </c>
      <c r="B31" s="335">
        <v>16.787146475306034</v>
      </c>
      <c r="C31" s="335">
        <v>12.973535048729763</v>
      </c>
    </row>
    <row r="32" spans="1:3" ht="14.1" customHeight="1">
      <c r="A32" s="26" t="s">
        <v>255</v>
      </c>
      <c r="B32" s="79">
        <v>14.739757982213149</v>
      </c>
      <c r="C32" s="79">
        <v>12.152172606526834</v>
      </c>
    </row>
    <row r="33" spans="1:4" ht="14.1" customHeight="1">
      <c r="A33" s="328" t="s">
        <v>256</v>
      </c>
      <c r="B33" s="335">
        <v>15.601497893587144</v>
      </c>
      <c r="C33" s="335">
        <v>12.593198992443325</v>
      </c>
    </row>
    <row r="34" spans="1:4" ht="14.1" customHeight="1">
      <c r="A34" s="26" t="s">
        <v>257</v>
      </c>
      <c r="B34" s="79">
        <v>15.498387223664542</v>
      </c>
      <c r="C34" s="79">
        <v>12.4651986838775</v>
      </c>
    </row>
    <row r="35" spans="1:4" ht="14.1" customHeight="1">
      <c r="A35" s="328" t="s">
        <v>258</v>
      </c>
      <c r="B35" s="335">
        <v>17.367070244936674</v>
      </c>
      <c r="C35" s="335">
        <v>13.557764343084132</v>
      </c>
    </row>
    <row r="36" spans="1:4" ht="14.1" customHeight="1">
      <c r="A36" s="26" t="s">
        <v>259</v>
      </c>
      <c r="B36" s="79">
        <v>15.122653781824939</v>
      </c>
      <c r="C36" s="79">
        <v>12.284873188405799</v>
      </c>
    </row>
    <row r="37" spans="1:4" ht="14.1" customHeight="1">
      <c r="A37" s="328" t="s">
        <v>260</v>
      </c>
      <c r="B37" s="335">
        <v>18.479082066295213</v>
      </c>
      <c r="C37" s="335">
        <v>14.330965284898198</v>
      </c>
    </row>
    <row r="38" spans="1:4" ht="14.1" customHeight="1">
      <c r="A38" s="26" t="s">
        <v>261</v>
      </c>
      <c r="B38" s="79">
        <v>17.060263776442937</v>
      </c>
      <c r="C38" s="79">
        <v>14.036044262999575</v>
      </c>
    </row>
    <row r="39" spans="1:4" ht="14.1" customHeight="1">
      <c r="A39" s="328" t="s">
        <v>262</v>
      </c>
      <c r="B39" s="335">
        <v>14.984105577497351</v>
      </c>
      <c r="C39" s="335">
        <v>12.444000000000001</v>
      </c>
    </row>
    <row r="40" spans="1:4" ht="14.1" customHeight="1">
      <c r="A40" s="26" t="s">
        <v>263</v>
      </c>
      <c r="B40" s="79">
        <v>17.987930526935529</v>
      </c>
      <c r="C40" s="79">
        <v>13.95802217497496</v>
      </c>
    </row>
    <row r="41" spans="1:4" ht="14.1" customHeight="1">
      <c r="A41" s="328" t="s">
        <v>264</v>
      </c>
      <c r="B41" s="335">
        <v>16.146997398600373</v>
      </c>
      <c r="C41" s="335">
        <v>12.450559385241268</v>
      </c>
    </row>
    <row r="42" spans="1:4" ht="14.1" customHeight="1">
      <c r="A42" s="26" t="s">
        <v>265</v>
      </c>
      <c r="B42" s="79">
        <v>14.590328742334371</v>
      </c>
      <c r="C42" s="79">
        <v>12.105263157894736</v>
      </c>
    </row>
    <row r="43" spans="1:4" ht="14.1" customHeight="1">
      <c r="A43" s="328" t="s">
        <v>266</v>
      </c>
      <c r="B43" s="335">
        <v>15.457991156032849</v>
      </c>
      <c r="C43" s="335">
        <v>12.481509818923744</v>
      </c>
    </row>
    <row r="44" spans="1:4" ht="14.1" customHeight="1">
      <c r="A44" s="26" t="s">
        <v>267</v>
      </c>
      <c r="B44" s="79">
        <v>12.993146879051675</v>
      </c>
      <c r="C44" s="79">
        <v>11.111991129415491</v>
      </c>
    </row>
    <row r="45" spans="1:4" ht="14.1" customHeight="1">
      <c r="A45" s="328" t="s">
        <v>268</v>
      </c>
      <c r="B45" s="335">
        <v>16.305443548387096</v>
      </c>
      <c r="C45" s="335">
        <v>13.701821262177043</v>
      </c>
    </row>
    <row r="46" spans="1:4" ht="14.1" customHeight="1">
      <c r="A46" s="26" t="s">
        <v>269</v>
      </c>
      <c r="B46" s="79">
        <v>18.057108287961281</v>
      </c>
      <c r="C46" s="79">
        <v>13.56147516776694</v>
      </c>
    </row>
    <row r="47" spans="1:4" ht="5.0999999999999996" customHeight="1">
      <c r="A47"/>
      <c r="B47"/>
      <c r="C47"/>
      <c r="D47"/>
    </row>
    <row r="48" spans="1:4" ht="14.1" customHeight="1">
      <c r="A48" s="330" t="s">
        <v>270</v>
      </c>
      <c r="B48" s="338">
        <v>16.934823921749636</v>
      </c>
      <c r="C48" s="338">
        <v>13.259317349107096</v>
      </c>
      <c r="D48" s="5"/>
    </row>
    <row r="49" spans="1:4" ht="5.0999999999999996" customHeight="1">
      <c r="A49" s="28" t="s">
        <v>16</v>
      </c>
      <c r="B49" s="80"/>
      <c r="C49" s="80"/>
    </row>
    <row r="50" spans="1:4" ht="14.1" customHeight="1">
      <c r="A50" s="26" t="s">
        <v>271</v>
      </c>
      <c r="B50" s="79">
        <v>10.231884057971014</v>
      </c>
      <c r="C50" s="79">
        <v>8.5888077858880774</v>
      </c>
    </row>
    <row r="51" spans="1:4" ht="14.1" customHeight="1">
      <c r="A51" s="328" t="s">
        <v>272</v>
      </c>
      <c r="B51" s="335">
        <v>22.590624999999999</v>
      </c>
      <c r="C51" s="335">
        <v>18.072499999999998</v>
      </c>
    </row>
    <row r="52" spans="1:4" ht="49.5" customHeight="1">
      <c r="A52" s="30"/>
      <c r="B52" s="30"/>
      <c r="C52" s="30"/>
      <c r="D52" s="30"/>
    </row>
    <row r="53" spans="1:4" ht="15" customHeight="1">
      <c r="A53" s="151" t="s">
        <v>721</v>
      </c>
      <c r="B53" s="45"/>
      <c r="C53" s="45"/>
      <c r="D53" s="45"/>
    </row>
    <row r="54" spans="1:4" ht="12" customHeight="1">
      <c r="A54" s="151" t="s">
        <v>755</v>
      </c>
      <c r="B54" s="45"/>
      <c r="C54" s="45"/>
      <c r="D54" s="45"/>
    </row>
    <row r="55" spans="1:4" ht="12" customHeight="1">
      <c r="A55" s="151" t="s">
        <v>753</v>
      </c>
      <c r="C55" s="45"/>
      <c r="D55" s="45"/>
    </row>
    <row r="56" spans="1:4" ht="12" customHeight="1">
      <c r="A56" s="45" t="s">
        <v>609</v>
      </c>
      <c r="C56" s="45"/>
      <c r="D56" s="45"/>
    </row>
    <row r="57" spans="1:4" ht="12" customHeight="1">
      <c r="A57" s="151" t="s">
        <v>722</v>
      </c>
      <c r="B57" s="45"/>
      <c r="C57" s="45"/>
      <c r="D57" s="45"/>
    </row>
    <row r="58" spans="1:4">
      <c r="A58" s="151" t="s">
        <v>747</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sheetPr codeName="Sheet7"/>
  <dimension ref="A2:M28"/>
  <sheetViews>
    <sheetView showGridLines="0" showZeros="0" workbookViewId="0"/>
  </sheetViews>
  <sheetFormatPr defaultColWidth="15.83203125" defaultRowHeight="12"/>
  <cols>
    <col min="1" max="1" width="6.5" style="1" customWidth="1"/>
    <col min="2" max="2" width="39.5" style="1" customWidth="1"/>
    <col min="3" max="3" width="16" style="1" customWidth="1"/>
    <col min="4" max="4" width="15.83203125" style="1" customWidth="1"/>
    <col min="5" max="5" width="15.5" style="1" customWidth="1"/>
    <col min="6" max="6" width="17.1640625" style="1" customWidth="1"/>
    <col min="7" max="7" width="14.83203125" style="1" customWidth="1"/>
    <col min="8" max="8" width="15" style="1" customWidth="1"/>
    <col min="9" max="9" width="13.5" style="1" customWidth="1"/>
    <col min="10" max="10" width="3.33203125" style="1" customWidth="1"/>
    <col min="11" max="11" width="17.6640625" style="1" customWidth="1"/>
    <col min="12" max="12" width="6.83203125" style="1" customWidth="1"/>
    <col min="13" max="16384" width="15.83203125" style="1"/>
  </cols>
  <sheetData>
    <row r="2" spans="1:11">
      <c r="A2" s="46"/>
      <c r="B2" s="46"/>
      <c r="C2" s="47" t="str">
        <f>OPYEAR</f>
        <v>OPERATING FUND 2013/2014 ACTUAL</v>
      </c>
      <c r="D2" s="48"/>
      <c r="E2" s="48"/>
      <c r="F2" s="48"/>
      <c r="G2" s="48"/>
      <c r="H2" s="48"/>
      <c r="I2" s="48"/>
      <c r="J2" s="48"/>
      <c r="K2" s="49"/>
    </row>
    <row r="3" spans="1:11" ht="14.25">
      <c r="A3" s="694"/>
    </row>
    <row r="4" spans="1:11" ht="19.5" customHeight="1">
      <c r="C4" s="7"/>
      <c r="D4" s="7"/>
      <c r="E4" s="7"/>
      <c r="F4" s="7"/>
      <c r="G4" s="7"/>
      <c r="H4" s="7"/>
      <c r="I4" s="7"/>
      <c r="J4" s="7"/>
      <c r="K4" s="7"/>
    </row>
    <row r="5" spans="1:11" ht="15.75">
      <c r="C5" s="323" t="s">
        <v>470</v>
      </c>
      <c r="D5" s="50"/>
      <c r="E5" s="50"/>
      <c r="F5" s="50"/>
      <c r="G5" s="50"/>
      <c r="H5" s="50"/>
      <c r="I5" s="50"/>
      <c r="J5" s="50"/>
      <c r="K5" s="7"/>
    </row>
    <row r="6" spans="1:11" ht="16.5" customHeight="1">
      <c r="C6" s="7"/>
      <c r="D6" s="7"/>
      <c r="E6" s="7"/>
      <c r="F6" s="7"/>
      <c r="G6" s="7"/>
      <c r="H6" s="7"/>
      <c r="I6" s="7"/>
      <c r="J6" s="7"/>
      <c r="K6" s="7"/>
    </row>
    <row r="7" spans="1:11">
      <c r="C7" s="7"/>
      <c r="D7" s="7"/>
      <c r="E7" s="7"/>
      <c r="F7" s="7"/>
      <c r="G7" s="7"/>
      <c r="H7" s="7"/>
      <c r="I7" s="7"/>
      <c r="J7" s="7"/>
      <c r="K7" s="7"/>
    </row>
    <row r="8" spans="1:11">
      <c r="C8" s="325" t="s">
        <v>162</v>
      </c>
      <c r="D8" s="347"/>
      <c r="E8" s="347"/>
      <c r="F8" s="347"/>
      <c r="G8" s="347"/>
      <c r="H8" s="347"/>
      <c r="I8" s="347"/>
      <c r="J8" s="348"/>
      <c r="K8" s="7"/>
    </row>
    <row r="9" spans="1:11">
      <c r="C9" s="7"/>
      <c r="D9" s="7"/>
      <c r="E9" s="7"/>
      <c r="F9" s="7"/>
      <c r="G9" s="7"/>
      <c r="H9" s="7"/>
      <c r="I9" s="7"/>
      <c r="J9" s="7"/>
      <c r="K9" s="7"/>
    </row>
    <row r="10" spans="1:11">
      <c r="A10" s="51"/>
      <c r="B10" s="52"/>
      <c r="C10" s="349"/>
      <c r="D10" s="349" t="s">
        <v>163</v>
      </c>
      <c r="E10" s="350"/>
      <c r="F10" s="349" t="s">
        <v>164</v>
      </c>
      <c r="G10" s="355" t="s">
        <v>143</v>
      </c>
      <c r="H10" s="532" t="s">
        <v>489</v>
      </c>
      <c r="I10" s="351"/>
      <c r="J10" s="352"/>
      <c r="K10" s="349"/>
    </row>
    <row r="11" spans="1:11" ht="13.5" customHeight="1">
      <c r="A11" s="714" t="s">
        <v>173</v>
      </c>
      <c r="B11" s="715"/>
      <c r="C11" s="353" t="s">
        <v>165</v>
      </c>
      <c r="D11" s="353" t="s">
        <v>166</v>
      </c>
      <c r="E11" s="344" t="s">
        <v>152</v>
      </c>
      <c r="F11" s="353" t="s">
        <v>167</v>
      </c>
      <c r="G11" s="342" t="s">
        <v>152</v>
      </c>
      <c r="H11" s="531" t="s">
        <v>490</v>
      </c>
      <c r="I11" s="343" t="s">
        <v>107</v>
      </c>
      <c r="J11" s="354"/>
      <c r="K11" s="353" t="s">
        <v>168</v>
      </c>
    </row>
    <row r="13" spans="1:11">
      <c r="A13" s="55">
        <v>100</v>
      </c>
      <c r="B13" s="5" t="s">
        <v>61</v>
      </c>
      <c r="C13" s="56">
        <f>'- 12 -'!B21</f>
        <v>982067491</v>
      </c>
      <c r="D13" s="57">
        <f>'- 12 -'!B22</f>
        <v>62584952</v>
      </c>
      <c r="E13" s="57">
        <f>'- 12 -'!B39</f>
        <v>31096183</v>
      </c>
      <c r="F13" s="57">
        <f>'- 12 -'!B45</f>
        <v>69744077</v>
      </c>
      <c r="G13" s="58"/>
      <c r="H13" s="206"/>
      <c r="I13" s="59"/>
      <c r="J13" s="58"/>
      <c r="K13" s="56">
        <f>SUM(C13:F13)</f>
        <v>1145492703</v>
      </c>
    </row>
    <row r="14" spans="1:11" ht="24" customHeight="1">
      <c r="A14" s="55">
        <v>200</v>
      </c>
      <c r="B14" s="5" t="s">
        <v>473</v>
      </c>
      <c r="C14" s="56">
        <f>'- 12 -'!D21</f>
        <v>337457566</v>
      </c>
      <c r="D14" s="57">
        <f>'- 12 -'!D22</f>
        <v>32917559</v>
      </c>
      <c r="E14" s="57">
        <f>'- 12 -'!D39</f>
        <v>9623143</v>
      </c>
      <c r="F14" s="57">
        <f>'- 12 -'!D45</f>
        <v>4527018</v>
      </c>
      <c r="G14" s="58"/>
      <c r="H14" s="206"/>
      <c r="I14" s="59"/>
      <c r="J14" s="58"/>
      <c r="K14" s="56">
        <f>SUM(C14:F14)</f>
        <v>384525286</v>
      </c>
    </row>
    <row r="15" spans="1:11" ht="24" customHeight="1">
      <c r="A15" s="55">
        <v>300</v>
      </c>
      <c r="B15" s="5" t="s">
        <v>218</v>
      </c>
      <c r="C15" s="56">
        <f>'- 12 -'!F21</f>
        <v>7102046</v>
      </c>
      <c r="D15" s="57">
        <f>'- 12 -'!F22</f>
        <v>502455</v>
      </c>
      <c r="E15" s="57">
        <f>'- 12 -'!F39</f>
        <v>977016</v>
      </c>
      <c r="F15" s="57">
        <f>'- 12 -'!F45</f>
        <v>253399</v>
      </c>
      <c r="G15" s="58"/>
      <c r="H15" s="206"/>
      <c r="I15" s="59">
        <f>'- 12 -'!F47</f>
        <v>59500</v>
      </c>
      <c r="J15" s="128" t="s">
        <v>198</v>
      </c>
      <c r="K15" s="56">
        <f>SUM(C15:F15,I15)</f>
        <v>8894416</v>
      </c>
    </row>
    <row r="16" spans="1:11" ht="24" customHeight="1">
      <c r="A16" s="55">
        <v>400</v>
      </c>
      <c r="B16" s="5" t="s">
        <v>169</v>
      </c>
      <c r="C16" s="56">
        <f>'- 12 -'!H21</f>
        <v>15494595</v>
      </c>
      <c r="D16" s="57">
        <f>'- 12 -'!H22</f>
        <v>1418465</v>
      </c>
      <c r="E16" s="57">
        <f>'- 12 -'!H39</f>
        <v>2460852</v>
      </c>
      <c r="F16" s="57">
        <f>'- 12 -'!H45</f>
        <v>1700614</v>
      </c>
      <c r="G16" s="58"/>
      <c r="H16" s="206"/>
      <c r="I16" s="59">
        <f>'- 12 -'!H47</f>
        <v>12293</v>
      </c>
      <c r="J16" s="128" t="s">
        <v>198</v>
      </c>
      <c r="K16" s="56">
        <f>SUM(C16:F16,I16)</f>
        <v>21086819</v>
      </c>
    </row>
    <row r="17" spans="1:13" ht="24" customHeight="1">
      <c r="A17" s="55">
        <v>500</v>
      </c>
      <c r="B17" s="5" t="s">
        <v>192</v>
      </c>
      <c r="C17" s="56">
        <f>'- 12 -'!J21</f>
        <v>46303617</v>
      </c>
      <c r="D17" s="57">
        <f>'- 12 -'!J22</f>
        <v>6048539</v>
      </c>
      <c r="E17" s="57">
        <f>'- 12 -'!J39</f>
        <v>14679454</v>
      </c>
      <c r="F17" s="57">
        <f>'- 12 -'!J45</f>
        <v>2293251</v>
      </c>
      <c r="G17" s="58"/>
      <c r="H17" s="206"/>
      <c r="I17" s="59">
        <f>'- 12 -'!J47</f>
        <v>-71793</v>
      </c>
      <c r="J17" s="128" t="s">
        <v>198</v>
      </c>
      <c r="K17" s="56">
        <f>SUM(C17:F17,I17)</f>
        <v>69253068</v>
      </c>
    </row>
    <row r="18" spans="1:13" ht="12" customHeight="1">
      <c r="A18" s="55"/>
      <c r="B18" s="5"/>
      <c r="C18" s="60"/>
      <c r="D18" s="61"/>
      <c r="E18" s="61"/>
      <c r="F18" s="61"/>
      <c r="G18" s="58"/>
      <c r="H18" s="206"/>
      <c r="I18" s="62"/>
      <c r="J18" s="534"/>
      <c r="K18" s="56"/>
    </row>
    <row r="19" spans="1:13" ht="24" customHeight="1">
      <c r="A19" s="63">
        <v>600</v>
      </c>
      <c r="B19" s="64" t="s">
        <v>527</v>
      </c>
      <c r="C19" s="56">
        <f>'- 13 -'!B21</f>
        <v>48069707</v>
      </c>
      <c r="D19" s="57">
        <f>'- 13 -'!B22</f>
        <v>4481767</v>
      </c>
      <c r="E19" s="57">
        <f>'- 13 -'!B39</f>
        <v>12291676</v>
      </c>
      <c r="F19" s="57">
        <f>'- 13 -'!B45</f>
        <v>7315205</v>
      </c>
      <c r="G19" s="58"/>
      <c r="H19" s="206"/>
      <c r="I19" s="59"/>
      <c r="J19" s="534"/>
      <c r="K19" s="56">
        <f>SUM(C19:F19)</f>
        <v>72158355</v>
      </c>
    </row>
    <row r="20" spans="1:13" ht="28.5" customHeight="1">
      <c r="A20" s="55">
        <v>700</v>
      </c>
      <c r="B20" s="5" t="s">
        <v>170</v>
      </c>
      <c r="C20" s="56">
        <f>'- 13 -'!D21</f>
        <v>39713509</v>
      </c>
      <c r="D20" s="57">
        <f>'- 13 -'!D22</f>
        <v>5793154</v>
      </c>
      <c r="E20" s="57">
        <f>'- 13 -'!D39</f>
        <v>25780945</v>
      </c>
      <c r="F20" s="57">
        <f>'- 13 -'!D45</f>
        <v>19009602</v>
      </c>
      <c r="G20" s="58"/>
      <c r="H20" s="206"/>
      <c r="I20" s="59"/>
      <c r="J20" s="534"/>
      <c r="K20" s="56">
        <f>SUM(C20:F20)</f>
        <v>90297210</v>
      </c>
      <c r="L20" s="716" t="s">
        <v>199</v>
      </c>
    </row>
    <row r="21" spans="1:13" ht="24" customHeight="1">
      <c r="A21" s="55">
        <v>800</v>
      </c>
      <c r="B21" s="5" t="s">
        <v>171</v>
      </c>
      <c r="C21" s="56">
        <f>'- 13 -'!F21</f>
        <v>105011942</v>
      </c>
      <c r="D21" s="57">
        <f>'- 13 -'!F22</f>
        <v>16486880</v>
      </c>
      <c r="E21" s="57">
        <f>'- 13 -'!F39</f>
        <v>94841694</v>
      </c>
      <c r="F21" s="57">
        <f>'- 13 -'!F45</f>
        <v>23814067</v>
      </c>
      <c r="G21" s="58"/>
      <c r="H21" s="206"/>
      <c r="I21" s="59">
        <f>'- 13 -'!F47</f>
        <v>0</v>
      </c>
      <c r="J21" s="535"/>
      <c r="K21" s="56">
        <f>SUM(C21:F21,I21)</f>
        <v>240154583</v>
      </c>
      <c r="L21" s="716"/>
    </row>
    <row r="22" spans="1:13" ht="24" customHeight="1">
      <c r="A22" s="55">
        <v>900</v>
      </c>
      <c r="B22" s="5" t="s">
        <v>66</v>
      </c>
      <c r="C22" s="60"/>
      <c r="D22" s="61"/>
      <c r="E22" s="61"/>
      <c r="F22" s="61"/>
      <c r="G22" s="57">
        <v>1764226</v>
      </c>
      <c r="H22" s="57">
        <v>-60509</v>
      </c>
      <c r="I22" s="62">
        <v>33981828</v>
      </c>
      <c r="J22" s="535" t="s">
        <v>354</v>
      </c>
      <c r="K22" s="56">
        <f>SUM(G22:I22)</f>
        <v>35685545</v>
      </c>
    </row>
    <row r="23" spans="1:13">
      <c r="A23" s="55"/>
      <c r="B23" s="5"/>
      <c r="C23" s="60"/>
      <c r="D23" s="61"/>
      <c r="E23" s="61"/>
      <c r="F23" s="61"/>
      <c r="G23" s="61"/>
      <c r="H23" s="39"/>
      <c r="I23" s="62"/>
      <c r="J23" s="58"/>
      <c r="K23" s="60"/>
    </row>
    <row r="24" spans="1:13">
      <c r="B24" s="5"/>
      <c r="C24" s="65"/>
      <c r="D24" s="65"/>
      <c r="E24" s="65"/>
      <c r="F24" s="65"/>
      <c r="G24" s="65"/>
      <c r="H24" s="65"/>
      <c r="I24" s="65"/>
      <c r="K24" s="65"/>
    </row>
    <row r="25" spans="1:13">
      <c r="A25" s="66"/>
      <c r="B25" s="67" t="s">
        <v>168</v>
      </c>
      <c r="C25" s="68">
        <f>SUM(C13:C22)</f>
        <v>1581220473</v>
      </c>
      <c r="D25" s="69">
        <f>SUM(D13:D22)</f>
        <v>130233771</v>
      </c>
      <c r="E25" s="69">
        <f>SUM(E13:E22)</f>
        <v>191750963</v>
      </c>
      <c r="F25" s="69">
        <f>SUM(F13:F22)</f>
        <v>128657233</v>
      </c>
      <c r="G25" s="69">
        <f>G22</f>
        <v>1764226</v>
      </c>
      <c r="H25" s="69">
        <f>H22</f>
        <v>-60509</v>
      </c>
      <c r="I25" s="538">
        <f>SUM(I13:I22)</f>
        <v>33981828</v>
      </c>
      <c r="J25" s="70"/>
      <c r="K25" s="68">
        <f>SUM(K13:K22)</f>
        <v>2067547985</v>
      </c>
      <c r="M25" s="1">
        <f>K25-'- 3 -'!D48</f>
        <v>0</v>
      </c>
    </row>
    <row r="26" spans="1:13" ht="60" customHeight="1"/>
    <row r="27" spans="1:13">
      <c r="A27" s="127" t="s">
        <v>198</v>
      </c>
      <c r="B27" s="151" t="s">
        <v>748</v>
      </c>
      <c r="C27" s="5"/>
    </row>
    <row r="28" spans="1:13" ht="13.5" customHeight="1">
      <c r="A28" s="536" t="s">
        <v>354</v>
      </c>
      <c r="B28" s="1" t="s">
        <v>517</v>
      </c>
      <c r="C28" s="5"/>
    </row>
  </sheetData>
  <mergeCells count="2">
    <mergeCell ref="A11:B11"/>
    <mergeCell ref="L20:L2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8">
    <pageSetUpPr autoPageBreaks="0" fitToPage="1"/>
  </sheetPr>
  <dimension ref="A2:L54"/>
  <sheetViews>
    <sheetView showGridLines="0" showZeros="0" workbookViewId="0"/>
  </sheetViews>
  <sheetFormatPr defaultColWidth="15.83203125" defaultRowHeight="12"/>
  <cols>
    <col min="1" max="1" width="49.6640625" style="1" customWidth="1"/>
    <col min="2" max="2" width="15.83203125" style="1" customWidth="1"/>
    <col min="3" max="3" width="8.83203125" style="1" customWidth="1"/>
    <col min="4" max="4" width="15.83203125" style="1" customWidth="1"/>
    <col min="5" max="5" width="8.83203125" style="1" customWidth="1"/>
    <col min="6" max="6" width="15.83203125" style="1" customWidth="1"/>
    <col min="7" max="7" width="8.83203125" style="1" customWidth="1"/>
    <col min="8" max="8" width="15.83203125" style="1" customWidth="1"/>
    <col min="9" max="9" width="8.83203125" style="1" customWidth="1"/>
    <col min="10" max="10" width="15.83203125" style="1" customWidth="1"/>
    <col min="11" max="11" width="8.83203125" style="1" customWidth="1"/>
    <col min="12" max="12" width="5" style="1" customWidth="1"/>
    <col min="13" max="16384" width="15.83203125" style="1"/>
  </cols>
  <sheetData>
    <row r="2" spans="1:11">
      <c r="A2" s="46"/>
      <c r="B2" s="46"/>
      <c r="C2" s="46"/>
      <c r="D2" s="47" t="str">
        <f>OPYEAR</f>
        <v>OPERATING FUND 2013/2014 ACTUAL</v>
      </c>
      <c r="E2" s="47"/>
      <c r="F2" s="47"/>
      <c r="G2" s="47"/>
      <c r="H2" s="48"/>
      <c r="I2" s="48"/>
      <c r="J2" s="49"/>
      <c r="K2" s="129" t="s">
        <v>20</v>
      </c>
    </row>
    <row r="3" spans="1:11" ht="9" customHeight="1">
      <c r="A3" s="694"/>
      <c r="J3" s="90"/>
      <c r="K3" s="90"/>
    </row>
    <row r="4" spans="1:11" ht="15.75">
      <c r="B4" s="324" t="s">
        <v>471</v>
      </c>
      <c r="C4" s="90"/>
      <c r="D4" s="90"/>
      <c r="E4" s="90"/>
      <c r="F4" s="90"/>
      <c r="G4" s="90"/>
      <c r="H4" s="90"/>
      <c r="I4" s="90"/>
      <c r="J4" s="90"/>
      <c r="K4" s="90"/>
    </row>
    <row r="5" spans="1:11" ht="15.75">
      <c r="B5" s="324" t="s">
        <v>472</v>
      </c>
      <c r="C5" s="90"/>
      <c r="D5" s="90"/>
      <c r="E5" s="90"/>
      <c r="F5" s="90"/>
      <c r="G5" s="90"/>
      <c r="H5" s="90"/>
      <c r="I5" s="90"/>
      <c r="J5" s="90"/>
      <c r="K5" s="90"/>
    </row>
    <row r="6" spans="1:11" ht="9" customHeight="1"/>
    <row r="7" spans="1:11">
      <c r="B7" s="130" t="s">
        <v>173</v>
      </c>
      <c r="C7" s="48"/>
      <c r="D7" s="48"/>
      <c r="E7" s="48"/>
      <c r="F7" s="48"/>
      <c r="G7" s="48"/>
      <c r="H7" s="48"/>
      <c r="I7" s="48"/>
      <c r="J7" s="48"/>
      <c r="K7" s="131"/>
    </row>
    <row r="8" spans="1:11">
      <c r="A8" s="7"/>
      <c r="B8" s="355" t="s">
        <v>75</v>
      </c>
      <c r="C8" s="356"/>
      <c r="D8" s="358" t="s">
        <v>429</v>
      </c>
      <c r="E8" s="356"/>
      <c r="F8" s="358" t="s">
        <v>217</v>
      </c>
      <c r="G8" s="356"/>
      <c r="H8" s="358" t="s">
        <v>71</v>
      </c>
      <c r="I8" s="356"/>
      <c r="J8" s="358" t="s">
        <v>191</v>
      </c>
      <c r="K8" s="356"/>
    </row>
    <row r="9" spans="1:11">
      <c r="A9" s="7"/>
      <c r="B9" s="342" t="s">
        <v>174</v>
      </c>
      <c r="C9" s="344"/>
      <c r="D9" s="343" t="s">
        <v>152</v>
      </c>
      <c r="E9" s="344"/>
      <c r="F9" s="343" t="s">
        <v>317</v>
      </c>
      <c r="G9" s="344"/>
      <c r="H9" s="343" t="s">
        <v>89</v>
      </c>
      <c r="I9" s="344"/>
      <c r="J9" s="343" t="s">
        <v>43</v>
      </c>
      <c r="K9" s="344"/>
    </row>
    <row r="10" spans="1:11">
      <c r="A10" s="132" t="s">
        <v>162</v>
      </c>
      <c r="B10" s="133" t="s">
        <v>94</v>
      </c>
      <c r="C10" s="133" t="s">
        <v>95</v>
      </c>
      <c r="D10" s="133" t="s">
        <v>94</v>
      </c>
      <c r="E10" s="133" t="s">
        <v>95</v>
      </c>
      <c r="F10" s="133" t="s">
        <v>94</v>
      </c>
      <c r="G10" s="133" t="s">
        <v>95</v>
      </c>
      <c r="H10" s="133" t="s">
        <v>94</v>
      </c>
      <c r="I10" s="133" t="s">
        <v>95</v>
      </c>
      <c r="J10" s="133" t="s">
        <v>94</v>
      </c>
      <c r="K10" s="54" t="s">
        <v>95</v>
      </c>
    </row>
    <row r="11" spans="1:11" ht="5.0999999999999996" customHeight="1">
      <c r="A11" s="134"/>
      <c r="B11" s="7"/>
      <c r="C11" s="7"/>
      <c r="D11" s="7"/>
      <c r="E11" s="7"/>
      <c r="F11" s="7"/>
      <c r="G11" s="7"/>
      <c r="H11" s="7"/>
      <c r="I11" s="7"/>
      <c r="J11" s="7"/>
      <c r="K11" s="7"/>
    </row>
    <row r="12" spans="1:11">
      <c r="A12" s="359" t="s">
        <v>165</v>
      </c>
      <c r="B12" s="135"/>
      <c r="C12" s="136"/>
      <c r="D12" s="135"/>
      <c r="E12" s="136"/>
      <c r="F12" s="135"/>
      <c r="G12" s="136"/>
      <c r="H12" s="135"/>
      <c r="I12" s="136"/>
      <c r="J12" s="135"/>
      <c r="K12" s="136"/>
    </row>
    <row r="13" spans="1:11">
      <c r="A13" s="137" t="s">
        <v>319</v>
      </c>
      <c r="B13" s="138"/>
      <c r="C13" s="393"/>
      <c r="D13" s="138"/>
      <c r="E13" s="393"/>
      <c r="F13" s="138"/>
      <c r="G13" s="393"/>
      <c r="H13" s="138"/>
      <c r="I13" s="393"/>
      <c r="J13" s="138">
        <v>3655111</v>
      </c>
      <c r="K13" s="393"/>
    </row>
    <row r="14" spans="1:11">
      <c r="A14" s="137" t="s">
        <v>356</v>
      </c>
      <c r="B14" s="138">
        <v>84045760</v>
      </c>
      <c r="C14" s="393">
        <f>B14/'- 13 -'!$J$53*100</f>
        <v>4.0649968276310648</v>
      </c>
      <c r="D14" s="138">
        <v>6667889</v>
      </c>
      <c r="E14" s="393">
        <f>D14/'- 13 -'!$J$53*100</f>
        <v>0.32250226105393143</v>
      </c>
      <c r="F14" s="138">
        <v>896711</v>
      </c>
      <c r="G14" s="393">
        <f>F14/'- 13 -'!$J$53*100</f>
        <v>4.337074672537769E-2</v>
      </c>
      <c r="H14" s="138">
        <v>855133</v>
      </c>
      <c r="I14" s="393">
        <f>H14/'- 13 -'!$J$53*100</f>
        <v>4.1359765587254314E-2</v>
      </c>
      <c r="J14" s="138">
        <v>21235120</v>
      </c>
      <c r="K14" s="393">
        <f>J14/'- 13 -'!$J$53*100</f>
        <v>1.027067819178088</v>
      </c>
    </row>
    <row r="15" spans="1:11">
      <c r="A15" s="137" t="s">
        <v>320</v>
      </c>
      <c r="B15" s="138">
        <v>824457900</v>
      </c>
      <c r="C15" s="393">
        <f>B15/'- 13 -'!$J$53*100</f>
        <v>39.876119247602368</v>
      </c>
      <c r="D15" s="138">
        <v>145210987</v>
      </c>
      <c r="E15" s="393">
        <f>D15/'- 13 -'!$J$53*100</f>
        <v>7.0233430156640351</v>
      </c>
      <c r="F15" s="138">
        <v>5274147</v>
      </c>
      <c r="G15" s="393">
        <f>F15/'- 13 -'!$J$53*100</f>
        <v>0.2550918787986437</v>
      </c>
      <c r="H15" s="138">
        <v>8061049</v>
      </c>
      <c r="I15" s="393">
        <f>H15/'- 13 -'!$J$53*100</f>
        <v>0.38988449402300085</v>
      </c>
      <c r="J15" s="138"/>
      <c r="K15" s="393">
        <f>J15/'- 13 -'!$J$53*100</f>
        <v>0</v>
      </c>
    </row>
    <row r="16" spans="1:11">
      <c r="A16" s="137" t="s">
        <v>321</v>
      </c>
      <c r="B16" s="138">
        <v>21516346</v>
      </c>
      <c r="C16" s="393">
        <f>B16/'- 13 -'!$J$53*100</f>
        <v>1.0406697283981052</v>
      </c>
      <c r="D16" s="138">
        <v>149286721</v>
      </c>
      <c r="E16" s="393">
        <f>D16/'- 13 -'!$J$53*100</f>
        <v>7.220471886653697</v>
      </c>
      <c r="F16" s="138">
        <v>265290</v>
      </c>
      <c r="G16" s="393">
        <f>F16/'- 13 -'!$J$53*100</f>
        <v>1.2831141135522422E-2</v>
      </c>
      <c r="H16" s="138">
        <v>3591199</v>
      </c>
      <c r="I16" s="393">
        <f>H16/'- 13 -'!$J$53*100</f>
        <v>0.17369362288343698</v>
      </c>
      <c r="J16" s="138"/>
      <c r="K16" s="393">
        <f>J16/'- 13 -'!$J$53*100</f>
        <v>0</v>
      </c>
    </row>
    <row r="17" spans="1:12">
      <c r="A17" s="137" t="s">
        <v>322</v>
      </c>
      <c r="B17" s="138">
        <v>5370828</v>
      </c>
      <c r="C17" s="393">
        <f>B17/'- 13 -'!$J$53*100</f>
        <v>0.25976799759740521</v>
      </c>
      <c r="D17" s="138">
        <v>1283576</v>
      </c>
      <c r="E17" s="393">
        <f>D17/'- 13 -'!$J$53*100</f>
        <v>6.2082041592858121E-2</v>
      </c>
      <c r="F17" s="138">
        <v>246298</v>
      </c>
      <c r="G17" s="393">
        <f>F17/'- 13 -'!$J$53*100</f>
        <v>1.191256511514532E-2</v>
      </c>
      <c r="H17" s="138">
        <v>1571712</v>
      </c>
      <c r="I17" s="393">
        <f>H17/'- 13 -'!$J$53*100</f>
        <v>7.6018163128629884E-2</v>
      </c>
      <c r="J17" s="138">
        <v>5030214</v>
      </c>
      <c r="K17" s="393">
        <f>J17/'- 13 -'!$J$53*100</f>
        <v>0.24329370038780501</v>
      </c>
    </row>
    <row r="18" spans="1:12">
      <c r="A18" s="139" t="s">
        <v>323</v>
      </c>
      <c r="B18" s="138">
        <v>34694731</v>
      </c>
      <c r="C18" s="393">
        <f>B18/'- 13 -'!$J$53*100</f>
        <v>1.6780617065098009</v>
      </c>
      <c r="D18" s="138">
        <v>2672607</v>
      </c>
      <c r="E18" s="393">
        <f>D18/'- 13 -'!$J$53*100</f>
        <v>0.12926456940248476</v>
      </c>
      <c r="F18" s="138">
        <v>418970</v>
      </c>
      <c r="G18" s="393">
        <f>F18/'- 13 -'!$J$53*100</f>
        <v>2.0264100424252064E-2</v>
      </c>
      <c r="H18" s="138">
        <v>936022</v>
      </c>
      <c r="I18" s="393">
        <f>H18/'- 13 -'!$J$53*100</f>
        <v>4.5272081073368657E-2</v>
      </c>
      <c r="J18" s="138">
        <v>14800286</v>
      </c>
      <c r="K18" s="393">
        <f>J18/'- 13 -'!$J$53*100</f>
        <v>0.7158376060616557</v>
      </c>
    </row>
    <row r="19" spans="1:12">
      <c r="A19" s="139" t="s">
        <v>324</v>
      </c>
      <c r="B19" s="138"/>
      <c r="C19" s="394"/>
      <c r="D19" s="140">
        <v>32139240</v>
      </c>
      <c r="E19" s="394">
        <f>D19/'- 13 -'!$J$53*100</f>
        <v>1.5544616247443466</v>
      </c>
      <c r="F19" s="140"/>
      <c r="G19" s="394"/>
      <c r="H19" s="140">
        <v>429996</v>
      </c>
      <c r="I19" s="394"/>
      <c r="J19" s="140"/>
      <c r="K19" s="394"/>
    </row>
    <row r="20" spans="1:12">
      <c r="A20" s="142" t="s">
        <v>325</v>
      </c>
      <c r="B20" s="141">
        <v>11981926</v>
      </c>
      <c r="C20" s="394">
        <f>B20/'- 13 -'!$J$53*100</f>
        <v>0.57952347838737106</v>
      </c>
      <c r="D20" s="141">
        <v>196546</v>
      </c>
      <c r="E20" s="394">
        <f>D20/'- 13 -'!$J$53*100</f>
        <v>9.5062364417143139E-3</v>
      </c>
      <c r="F20" s="141">
        <v>630</v>
      </c>
      <c r="G20" s="394">
        <f>F20/'- 13 -'!$J$53*100</f>
        <v>3.0470876834328948E-5</v>
      </c>
      <c r="H20" s="141">
        <v>49484</v>
      </c>
      <c r="I20" s="394">
        <f>H20/'- 13 -'!$J$53*100</f>
        <v>2.3933664591586253E-3</v>
      </c>
      <c r="J20" s="141">
        <v>1582886</v>
      </c>
      <c r="K20" s="394">
        <f>J20/'- 13 -'!$J$53*100</f>
        <v>7.6558610077434308E-2</v>
      </c>
    </row>
    <row r="21" spans="1:12" ht="12.75" customHeight="1">
      <c r="A21" s="143" t="s">
        <v>326</v>
      </c>
      <c r="B21" s="396">
        <f>SUM(B13:B20)</f>
        <v>982067491</v>
      </c>
      <c r="C21" s="397">
        <f>B21/'- 13 -'!$J$53*100</f>
        <v>47.49913898612612</v>
      </c>
      <c r="D21" s="396">
        <f>SUM(D13:D20)</f>
        <v>337457566</v>
      </c>
      <c r="E21" s="397">
        <f>D21/'- 13 -'!$J$53*100</f>
        <v>16.321631635553068</v>
      </c>
      <c r="F21" s="396">
        <f>SUM(F13:F20)</f>
        <v>7102046</v>
      </c>
      <c r="G21" s="397">
        <f>F21/'- 13 -'!$J$53*100</f>
        <v>0.34350090307577552</v>
      </c>
      <c r="H21" s="396">
        <f>SUM(H13:H20)</f>
        <v>15494595</v>
      </c>
      <c r="I21" s="397">
        <f>H21/'- 13 -'!$J$53*100</f>
        <v>0.74941888229017339</v>
      </c>
      <c r="J21" s="396">
        <f>SUM(J13:J20)</f>
        <v>46303617</v>
      </c>
      <c r="K21" s="397">
        <f>J21/'- 13 -'!$J$53*100</f>
        <v>2.2395425564935558</v>
      </c>
    </row>
    <row r="22" spans="1:12">
      <c r="A22" s="359" t="s">
        <v>175</v>
      </c>
      <c r="B22" s="396">
        <v>62584952</v>
      </c>
      <c r="C22" s="397">
        <f>B22/'- 13 -'!$J$53*100</f>
        <v>3.0270132763085544</v>
      </c>
      <c r="D22" s="396">
        <v>32917559</v>
      </c>
      <c r="E22" s="397">
        <f>D22/'- 13 -'!$J$53*100</f>
        <v>1.5921061682154865</v>
      </c>
      <c r="F22" s="396">
        <v>502455</v>
      </c>
      <c r="G22" s="397">
        <f>F22/'- 13 -'!$J$53*100</f>
        <v>2.4301975269512305E-2</v>
      </c>
      <c r="H22" s="396">
        <v>1418465</v>
      </c>
      <c r="I22" s="397">
        <f>H22/'- 13 -'!$J$53*100</f>
        <v>6.8606146521914935E-2</v>
      </c>
      <c r="J22" s="396">
        <v>6048539</v>
      </c>
      <c r="K22" s="397">
        <f>J22/'- 13 -'!$J$53*100</f>
        <v>0.29254648713751619</v>
      </c>
    </row>
    <row r="23" spans="1:12">
      <c r="A23" s="359" t="s">
        <v>152</v>
      </c>
      <c r="B23" s="146"/>
      <c r="C23" s="395"/>
      <c r="D23" s="146"/>
      <c r="E23" s="395"/>
      <c r="F23" s="146"/>
      <c r="G23" s="395"/>
      <c r="H23" s="146"/>
      <c r="I23" s="395"/>
      <c r="J23" s="146"/>
      <c r="K23" s="395"/>
    </row>
    <row r="24" spans="1:12">
      <c r="A24" s="139" t="s">
        <v>327</v>
      </c>
      <c r="B24" s="138">
        <v>6541343</v>
      </c>
      <c r="C24" s="393">
        <f>B24/'- 13 -'!$J$53*100</f>
        <v>0.31638167759380925</v>
      </c>
      <c r="D24" s="138">
        <v>5995116</v>
      </c>
      <c r="E24" s="393">
        <f>D24/'- 13 -'!$J$53*100</f>
        <v>0.28996260514843625</v>
      </c>
      <c r="F24" s="138">
        <v>79680</v>
      </c>
      <c r="G24" s="393">
        <f>F24/'- 13 -'!$J$53*100</f>
        <v>3.8538404224751281E-3</v>
      </c>
      <c r="H24" s="138">
        <v>1485913</v>
      </c>
      <c r="I24" s="393">
        <f>H24/'- 13 -'!$J$53*100</f>
        <v>7.1868368269092431E-2</v>
      </c>
      <c r="J24" s="138">
        <v>3502519</v>
      </c>
      <c r="K24" s="393">
        <f>J24/'- 13 -'!$J$53*100</f>
        <v>0.16940448422047141</v>
      </c>
    </row>
    <row r="25" spans="1:12">
      <c r="A25" s="139" t="s">
        <v>328</v>
      </c>
      <c r="B25" s="140">
        <v>4237266</v>
      </c>
      <c r="C25" s="394">
        <f>B25/'- 13 -'!$J$53*100</f>
        <v>0.20494160380998364</v>
      </c>
      <c r="D25" s="140">
        <v>388211</v>
      </c>
      <c r="E25" s="394">
        <f>D25/'- 13 -'!$J$53*100</f>
        <v>1.8776396137669328E-2</v>
      </c>
      <c r="F25" s="140">
        <v>66288</v>
      </c>
      <c r="G25" s="394">
        <f>F25/'- 13 -'!$J$53*100</f>
        <v>3.2061166406253928E-3</v>
      </c>
      <c r="H25" s="140">
        <v>57181</v>
      </c>
      <c r="I25" s="394">
        <f>H25/'- 13 -'!$J$53*100</f>
        <v>2.7656431877202598E-3</v>
      </c>
      <c r="J25" s="140">
        <v>1042094</v>
      </c>
      <c r="K25" s="394">
        <f>J25/'- 13 -'!$J$53*100</f>
        <v>5.0402409402846335E-2</v>
      </c>
    </row>
    <row r="26" spans="1:12">
      <c r="A26" s="139" t="s">
        <v>329</v>
      </c>
      <c r="B26" s="140"/>
      <c r="C26" s="394">
        <f>B26/'- 13 -'!$J$53*100</f>
        <v>0</v>
      </c>
      <c r="D26" s="140"/>
      <c r="E26" s="394">
        <f>D26/'- 13 -'!$J$53*100</f>
        <v>0</v>
      </c>
      <c r="F26" s="140">
        <v>57523</v>
      </c>
      <c r="G26" s="394">
        <f>F26/'- 13 -'!$J$53*100</f>
        <v>2.7821845208588956E-3</v>
      </c>
      <c r="H26" s="140"/>
      <c r="I26" s="394">
        <f>H26/'- 13 -'!$J$53*100</f>
        <v>0</v>
      </c>
      <c r="J26" s="140"/>
      <c r="K26" s="394">
        <f>J26/'- 13 -'!$J$53*100</f>
        <v>0</v>
      </c>
    </row>
    <row r="27" spans="1:12" ht="19.5" customHeight="1">
      <c r="A27" s="139" t="s">
        <v>352</v>
      </c>
      <c r="B27" s="140">
        <v>2960442</v>
      </c>
      <c r="C27" s="394">
        <f>B27/'- 13 -'!$J$53*100</f>
        <v>0.14318613263043567</v>
      </c>
      <c r="D27" s="140">
        <v>2192144</v>
      </c>
      <c r="E27" s="394">
        <f>D27/'- 13 -'!$J$53*100</f>
        <v>0.10602626956684635</v>
      </c>
      <c r="F27" s="140">
        <v>93855</v>
      </c>
      <c r="G27" s="394">
        <f>F27/'- 13 -'!$J$53*100</f>
        <v>4.5394351512475298E-3</v>
      </c>
      <c r="H27" s="140">
        <v>283908</v>
      </c>
      <c r="I27" s="394">
        <f>H27/'- 13 -'!$J$53*100</f>
        <v>1.3731628095683594E-2</v>
      </c>
      <c r="J27" s="140">
        <v>2314756</v>
      </c>
      <c r="K27" s="394">
        <f>J27/'- 13 -'!$J$53*100</f>
        <v>0.11195657932940309</v>
      </c>
      <c r="L27" s="717" t="s">
        <v>222</v>
      </c>
    </row>
    <row r="28" spans="1:12" ht="12.75" customHeight="1">
      <c r="A28" s="139" t="s">
        <v>330</v>
      </c>
      <c r="B28" s="140"/>
      <c r="C28" s="394">
        <f>B28/'- 13 -'!$J$53*100</f>
        <v>0</v>
      </c>
      <c r="D28" s="140"/>
      <c r="E28" s="394">
        <f>D28/'- 13 -'!$J$53*100</f>
        <v>0</v>
      </c>
      <c r="F28" s="140"/>
      <c r="G28" s="394">
        <f>F28/'- 13 -'!$J$53*100</f>
        <v>0</v>
      </c>
      <c r="H28" s="140"/>
      <c r="I28" s="394">
        <f>H28/'- 13 -'!$J$53*100</f>
        <v>0</v>
      </c>
      <c r="J28" s="140"/>
      <c r="K28" s="394">
        <f>J28/'- 13 -'!$J$53*100</f>
        <v>0</v>
      </c>
      <c r="L28" s="718"/>
    </row>
    <row r="29" spans="1:12" ht="12.75" customHeight="1">
      <c r="A29" s="139" t="s">
        <v>331</v>
      </c>
      <c r="B29" s="140">
        <v>592061</v>
      </c>
      <c r="C29" s="394">
        <f>B29/'- 13 -'!$J$53*100</f>
        <v>2.8635901284777197E-2</v>
      </c>
      <c r="D29" s="140">
        <v>402434</v>
      </c>
      <c r="E29" s="394">
        <f>D29/'- 13 -'!$J$53*100</f>
        <v>1.9464312457057677E-2</v>
      </c>
      <c r="F29" s="140">
        <v>1111</v>
      </c>
      <c r="G29" s="394">
        <f>F29/'- 13 -'!$J$53*100</f>
        <v>5.373514946498327E-5</v>
      </c>
      <c r="H29" s="140"/>
      <c r="I29" s="394">
        <f>H29/'- 13 -'!$J$53*100</f>
        <v>0</v>
      </c>
      <c r="J29" s="140"/>
      <c r="K29" s="394">
        <f>J29/'- 13 -'!$J$53*100</f>
        <v>0</v>
      </c>
      <c r="L29" s="718"/>
    </row>
    <row r="30" spans="1:12" ht="12.75" customHeight="1">
      <c r="A30" s="139" t="s">
        <v>332</v>
      </c>
      <c r="B30" s="140">
        <v>473173</v>
      </c>
      <c r="C30" s="394">
        <f>B30/'- 13 -'!$J$53*100</f>
        <v>2.2885708260841162E-2</v>
      </c>
      <c r="D30" s="140">
        <v>27195</v>
      </c>
      <c r="E30" s="394">
        <f>D30/'- 13 -'!$J$53*100</f>
        <v>1.3153261833485329E-3</v>
      </c>
      <c r="F30" s="140">
        <v>3498</v>
      </c>
      <c r="G30" s="394">
        <f>F30/'- 13 -'!$J$53*100</f>
        <v>1.6918591613727406E-4</v>
      </c>
      <c r="H30" s="140">
        <v>65438</v>
      </c>
      <c r="I30" s="394">
        <f>H30/'- 13 -'!$J$53*100</f>
        <v>3.1650051401346316E-3</v>
      </c>
      <c r="J30" s="140">
        <v>234641</v>
      </c>
      <c r="K30" s="394">
        <f>J30/'- 13 -'!$J$53*100</f>
        <v>1.1348757160767903E-2</v>
      </c>
    </row>
    <row r="31" spans="1:12">
      <c r="A31" s="139" t="s">
        <v>333</v>
      </c>
      <c r="B31" s="140">
        <v>119716</v>
      </c>
      <c r="C31" s="394">
        <f>B31/'- 13 -'!$J$53*100</f>
        <v>5.7902404620611501E-3</v>
      </c>
      <c r="D31" s="140">
        <v>15552</v>
      </c>
      <c r="E31" s="394">
        <f>D31/'- 13 -'!$J$53*100</f>
        <v>7.5219535956743463E-4</v>
      </c>
      <c r="F31" s="140">
        <v>2528</v>
      </c>
      <c r="G31" s="394">
        <f>F31/'- 13 -'!$J$53*100</f>
        <v>1.2227043910664062E-4</v>
      </c>
      <c r="H31" s="140"/>
      <c r="I31" s="394">
        <f>H31/'- 13 -'!$J$53*100</f>
        <v>0</v>
      </c>
      <c r="J31" s="140">
        <v>1155670</v>
      </c>
      <c r="K31" s="394">
        <f>J31/'- 13 -'!$J$53*100</f>
        <v>5.5895679731950698E-2</v>
      </c>
    </row>
    <row r="32" spans="1:12">
      <c r="A32" s="139" t="s">
        <v>334</v>
      </c>
      <c r="B32" s="140">
        <v>2661233</v>
      </c>
      <c r="C32" s="394">
        <f>B32/'- 13 -'!$J$53*100</f>
        <v>0.12871444915944719</v>
      </c>
      <c r="D32" s="140">
        <v>33447</v>
      </c>
      <c r="E32" s="394">
        <f>D32/'- 13 -'!$J$53*100</f>
        <v>1.6177133610758736E-3</v>
      </c>
      <c r="F32" s="140">
        <v>23713</v>
      </c>
      <c r="G32" s="394">
        <f>F32/'- 13 -'!$J$53*100</f>
        <v>1.1469141307499087E-3</v>
      </c>
      <c r="H32" s="140">
        <v>41519</v>
      </c>
      <c r="I32" s="394">
        <f>H32/'- 13 -'!$J$53*100</f>
        <v>2.0081275163246091E-3</v>
      </c>
      <c r="J32" s="140">
        <v>245139</v>
      </c>
      <c r="K32" s="394">
        <f>J32/'- 13 -'!$J$53*100</f>
        <v>1.1856508375064389E-2</v>
      </c>
    </row>
    <row r="33" spans="1:11">
      <c r="A33" s="139" t="s">
        <v>335</v>
      </c>
      <c r="B33" s="140">
        <v>2938300</v>
      </c>
      <c r="C33" s="394">
        <f>B33/'- 13 -'!$J$53*100</f>
        <v>0.14211520222588692</v>
      </c>
      <c r="D33" s="140">
        <v>208261</v>
      </c>
      <c r="E33" s="394">
        <f>D33/'- 13 -'!$J$53*100</f>
        <v>1.0072849651419335E-2</v>
      </c>
      <c r="F33" s="140">
        <v>551609</v>
      </c>
      <c r="G33" s="394">
        <f>F33/'- 13 -'!$J$53*100</f>
        <v>2.6679380793186283E-2</v>
      </c>
      <c r="H33" s="140">
        <v>346676</v>
      </c>
      <c r="I33" s="394">
        <f>H33/'- 13 -'!$J$53*100</f>
        <v>1.6767494757806069E-2</v>
      </c>
      <c r="J33" s="140">
        <v>-211267</v>
      </c>
      <c r="K33" s="394">
        <f>J33/'- 13 -'!$J$53*100</f>
        <v>-1.0218239263743134E-2</v>
      </c>
    </row>
    <row r="34" spans="1:11">
      <c r="A34" s="476" t="s">
        <v>427</v>
      </c>
      <c r="B34" s="140"/>
      <c r="C34" s="394">
        <f>B34/'- 13 -'!$J$53*100</f>
        <v>0</v>
      </c>
      <c r="D34" s="140"/>
      <c r="E34" s="394">
        <f>D34/'- 13 -'!$J$53*100</f>
        <v>0</v>
      </c>
      <c r="F34" s="140">
        <v>30778</v>
      </c>
      <c r="G34" s="394">
        <f>F34/'- 13 -'!$J$53*100</f>
        <v>1.4886232495348833E-3</v>
      </c>
      <c r="H34" s="140"/>
      <c r="I34" s="394">
        <f>H34/'- 13 -'!$J$53*100</f>
        <v>0</v>
      </c>
      <c r="J34" s="140"/>
      <c r="K34" s="394">
        <f>J34/'- 13 -'!$J$53*100</f>
        <v>0</v>
      </c>
    </row>
    <row r="35" spans="1:11">
      <c r="A35" s="139" t="s">
        <v>336</v>
      </c>
      <c r="B35" s="140">
        <v>457052</v>
      </c>
      <c r="C35" s="394">
        <f>B35/'- 13 -'!$J$53*100</f>
        <v>2.2105992379180501E-2</v>
      </c>
      <c r="D35" s="140">
        <v>34581</v>
      </c>
      <c r="E35" s="394">
        <f>D35/'- 13 -'!$J$53*100</f>
        <v>1.6725609393776657E-3</v>
      </c>
      <c r="F35" s="140">
        <v>11862</v>
      </c>
      <c r="G35" s="394">
        <f>F35/'- 13 -'!$J$53*100</f>
        <v>5.7372308096636517E-4</v>
      </c>
      <c r="H35" s="140">
        <v>99299</v>
      </c>
      <c r="I35" s="394">
        <f>H35/'- 13 -'!$J$53*100</f>
        <v>4.8027422202730641E-3</v>
      </c>
      <c r="J35" s="140">
        <v>758219</v>
      </c>
      <c r="K35" s="394">
        <f>J35/'- 13 -'!$J$53*100</f>
        <v>3.6672377400711206E-2</v>
      </c>
    </row>
    <row r="36" spans="1:11">
      <c r="A36" s="139" t="s">
        <v>337</v>
      </c>
      <c r="B36" s="140">
        <v>920970</v>
      </c>
      <c r="C36" s="394">
        <f>B36/'- 13 -'!$J$53*100</f>
        <v>4.4544068949384022E-2</v>
      </c>
      <c r="D36" s="140">
        <v>114163</v>
      </c>
      <c r="E36" s="394">
        <f>D36/'- 13 -'!$J$53*100</f>
        <v>5.521661447678565E-3</v>
      </c>
      <c r="F36" s="140">
        <v>239</v>
      </c>
      <c r="G36" s="394">
        <f>F36/'- 13 -'!$J$53*100</f>
        <v>1.155958660857876E-5</v>
      </c>
      <c r="H36" s="140">
        <v>4198</v>
      </c>
      <c r="I36" s="394">
        <f>H36/'- 13 -'!$J$53*100</f>
        <v>2.0304244595319515E-4</v>
      </c>
      <c r="J36" s="140">
        <v>2175968</v>
      </c>
      <c r="K36" s="394">
        <f>J36/'- 13 -'!$J$53*100</f>
        <v>0.10524389352927158</v>
      </c>
    </row>
    <row r="37" spans="1:11">
      <c r="A37" s="144" t="s">
        <v>338</v>
      </c>
      <c r="B37" s="140">
        <v>342260</v>
      </c>
      <c r="C37" s="394">
        <f>B37/'- 13 -'!$J$53*100</f>
        <v>1.6553908421138772E-2</v>
      </c>
      <c r="D37" s="140">
        <v>173430</v>
      </c>
      <c r="E37" s="394">
        <f>D37/'- 13 -'!$J$53*100</f>
        <v>8.3881970942502708E-3</v>
      </c>
      <c r="F37" s="140">
        <v>34839</v>
      </c>
      <c r="G37" s="394">
        <f>F37/'- 13 -'!$J$53*100</f>
        <v>1.685039488938391E-3</v>
      </c>
      <c r="H37" s="140">
        <v>58623</v>
      </c>
      <c r="I37" s="394">
        <f>H37/'- 13 -'!$J$53*100</f>
        <v>2.8353876391410573E-3</v>
      </c>
      <c r="J37" s="140">
        <v>1268928</v>
      </c>
      <c r="K37" s="394">
        <f>J37/'- 13 -'!$J$53*100</f>
        <v>6.1373569523224383E-2</v>
      </c>
    </row>
    <row r="38" spans="1:11">
      <c r="A38" s="145" t="s">
        <v>339</v>
      </c>
      <c r="B38" s="140">
        <v>8852367</v>
      </c>
      <c r="C38" s="394">
        <f>B38/'- 13 -'!$J$53*100</f>
        <v>0.42815775325282229</v>
      </c>
      <c r="D38" s="140">
        <v>38609</v>
      </c>
      <c r="E38" s="394">
        <f>D38/'- 13 -'!$J$53*100</f>
        <v>1.8673810852327087E-3</v>
      </c>
      <c r="F38" s="140">
        <v>19493</v>
      </c>
      <c r="G38" s="394">
        <f>F38/'- 13 -'!$J$53*100</f>
        <v>9.4280762243107027E-4</v>
      </c>
      <c r="H38" s="140">
        <v>18097</v>
      </c>
      <c r="I38" s="394">
        <f>H38/'- 13 -'!$J$53*100</f>
        <v>8.7528802868389044E-4</v>
      </c>
      <c r="J38" s="140">
        <v>2192787</v>
      </c>
      <c r="K38" s="394">
        <f>J38/'- 13 -'!$J$53*100</f>
        <v>0.10605736920780583</v>
      </c>
    </row>
    <row r="39" spans="1:11">
      <c r="A39" s="143" t="s">
        <v>340</v>
      </c>
      <c r="B39" s="396">
        <f>SUM(B24:B38)</f>
        <v>31096183</v>
      </c>
      <c r="C39" s="397">
        <f>B39/'- 13 -'!$J$53*100</f>
        <v>1.5040126384297678</v>
      </c>
      <c r="D39" s="396">
        <f>SUM(D24:D38)</f>
        <v>9623143</v>
      </c>
      <c r="E39" s="397">
        <f>D39/'- 13 -'!$J$53*100</f>
        <v>0.46543746843196004</v>
      </c>
      <c r="F39" s="396">
        <f>SUM(F24:F38)</f>
        <v>977016</v>
      </c>
      <c r="G39" s="397">
        <f>F39/'- 13 -'!$J$53*100</f>
        <v>4.7254816192331323E-2</v>
      </c>
      <c r="H39" s="396">
        <f>SUM(H24:H38)</f>
        <v>2460852</v>
      </c>
      <c r="I39" s="397">
        <f>H39/'- 13 -'!$J$53*100</f>
        <v>0.11902272730081281</v>
      </c>
      <c r="J39" s="396">
        <f>SUM(J24:J38)</f>
        <v>14679454</v>
      </c>
      <c r="K39" s="397">
        <f>J39/'- 13 -'!$J$53*100</f>
        <v>0.70999338861777372</v>
      </c>
    </row>
    <row r="40" spans="1:11">
      <c r="A40" s="360" t="s">
        <v>341</v>
      </c>
      <c r="B40" s="146"/>
      <c r="C40" s="395"/>
      <c r="D40" s="146"/>
      <c r="E40" s="395"/>
      <c r="F40" s="146"/>
      <c r="G40" s="395"/>
      <c r="H40" s="146"/>
      <c r="I40" s="395"/>
      <c r="J40" s="146"/>
      <c r="K40" s="395"/>
    </row>
    <row r="41" spans="1:11">
      <c r="A41" s="139" t="s">
        <v>342</v>
      </c>
      <c r="B41" s="140">
        <v>29139261</v>
      </c>
      <c r="C41" s="394">
        <f>B41/'- 13 -'!$J$53*100</f>
        <v>1.4093632269434366</v>
      </c>
      <c r="D41" s="140">
        <v>2458962</v>
      </c>
      <c r="E41" s="394">
        <f>D41/'- 13 -'!$J$53*100</f>
        <v>0.11893131467030982</v>
      </c>
      <c r="F41" s="140">
        <v>130244</v>
      </c>
      <c r="G41" s="394">
        <f>F41/'- 13 -'!$J$53*100</f>
        <v>6.299442670492603E-3</v>
      </c>
      <c r="H41" s="140">
        <v>1378813</v>
      </c>
      <c r="I41" s="394">
        <f>H41/'- 13 -'!$J$53*100</f>
        <v>6.6688319207256513E-2</v>
      </c>
      <c r="J41" s="140">
        <v>1511317</v>
      </c>
      <c r="K41" s="394">
        <f>J41/'- 13 -'!$J$53*100</f>
        <v>7.3097070102583372E-2</v>
      </c>
    </row>
    <row r="42" spans="1:11">
      <c r="A42" s="139" t="s">
        <v>343</v>
      </c>
      <c r="B42" s="140">
        <v>10422764</v>
      </c>
      <c r="C42" s="394">
        <f>B42/'- 13 -'!$J$53*100</f>
        <v>0.50411231447186944</v>
      </c>
      <c r="D42" s="140">
        <v>611457</v>
      </c>
      <c r="E42" s="394">
        <f>D42/'- 13 -'!$J$53*100</f>
        <v>2.9574017359505204E-2</v>
      </c>
      <c r="F42" s="140">
        <v>54741</v>
      </c>
      <c r="G42" s="394">
        <f>F42/'- 13 -'!$J$53*100</f>
        <v>2.6476289980761924E-3</v>
      </c>
      <c r="H42" s="140">
        <v>123734</v>
      </c>
      <c r="I42" s="394">
        <f>H42/'- 13 -'!$J$53*100</f>
        <v>5.9845769432045372E-3</v>
      </c>
      <c r="J42" s="140">
        <v>106652</v>
      </c>
      <c r="K42" s="394">
        <f>J42/'- 13 -'!$J$53*100</f>
        <v>5.1583808827537318E-3</v>
      </c>
    </row>
    <row r="43" spans="1:11">
      <c r="A43" s="139" t="s">
        <v>344</v>
      </c>
      <c r="B43" s="140">
        <v>11505242</v>
      </c>
      <c r="C43" s="394">
        <f>B43/'- 13 -'!$J$53*100</f>
        <v>0.55646795544626737</v>
      </c>
      <c r="D43" s="140">
        <v>616902</v>
      </c>
      <c r="E43" s="394">
        <f>D43/'- 13 -'!$J$53*100</f>
        <v>2.9837372795001899E-2</v>
      </c>
      <c r="F43" s="140">
        <v>26490</v>
      </c>
      <c r="G43" s="394">
        <f>F43/'- 13 -'!$J$53*100</f>
        <v>1.2812278211767839E-3</v>
      </c>
      <c r="H43" s="140">
        <v>105629</v>
      </c>
      <c r="I43" s="394">
        <f>H43/'- 13 -'!$J$53*100</f>
        <v>5.1089019827513221E-3</v>
      </c>
      <c r="J43" s="140">
        <v>250834</v>
      </c>
      <c r="K43" s="394">
        <f>J43/'- 13 -'!$J$53*100</f>
        <v>1.2131955428352489E-2</v>
      </c>
    </row>
    <row r="44" spans="1:11">
      <c r="A44" s="145" t="s">
        <v>345</v>
      </c>
      <c r="B44" s="140">
        <v>18676810</v>
      </c>
      <c r="C44" s="394">
        <f>B44/'- 13 -'!$J$53*100</f>
        <v>0.90333139233041793</v>
      </c>
      <c r="D44" s="140">
        <v>839697</v>
      </c>
      <c r="E44" s="394">
        <f>D44/'- 13 -'!$J$53*100</f>
        <v>4.0613180738342095E-2</v>
      </c>
      <c r="F44" s="140">
        <v>41924</v>
      </c>
      <c r="G44" s="394">
        <f>F44/'- 13 -'!$J$53*100</f>
        <v>2.0277159371466778E-3</v>
      </c>
      <c r="H44" s="140">
        <v>92438</v>
      </c>
      <c r="I44" s="394">
        <f>H44/'- 13 -'!$J$53*100</f>
        <v>4.4708998616058721E-3</v>
      </c>
      <c r="J44" s="140">
        <v>424448</v>
      </c>
      <c r="K44" s="394">
        <f>J44/'- 13 -'!$J$53*100</f>
        <v>2.0529051953297229E-2</v>
      </c>
    </row>
    <row r="45" spans="1:11">
      <c r="A45" s="143" t="s">
        <v>346</v>
      </c>
      <c r="B45" s="396">
        <f>SUM(B41:B44)</f>
        <v>69744077</v>
      </c>
      <c r="C45" s="397">
        <f>B45/'- 13 -'!$J$53*100</f>
        <v>3.3732748891919915</v>
      </c>
      <c r="D45" s="396">
        <f>SUM(D41:D44)</f>
        <v>4527018</v>
      </c>
      <c r="E45" s="397">
        <f>D45/'- 13 -'!$J$53*100</f>
        <v>0.21895588556315901</v>
      </c>
      <c r="F45" s="396">
        <f>SUM(F41:F44)</f>
        <v>253399</v>
      </c>
      <c r="G45" s="397">
        <f>F45/'- 13 -'!$J$53*100</f>
        <v>1.2256015426892258E-2</v>
      </c>
      <c r="H45" s="396">
        <f>SUM(H41:H44)</f>
        <v>1700614</v>
      </c>
      <c r="I45" s="397">
        <f>H45/'- 13 -'!$J$53*100</f>
        <v>8.2252697994818241E-2</v>
      </c>
      <c r="J45" s="396">
        <f>SUM(J41:J44)</f>
        <v>2293251</v>
      </c>
      <c r="K45" s="397">
        <f>J45/'- 13 -'!$J$53*100</f>
        <v>0.11091645836698683</v>
      </c>
    </row>
    <row r="46" spans="1:11">
      <c r="A46" s="359" t="s">
        <v>107</v>
      </c>
      <c r="B46" s="146"/>
      <c r="C46" s="395"/>
      <c r="D46" s="146"/>
      <c r="E46" s="395"/>
      <c r="F46" s="146"/>
      <c r="G46" s="395"/>
      <c r="H46" s="146"/>
      <c r="I46" s="395"/>
      <c r="J46" s="146"/>
      <c r="K46" s="395"/>
    </row>
    <row r="47" spans="1:11" ht="14.25">
      <c r="A47" s="145" t="s">
        <v>402</v>
      </c>
      <c r="B47" s="140"/>
      <c r="C47" s="394"/>
      <c r="D47" s="140"/>
      <c r="E47" s="394"/>
      <c r="F47" s="140">
        <v>59500</v>
      </c>
      <c r="G47" s="394"/>
      <c r="H47" s="140">
        <v>12293</v>
      </c>
      <c r="I47" s="394"/>
      <c r="J47" s="140">
        <v>-71793</v>
      </c>
      <c r="K47" s="394"/>
    </row>
    <row r="48" spans="1:11">
      <c r="A48" s="143" t="s">
        <v>349</v>
      </c>
      <c r="B48" s="396"/>
      <c r="C48" s="397"/>
      <c r="D48" s="396"/>
      <c r="E48" s="397"/>
      <c r="F48" s="396">
        <f>F47</f>
        <v>59500</v>
      </c>
      <c r="G48" s="397"/>
      <c r="H48" s="396">
        <f>H47</f>
        <v>12293</v>
      </c>
      <c r="I48" s="397"/>
      <c r="J48" s="396">
        <f>J47</f>
        <v>-71793</v>
      </c>
      <c r="K48" s="397"/>
    </row>
    <row r="49" spans="1:11" ht="5.0999999999999996" customHeight="1">
      <c r="A49" s="30"/>
      <c r="B49" s="39"/>
      <c r="C49" s="147"/>
      <c r="D49" s="65"/>
      <c r="E49" s="147"/>
      <c r="F49" s="65"/>
      <c r="G49" s="147"/>
      <c r="H49" s="65"/>
      <c r="I49" s="147"/>
      <c r="J49" s="65"/>
      <c r="K49" s="147"/>
    </row>
    <row r="50" spans="1:11">
      <c r="A50" s="361" t="s">
        <v>350</v>
      </c>
      <c r="B50" s="398">
        <f>SUM(B48,B45,B39,B22,B21)</f>
        <v>1145492703</v>
      </c>
      <c r="C50" s="399">
        <f>B50/'- 13 -'!$J$53*100</f>
        <v>55.403439790056431</v>
      </c>
      <c r="D50" s="398">
        <f>SUM(D48,D45,D39,D22,D21)</f>
        <v>384525286</v>
      </c>
      <c r="E50" s="399">
        <f>D50/'- 13 -'!$J$53*100</f>
        <v>18.598131157763671</v>
      </c>
      <c r="F50" s="398">
        <f>SUM(F48,F45,F39,F22,F21)</f>
        <v>8894416</v>
      </c>
      <c r="G50" s="399">
        <f>F50/'- 13 -'!$J$53*100</f>
        <v>0.43019151499886471</v>
      </c>
      <c r="H50" s="398">
        <f>SUM(H48,H45,H39,H22,H21)</f>
        <v>21086819</v>
      </c>
      <c r="I50" s="399">
        <f>H50/'- 13 -'!$J$53*100</f>
        <v>1.0198950231377579</v>
      </c>
      <c r="J50" s="398">
        <f>SUM(J48,J45,J39,J22,J21)</f>
        <v>69253068</v>
      </c>
      <c r="K50" s="399">
        <f>J50/'- 13 -'!$J$53*100</f>
        <v>3.3495265165514403</v>
      </c>
    </row>
    <row r="51" spans="1:11" ht="15.95" customHeight="1">
      <c r="A51" s="515" t="s">
        <v>749</v>
      </c>
    </row>
    <row r="52" spans="1:11">
      <c r="A52" s="150"/>
      <c r="B52" s="1">
        <f>+B50-'- 15 -'!B48</f>
        <v>0</v>
      </c>
      <c r="D52" s="1">
        <f>+D50-'- 15 -'!E48</f>
        <v>0</v>
      </c>
      <c r="F52" s="1">
        <f>+F50-'- 15 -'!H48</f>
        <v>0</v>
      </c>
      <c r="H52" s="1">
        <f>H50-'- 16 -'!B48</f>
        <v>0</v>
      </c>
      <c r="J52" s="1">
        <f>+J50-'- 16 -'!D48</f>
        <v>0</v>
      </c>
    </row>
    <row r="54" spans="1:11">
      <c r="B54" s="1">
        <f>+B50-'- 15 -'!B48</f>
        <v>0</v>
      </c>
      <c r="F54" s="1">
        <f>+F50-'- 15 -'!H48</f>
        <v>0</v>
      </c>
      <c r="J54" s="1">
        <f>+J50-'- 16 -'!D48</f>
        <v>0</v>
      </c>
    </row>
  </sheetData>
  <mergeCells count="1">
    <mergeCell ref="L27:L29"/>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68</vt:i4>
      </vt:variant>
    </vt:vector>
  </HeadingPairs>
  <TitlesOfParts>
    <vt:vector size="129"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- 39 -</vt:lpstr>
      <vt:lpstr>- 41 -</vt:lpstr>
      <vt:lpstr>- 42 -</vt:lpstr>
      <vt:lpstr>- 43 -</vt:lpstr>
      <vt:lpstr>- 44 -</vt:lpstr>
      <vt:lpstr>- 45 -</vt:lpstr>
      <vt:lpstr>- 46 -</vt:lpstr>
      <vt:lpstr>- 47 -</vt:lpstr>
      <vt:lpstr>- 48 -</vt:lpstr>
      <vt:lpstr>- 49 -</vt:lpstr>
      <vt:lpstr>- 50 -</vt:lpstr>
      <vt:lpstr>- 51 -</vt:lpstr>
      <vt:lpstr>- 52 -</vt:lpstr>
      <vt:lpstr>- 54 -</vt:lpstr>
      <vt:lpstr>- 55 - </vt:lpstr>
      <vt:lpstr>- 56 -</vt:lpstr>
      <vt:lpstr>- 58 -</vt:lpstr>
      <vt:lpstr>- 59 -</vt:lpstr>
      <vt:lpstr>- 60 -</vt:lpstr>
      <vt:lpstr>- 61 -</vt:lpstr>
      <vt:lpstr>- 62 -</vt:lpstr>
      <vt:lpstr>- 63 -</vt:lpstr>
      <vt:lpstr>- 64 -</vt:lpstr>
      <vt:lpstr>- 65 -</vt:lpstr>
      <vt:lpstr>- 66 -</vt:lpstr>
      <vt:lpstr>- 67 -</vt:lpstr>
      <vt:lpstr>Data</vt:lpstr>
      <vt:lpstr>'- 49 -'!capyear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'- 39 -'!Print_Area</vt:lpstr>
      <vt:lpstr>'- 4 -'!Print_Area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'- 52 -'!Print_Area</vt:lpstr>
      <vt:lpstr>'- 54 -'!Print_Area</vt:lpstr>
      <vt:lpstr>'- 55 - '!Print_Area</vt:lpstr>
      <vt:lpstr>'- 56 -'!Print_Area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'- 67 -'!Print_Area</vt:lpstr>
      <vt:lpstr>'- 7 -'!Print_Area</vt:lpstr>
      <vt:lpstr>'- 8 -'!Print_Area</vt:lpstr>
      <vt:lpstr>'- 9 -'!Print_Area</vt:lpstr>
      <vt:lpstr>REVYEAR</vt:lpstr>
      <vt:lpstr>SPRINGYR</vt:lpstr>
      <vt:lpstr>STATDATE</vt:lpstr>
      <vt:lpstr>TAXYEAR</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2015-04-28T18:50:08Z</cp:lastPrinted>
  <dcterms:created xsi:type="dcterms:W3CDTF">1999-01-19T20:49:35Z</dcterms:created>
  <dcterms:modified xsi:type="dcterms:W3CDTF">2015-05-11T20:05:33Z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-1974738683</vt:i4>
  </property>
  <property fmtid="{D5CDD505-2E9C-101B-9397-08002B2CF9AE}" pid="3" name="_NewReviewCycle">
    <vt:lpwstr/>
  </property>
  <property fmtid="{D5CDD505-2E9C-101B-9397-08002B2CF9AE}" pid="4" name="_EmailSubject">
    <vt:lpwstr>2013/14 FRAME REPORT ACTUAL</vt:lpwstr>
  </property>
  <property fmtid="{D5CDD505-2E9C-101B-9397-08002B2CF9AE}" pid="5" name="_AuthorEmail">
    <vt:lpwstr>Gonzalo.Pizarro@gov.mb.ca</vt:lpwstr>
  </property>
  <property fmtid="{D5CDD505-2E9C-101B-9397-08002B2CF9AE}" pid="6" name="_AuthorEmailDisplayName">
    <vt:lpwstr>Pizarro, Gonzalo (EAL)</vt:lpwstr>
  </property>
</Properties>
</file>