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externalLinks/externalLink3.xml" ContentType="application/vnd.openxmlformats-officedocument.spreadsheetml.externalLink+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5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38661" r:id="rId19"/>
    <sheet name="- 24 -" sheetId="82" r:id="rId20"/>
    <sheet name="- 25 -" sheetId="25" r:id="rId21"/>
    <sheet name="- 26 -" sheetId="26" r:id="rId22"/>
    <sheet name="- 27 -" sheetId="27" r:id="rId23"/>
    <sheet name="- 28 -" sheetId="38655" r:id="rId24"/>
    <sheet name="- 29 -" sheetId="38656" r:id="rId25"/>
    <sheet name="- 30 -" sheetId="34" r:id="rId26"/>
    <sheet name="- 31 -" sheetId="35" r:id="rId27"/>
    <sheet name="- 32 -" sheetId="36" r:id="rId28"/>
    <sheet name="- 33 -" sheetId="37" r:id="rId29"/>
    <sheet name="- 34 -" sheetId="38" r:id="rId30"/>
    <sheet name="- 35 -" sheetId="39" r:id="rId31"/>
    <sheet name="- 36 -" sheetId="40" r:id="rId32"/>
    <sheet name="- 37 -" sheetId="41" r:id="rId33"/>
    <sheet name="- 38 -" sheetId="54" r:id="rId34"/>
    <sheet name="- 39 -" sheetId="76" r:id="rId35"/>
    <sheet name="- 41 -" sheetId="42" r:id="rId36"/>
    <sheet name="- 42 -" sheetId="43" r:id="rId37"/>
    <sheet name="- 43 -" sheetId="44" r:id="rId38"/>
    <sheet name="- 44 -" sheetId="45" r:id="rId39"/>
    <sheet name="- 45 -" sheetId="70" r:id="rId40"/>
    <sheet name="- 46 -" sheetId="33" r:id="rId41"/>
    <sheet name="- 47 -" sheetId="32" r:id="rId42"/>
    <sheet name="- 48 -" sheetId="48" r:id="rId43"/>
    <sheet name="- 49 -" sheetId="38663" r:id="rId44"/>
    <sheet name="- 50 -" sheetId="38665" r:id="rId45"/>
    <sheet name="- 51 -" sheetId="38670" r:id="rId46"/>
    <sheet name="- 52 -" sheetId="38662" r:id="rId47"/>
    <sheet name="- 54 -" sheetId="38651" r:id="rId48"/>
    <sheet name="- 55 - " sheetId="38668" r:id="rId49"/>
    <sheet name="- 56 -" sheetId="38654" r:id="rId50"/>
    <sheet name="- 58 -" sheetId="81" r:id="rId51"/>
    <sheet name="- 59 -" sheetId="47" r:id="rId52"/>
    <sheet name="- 60 -" sheetId="46" r:id="rId53"/>
    <sheet name="- 61 -" sheetId="52" r:id="rId54"/>
    <sheet name="- 62 -" sheetId="78" r:id="rId55"/>
    <sheet name="- 63 -" sheetId="38658" r:id="rId56"/>
    <sheet name="- 64 -" sheetId="38659" r:id="rId57"/>
    <sheet name="- 65 -" sheetId="38666" r:id="rId58"/>
    <sheet name="- 66 -" sheetId="38667" r:id="rId59"/>
    <sheet name="- 67 -" sheetId="38648" r:id="rId60"/>
    <sheet name="Data" sheetId="3188" state="hidden" r:id="rId61"/>
  </sheets>
  <externalReferences>
    <externalReference r:id="rId62"/>
    <externalReference r:id="rId63"/>
    <externalReference r:id="rId64"/>
    <externalReference r:id="rId65"/>
    <externalReference r:id="rId66"/>
    <externalReference r:id="rId67"/>
  </externalReferences>
  <definedNames>
    <definedName name="_Fill" localSheetId="45" hidden="1">#REF!</definedName>
    <definedName name="_Fill" localSheetId="57" hidden="1">#REF!</definedName>
    <definedName name="_Fill" hidden="1">#REF!</definedName>
    <definedName name="_Order1" hidden="1">0</definedName>
    <definedName name="capyear" localSheetId="43">'- 49 -'!$B$3</definedName>
    <definedName name="capyear" localSheetId="48">#REF!</definedName>
    <definedName name="capyear" localSheetId="57">#REF!</definedName>
    <definedName name="capyear" localSheetId="58">#REF!</definedName>
    <definedName name="capyear">'- 47 -'!$B$3</definedName>
    <definedName name="CurrY" localSheetId="0">[1]Data!$B$5</definedName>
    <definedName name="CurrY">Data!$B$5</definedName>
    <definedName name="DATE_ENTRY" localSheetId="45">#REF!</definedName>
    <definedName name="DATE_ENTRY">#REF!</definedName>
    <definedName name="DIV" localSheetId="0">[2]Data!$A$9:$A$696</definedName>
    <definedName name="DIV">[3]Data!$A$9:$A$696</definedName>
    <definedName name="DIVNUM" localSheetId="0">[4]DATA!$B$1</definedName>
    <definedName name="DIVNUM">[5]DATA!$B$1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19" hidden="1">{"'- 4 -'!$A$1:$G$76","'-3 -'!$A$1:$G$77"}</definedName>
    <definedName name="HTML_Control" localSheetId="43" hidden="1">{"'- 4 -'!$A$1:$G$76","'-3 -'!$A$1:$G$77"}</definedName>
    <definedName name="HTML_Control" localSheetId="44" hidden="1">{"'- 4 -'!$A$1:$G$76","'-3 -'!$A$1:$G$77"}</definedName>
    <definedName name="HTML_Control" localSheetId="46" hidden="1">{"'- 4 -'!$A$1:$G$76","'-3 -'!$A$1:$G$77"}</definedName>
    <definedName name="HTML_Control" localSheetId="48" hidden="1">{"'- 4 -'!$A$1:$G$76","'-3 -'!$A$1:$G$77"}</definedName>
    <definedName name="HTML_Control" localSheetId="51"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59"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 localSheetId="0">[4]DATA!$D$1:$D$39</definedName>
    <definedName name="LIST">[5]DATA!$D$1:$D$39</definedName>
    <definedName name="LOADED1" localSheetId="45">#REF!</definedName>
    <definedName name="LOADED1">#REF!</definedName>
    <definedName name="LOADED2" localSheetId="45">#REF!</definedName>
    <definedName name="LOADED2">#REF!</definedName>
    <definedName name="LOADED3" localSheetId="45">#REF!</definedName>
    <definedName name="LOADED3">#REF!</definedName>
    <definedName name="NOW" localSheetId="45">#REF!</definedName>
    <definedName name="NOW">#REF!</definedName>
    <definedName name="OD_FINISH" localSheetId="45">#REF!</definedName>
    <definedName name="OD_FINISH">#REF!</definedName>
    <definedName name="OD_FIRST" localSheetId="45">#REF!</definedName>
    <definedName name="OD_FIRST">#REF!</definedName>
    <definedName name="OD_LAST" localSheetId="45">#REF!</definedName>
    <definedName name="OD_LAST">#REF!</definedName>
    <definedName name="OD_START" localSheetId="45">#REF!</definedName>
    <definedName name="OD_START">#REF!</definedName>
    <definedName name="ONE_AM" localSheetId="45">#REF!</definedName>
    <definedName name="ONE_AM">#REF!</definedName>
    <definedName name="ONE_PM" localSheetId="45">#REF!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'- 21 -'!$A$1:$J$55</definedName>
    <definedName name="_xlnm.Print_Area" localSheetId="17">'- 22 -'!$A$1:$I$54</definedName>
    <definedName name="_xlnm.Print_Area" localSheetId="19">'- 24 -'!$A$1:$F$52</definedName>
    <definedName name="_xlnm.Print_Area" localSheetId="20">'- 25 -'!$A$1:$I$52</definedName>
    <definedName name="_xlnm.Print_Area" localSheetId="21">'- 26 -'!$A$1:$J$52</definedName>
    <definedName name="_xlnm.Print_Area" localSheetId="22">'- 27 -'!$A$1:$E$52</definedName>
    <definedName name="_xlnm.Print_Area" localSheetId="23">'- 28 -'!$A$1:$J$52</definedName>
    <definedName name="_xlnm.Print_Area" localSheetId="24">'- 29 -'!$A$1:$J$53</definedName>
    <definedName name="_xlnm.Print_Area" localSheetId="1">'- 3 -'!$A$2:$F$58</definedName>
    <definedName name="_xlnm.Print_Area" localSheetId="25">'- 30 -'!$A$1:$G$52</definedName>
    <definedName name="_xlnm.Print_Area" localSheetId="26">'- 31 -'!$A$1:$G$52</definedName>
    <definedName name="_xlnm.Print_Area" localSheetId="27">'- 32 -'!$A$1:$G$52</definedName>
    <definedName name="_xlnm.Print_Area" localSheetId="28">'- 33 -'!$A$1:$F$52</definedName>
    <definedName name="_xlnm.Print_Area" localSheetId="29">'- 34 -'!$A$1:$G$52</definedName>
    <definedName name="_xlnm.Print_Area" localSheetId="30">'- 35 -'!$A$1:$H$52</definedName>
    <definedName name="_xlnm.Print_Area" localSheetId="31">'- 36 -'!$A$1:$E$52</definedName>
    <definedName name="_xlnm.Print_Area" localSheetId="32">'- 37 -'!$A$1:$G$54</definedName>
    <definedName name="_xlnm.Print_Area" localSheetId="33">'- 38 -'!$A$1:$J$56</definedName>
    <definedName name="_xlnm.Print_Area" localSheetId="34">'- 39 -'!$A$1:$H$54</definedName>
    <definedName name="_xlnm.Print_Area" localSheetId="2">'- 4 -'!$A$1:$E$56</definedName>
    <definedName name="_xlnm.Print_Area" localSheetId="35">'- 41 -'!$A$1:$H$55</definedName>
    <definedName name="_xlnm.Print_Area" localSheetId="36">'- 42 -'!$A$1:$I$62</definedName>
    <definedName name="_xlnm.Print_Area" localSheetId="37">'- 43 -'!$A$1:$I$57</definedName>
    <definedName name="_xlnm.Print_Area" localSheetId="38">'- 44 -'!$A$1:$I$52</definedName>
    <definedName name="_xlnm.Print_Area" localSheetId="39">'- 45 -'!$A$2:$E$60</definedName>
    <definedName name="_xlnm.Print_Area" localSheetId="40">'- 46 -'!$A$1:$F$56</definedName>
    <definedName name="_xlnm.Print_Area" localSheetId="41">'- 47 -'!$A$1:$F$54</definedName>
    <definedName name="_xlnm.Print_Area" localSheetId="42">'- 48 -'!$A$1:$E$59</definedName>
    <definedName name="_xlnm.Print_Area" localSheetId="43">'- 49 -'!$A$1:$G$57</definedName>
    <definedName name="_xlnm.Print_Area" localSheetId="44">'- 50 -'!$A$1:$H$55</definedName>
    <definedName name="_xlnm.Print_Area" localSheetId="45">'- 51 -'!$A$1:$E$59</definedName>
    <definedName name="_xlnm.Print_Area" localSheetId="46">'- 52 -'!$A$1:$D$58</definedName>
    <definedName name="_xlnm.Print_Area" localSheetId="47">'- 54 -'!$A$1:$G$57</definedName>
    <definedName name="_xlnm.Print_Area" localSheetId="48">'- 55 - '!$A$1:$F$53</definedName>
    <definedName name="_xlnm.Print_Area" localSheetId="49">'- 56 -'!$A$1:$F$52</definedName>
    <definedName name="_xlnm.Print_Area" localSheetId="50">'- 58 -'!$A$1:$G$54</definedName>
    <definedName name="_xlnm.Print_Area" localSheetId="51">'- 59 -'!$A$1:$G$54</definedName>
    <definedName name="_xlnm.Print_Area" localSheetId="3">'- 6 -'!$A$1:$H$54</definedName>
    <definedName name="_xlnm.Print_Area" localSheetId="52">'- 60 -'!$A$1:$F$55</definedName>
    <definedName name="_xlnm.Print_Area" localSheetId="53">'- 61 -'!$A$1:$F$53</definedName>
    <definedName name="_xlnm.Print_Area" localSheetId="54">'- 62 -'!$A$1:$F$59</definedName>
    <definedName name="_xlnm.Print_Area" localSheetId="55">'- 63 -'!$A$2:$G$64</definedName>
    <definedName name="_xlnm.Print_Area" localSheetId="56">'- 64 -'!$A$2:$G$55</definedName>
    <definedName name="_xlnm.Print_Area" localSheetId="57">'- 65 -'!$A$1:$I$56</definedName>
    <definedName name="_xlnm.Print_Area" localSheetId="58">'- 66 -'!$A$2:$G$54</definedName>
    <definedName name="_xlnm.Print_Area" localSheetId="59">'- 67 -'!$A$1:$I$58</definedName>
    <definedName name="_xlnm.Print_Area" localSheetId="4">'- 7 -'!$A$1:$G$56</definedName>
    <definedName name="_xlnm.Print_Area" localSheetId="5">'- 8 -'!$A$1:$G$59</definedName>
    <definedName name="_xlnm.Print_Area" localSheetId="6">'- 9 -'!$A$1:$D$58</definedName>
    <definedName name="_xlnm.Print_Area" localSheetId="60">Data!$1:$1048576</definedName>
    <definedName name="REVYEAR" localSheetId="0">'[1]- 42 -'!$B$1</definedName>
    <definedName name="REVYEAR">'- 42 -'!$B$1</definedName>
    <definedName name="SPRINGYR" localSheetId="0">[1]Data!$B$7</definedName>
    <definedName name="SPRINGYR">Data!$B$7</definedName>
    <definedName name="STAMP" localSheetId="45">#REF!</definedName>
    <definedName name="STAMP">#REF!</definedName>
    <definedName name="STATDATE" localSheetId="0">'[1]- 6 -'!$B$3</definedName>
    <definedName name="STATDATE">'- 6 -'!$B$3</definedName>
    <definedName name="TAXYEAR" localSheetId="48">'[6]- 46 -'!$B$3</definedName>
    <definedName name="TAXYEAR" localSheetId="0">'[1]- 52 -'!$B$3</definedName>
    <definedName name="TAXYEAR">'- 52 -'!$B$3</definedName>
    <definedName name="TOTAL1" localSheetId="45">#REF!</definedName>
    <definedName name="TOTAL1">#REF!</definedName>
    <definedName name="TOTAL2" localSheetId="45">#REF!</definedName>
    <definedName name="TOTAL2">#REF!</definedName>
    <definedName name="TOTAL3" localSheetId="45">#REF!</definedName>
    <definedName name="TOTAL3">#REF!</definedName>
    <definedName name="TWO" localSheetId="45">#REF!</definedName>
    <definedName name="TWO">#REF!</definedName>
  </definedNames>
  <calcPr calcId="125725"/>
</workbook>
</file>

<file path=xl/calcChain.xml><?xml version="1.0" encoding="utf-8"?>
<calcChain xmlns="http://schemas.openxmlformats.org/spreadsheetml/2006/main">
  <c r="T48" i="3188"/>
  <c r="I50" i="41"/>
  <c r="I48"/>
  <c r="I46"/>
  <c r="I45"/>
  <c r="I44"/>
  <c r="I43"/>
  <c r="I42"/>
  <c r="I41"/>
  <c r="I40"/>
  <c r="I39"/>
  <c r="I38"/>
  <c r="I37"/>
  <c r="I36"/>
  <c r="I35"/>
  <c r="I34"/>
  <c r="I33"/>
  <c r="I32"/>
  <c r="I31"/>
  <c r="I30"/>
  <c r="I29"/>
  <c r="I28"/>
  <c r="I27"/>
  <c r="I26"/>
  <c r="I25"/>
  <c r="I24"/>
  <c r="I23"/>
  <c r="I22"/>
  <c r="I21"/>
  <c r="I20"/>
  <c r="I19"/>
  <c r="I18"/>
  <c r="I17"/>
  <c r="I16"/>
  <c r="I15"/>
  <c r="I14"/>
  <c r="I13"/>
  <c r="I12"/>
  <c r="I11"/>
  <c r="I9"/>
  <c r="B46" i="38668"/>
  <c r="B45"/>
  <c r="B44"/>
  <c r="B43"/>
  <c r="B42"/>
  <c r="B41"/>
  <c r="B40"/>
  <c r="B39"/>
  <c r="B38"/>
  <c r="B37"/>
  <c r="B36"/>
  <c r="B35"/>
  <c r="B34"/>
  <c r="B33"/>
  <c r="B32"/>
  <c r="B31"/>
  <c r="B30"/>
  <c r="B29"/>
  <c r="B28"/>
  <c r="B27"/>
  <c r="B26"/>
  <c r="B25"/>
  <c r="B24"/>
  <c r="B23"/>
  <c r="B22"/>
  <c r="B21"/>
  <c r="B20"/>
  <c r="B19"/>
  <c r="B18"/>
  <c r="B17"/>
  <c r="B16"/>
  <c r="B15"/>
  <c r="B14"/>
  <c r="B13"/>
  <c r="B12"/>
  <c r="D46"/>
  <c r="D45"/>
  <c r="D44"/>
  <c r="D43"/>
  <c r="D42"/>
  <c r="D41"/>
  <c r="D40"/>
  <c r="D39"/>
  <c r="D38"/>
  <c r="D37"/>
  <c r="D36"/>
  <c r="D35"/>
  <c r="D34"/>
  <c r="D33"/>
  <c r="D32"/>
  <c r="D31"/>
  <c r="D30"/>
  <c r="D29"/>
  <c r="D28"/>
  <c r="D27"/>
  <c r="D26"/>
  <c r="D25"/>
  <c r="D24"/>
  <c r="D23"/>
  <c r="D22"/>
  <c r="D21"/>
  <c r="D20"/>
  <c r="D19"/>
  <c r="D18"/>
  <c r="D17"/>
  <c r="D16"/>
  <c r="D15"/>
  <c r="D14"/>
  <c r="D13"/>
  <c r="D12"/>
  <c r="D11"/>
  <c r="B11"/>
  <c r="C48"/>
  <c r="I51" i="38648"/>
  <c r="I50"/>
  <c r="I14"/>
  <c r="D48" i="38670"/>
  <c r="C51" i="70"/>
  <c r="C36"/>
  <c r="C27"/>
  <c r="C24"/>
  <c r="C23"/>
  <c r="C22"/>
  <c r="C20"/>
  <c r="C16"/>
  <c r="C14"/>
  <c r="C13"/>
  <c r="D48" i="3188"/>
  <c r="I21" i="21"/>
  <c r="F45" i="23"/>
  <c r="F21" i="21" s="1"/>
  <c r="B45" i="23"/>
  <c r="F19" i="21" s="1"/>
  <c r="J28" i="23"/>
  <c r="D19" i="21"/>
  <c r="B21" i="23"/>
  <c r="C19" i="21" s="1"/>
  <c r="J48" i="22"/>
  <c r="H45"/>
  <c r="F16" i="21"/>
  <c r="F45" i="22"/>
  <c r="D45"/>
  <c r="F14" i="21" s="1"/>
  <c r="J36" i="23"/>
  <c r="J34"/>
  <c r="J39" i="22"/>
  <c r="H39"/>
  <c r="F39"/>
  <c r="E15" i="21" s="1"/>
  <c r="D39" i="22"/>
  <c r="D17" i="21"/>
  <c r="D16"/>
  <c r="D15"/>
  <c r="D14"/>
  <c r="D13"/>
  <c r="J18" i="23"/>
  <c r="J16"/>
  <c r="H21" i="22"/>
  <c r="B21"/>
  <c r="C13" i="21"/>
  <c r="H50" i="23"/>
  <c r="J50"/>
  <c r="B7" i="3188"/>
  <c r="B2" i="38659" s="1"/>
  <c r="F13" i="38658"/>
  <c r="F18"/>
  <c r="F19"/>
  <c r="F21"/>
  <c r="F25"/>
  <c r="F26"/>
  <c r="F27"/>
  <c r="F28"/>
  <c r="F29"/>
  <c r="F30"/>
  <c r="F31"/>
  <c r="F32"/>
  <c r="F34"/>
  <c r="F35"/>
  <c r="F36"/>
  <c r="F37"/>
  <c r="F38"/>
  <c r="F40"/>
  <c r="F41"/>
  <c r="F43"/>
  <c r="F44"/>
  <c r="F45"/>
  <c r="F46"/>
  <c r="F47"/>
  <c r="F48"/>
  <c r="F52"/>
  <c r="B89" i="3188"/>
  <c r="B9" i="38648"/>
  <c r="B9" i="38667" s="1"/>
  <c r="F9" s="1"/>
  <c r="C9" i="38648"/>
  <c r="D9"/>
  <c r="H9"/>
  <c r="K6" i="38667"/>
  <c r="L6"/>
  <c r="J7"/>
  <c r="K7"/>
  <c r="L7"/>
  <c r="J47"/>
  <c r="K47"/>
  <c r="L47"/>
  <c r="A3" i="38666"/>
  <c r="J20" i="38659"/>
  <c r="E2" i="38658"/>
  <c r="I16"/>
  <c r="I20"/>
  <c r="K51"/>
  <c r="B5" i="78"/>
  <c r="B4" i="52"/>
  <c r="B4" i="46"/>
  <c r="B4" i="47"/>
  <c r="A53" i="81"/>
  <c r="B3" i="38654"/>
  <c r="T9"/>
  <c r="U9"/>
  <c r="T11"/>
  <c r="F11" s="1"/>
  <c r="G11" i="38648" s="1"/>
  <c r="C11" i="38654"/>
  <c r="T12"/>
  <c r="F12" s="1"/>
  <c r="G12" i="38648" s="1"/>
  <c r="C12" i="38654"/>
  <c r="F12" i="38651" s="1"/>
  <c r="T13" i="38654"/>
  <c r="F13" s="1"/>
  <c r="G13" i="38648" s="1"/>
  <c r="C13" i="38654"/>
  <c r="F13" i="38651" s="1"/>
  <c r="G13" s="1"/>
  <c r="T14" i="38654"/>
  <c r="F14" s="1"/>
  <c r="G14" i="38648" s="1"/>
  <c r="C14" i="38654"/>
  <c r="T15"/>
  <c r="F15" s="1"/>
  <c r="G15" i="38648" s="1"/>
  <c r="C15" i="38654"/>
  <c r="F15" i="38651" s="1"/>
  <c r="G15" s="1"/>
  <c r="T16" i="38654"/>
  <c r="F16" s="1"/>
  <c r="G16" i="38648" s="1"/>
  <c r="C16" i="38654"/>
  <c r="F16" i="38651" s="1"/>
  <c r="G16" s="1"/>
  <c r="T17" i="38654"/>
  <c r="F17" s="1"/>
  <c r="G17" i="38648" s="1"/>
  <c r="C17" i="38654"/>
  <c r="F17" i="38651"/>
  <c r="T18" i="38654"/>
  <c r="F18"/>
  <c r="G18" i="38648" s="1"/>
  <c r="C18" i="38654"/>
  <c r="F18" i="38651"/>
  <c r="T19" i="38654"/>
  <c r="F19" s="1"/>
  <c r="G19" i="38648" s="1"/>
  <c r="C19" i="38654"/>
  <c r="F19" i="38651" s="1"/>
  <c r="G19" s="1"/>
  <c r="T20" i="38654"/>
  <c r="F20" s="1"/>
  <c r="G20" i="38648" s="1"/>
  <c r="C20" i="38654"/>
  <c r="F20" i="38651" s="1"/>
  <c r="G20" s="1"/>
  <c r="T21" i="38654"/>
  <c r="F21" s="1"/>
  <c r="G21" i="38648" s="1"/>
  <c r="C21" i="38654"/>
  <c r="F21" i="38651"/>
  <c r="T22" i="38654"/>
  <c r="F22"/>
  <c r="G22" i="38648" s="1"/>
  <c r="C22" i="38654"/>
  <c r="F22" i="38651"/>
  <c r="G22" s="1"/>
  <c r="T23" i="38654"/>
  <c r="F23" s="1"/>
  <c r="G23" i="38648" s="1"/>
  <c r="C23" i="38654"/>
  <c r="F23" i="38651" s="1"/>
  <c r="G23" s="1"/>
  <c r="T24" i="38654"/>
  <c r="F24" s="1"/>
  <c r="G24" i="38648" s="1"/>
  <c r="C24" i="38654"/>
  <c r="F24" i="38651"/>
  <c r="T25" i="38654"/>
  <c r="F25"/>
  <c r="G25" i="38648" s="1"/>
  <c r="C25" i="38654"/>
  <c r="F25" i="38651"/>
  <c r="T26" i="38654"/>
  <c r="F26" s="1"/>
  <c r="G26" i="38648" s="1"/>
  <c r="C26" i="38654"/>
  <c r="F26" i="38651" s="1"/>
  <c r="G26" s="1"/>
  <c r="J25" s="1"/>
  <c r="T27" i="38654"/>
  <c r="F27" s="1"/>
  <c r="G27" i="38648" s="1"/>
  <c r="C27" i="38654"/>
  <c r="F27" i="38651" s="1"/>
  <c r="G27" s="1"/>
  <c r="T28" i="38654"/>
  <c r="F28" s="1"/>
  <c r="G28" i="38648" s="1"/>
  <c r="C28" i="38654"/>
  <c r="F28" i="38651"/>
  <c r="T29" i="38654"/>
  <c r="F29"/>
  <c r="G29" i="38648" s="1"/>
  <c r="C29" i="38654"/>
  <c r="F29" i="38651"/>
  <c r="T30" i="38654"/>
  <c r="F30" s="1"/>
  <c r="G30" i="38648" s="1"/>
  <c r="C30" i="38654"/>
  <c r="F30" i="38651" s="1"/>
  <c r="G30" s="1"/>
  <c r="T31" i="38654"/>
  <c r="F31" s="1"/>
  <c r="G31" i="38648" s="1"/>
  <c r="C31" i="38654"/>
  <c r="F31" i="38651" s="1"/>
  <c r="G31" s="1"/>
  <c r="T32" i="38654"/>
  <c r="F32" s="1"/>
  <c r="G32" i="38648" s="1"/>
  <c r="C32" i="38654"/>
  <c r="F32" i="38651"/>
  <c r="T33" i="38654"/>
  <c r="F33"/>
  <c r="G33" i="38648" s="1"/>
  <c r="C33" i="38654"/>
  <c r="F33" i="38651"/>
  <c r="T34" i="38654"/>
  <c r="F34" s="1"/>
  <c r="G34" i="38648" s="1"/>
  <c r="C34" i="38654"/>
  <c r="F34" i="38651" s="1"/>
  <c r="G34" s="1"/>
  <c r="T35" i="38654"/>
  <c r="F35" s="1"/>
  <c r="G35" i="38648" s="1"/>
  <c r="C35" i="38654"/>
  <c r="F35" i="38651" s="1"/>
  <c r="G35" s="1"/>
  <c r="T36" i="38654"/>
  <c r="F36" s="1"/>
  <c r="G36" i="38648" s="1"/>
  <c r="C36" i="38654"/>
  <c r="F36" i="38651"/>
  <c r="T37" i="38654"/>
  <c r="F37"/>
  <c r="G37" i="38648" s="1"/>
  <c r="C37" i="38654"/>
  <c r="F37" i="38651"/>
  <c r="T38" i="38654"/>
  <c r="F38" s="1"/>
  <c r="G38" i="38648" s="1"/>
  <c r="C38" i="38654"/>
  <c r="F38" i="38651" s="1"/>
  <c r="G38" s="1"/>
  <c r="T39" i="38654"/>
  <c r="F39" s="1"/>
  <c r="G39" i="38648" s="1"/>
  <c r="C39" i="38654"/>
  <c r="F39" i="38651" s="1"/>
  <c r="G39" s="1"/>
  <c r="I39" i="38648" s="1"/>
  <c r="T40" i="38654"/>
  <c r="F40" s="1"/>
  <c r="G40" i="38648" s="1"/>
  <c r="C40" i="38654"/>
  <c r="F40" i="38651"/>
  <c r="G40" s="1"/>
  <c r="T41" i="38654"/>
  <c r="F41"/>
  <c r="G41" i="38648" s="1"/>
  <c r="C41" i="38654"/>
  <c r="F41" i="38651"/>
  <c r="T42" i="38654"/>
  <c r="F42" s="1"/>
  <c r="G42" i="38648" s="1"/>
  <c r="C42" i="38654"/>
  <c r="F42" i="38651" s="1"/>
  <c r="G42" s="1"/>
  <c r="T43" i="38654"/>
  <c r="F43" s="1"/>
  <c r="G43" i="38648" s="1"/>
  <c r="C43" i="38654"/>
  <c r="F43" i="38651" s="1"/>
  <c r="G43" s="1"/>
  <c r="I43" i="38648" s="1"/>
  <c r="T44" i="38654"/>
  <c r="F44" s="1"/>
  <c r="G44" i="38648" s="1"/>
  <c r="C44" i="38654"/>
  <c r="F44" i="38651"/>
  <c r="G44" s="1"/>
  <c r="T45" i="38654"/>
  <c r="F45"/>
  <c r="G45" i="38648" s="1"/>
  <c r="C45" i="38654"/>
  <c r="F45" i="38651"/>
  <c r="T46" i="38654"/>
  <c r="F46" s="1"/>
  <c r="G46" i="38648" s="1"/>
  <c r="C46" i="38654"/>
  <c r="F46" i="38651" s="1"/>
  <c r="G46" s="1"/>
  <c r="T48" i="38654"/>
  <c r="F48" s="1"/>
  <c r="G48" i="38648" s="1"/>
  <c r="B48" i="38668"/>
  <c r="D48"/>
  <c r="A3" i="38651"/>
  <c r="A3" i="38668" s="1"/>
  <c r="E11" i="38651"/>
  <c r="I11"/>
  <c r="E12"/>
  <c r="I12"/>
  <c r="E13"/>
  <c r="I13"/>
  <c r="E14"/>
  <c r="I14"/>
  <c r="E15"/>
  <c r="I15"/>
  <c r="E16"/>
  <c r="I16"/>
  <c r="E17"/>
  <c r="I17"/>
  <c r="E18"/>
  <c r="I18"/>
  <c r="E19"/>
  <c r="I19"/>
  <c r="E20"/>
  <c r="I20"/>
  <c r="E21"/>
  <c r="I21"/>
  <c r="E22"/>
  <c r="I22"/>
  <c r="E23"/>
  <c r="I23"/>
  <c r="E24"/>
  <c r="I24"/>
  <c r="E25"/>
  <c r="I25"/>
  <c r="E26"/>
  <c r="I26"/>
  <c r="E27"/>
  <c r="I27"/>
  <c r="E28"/>
  <c r="I28"/>
  <c r="E29"/>
  <c r="I29"/>
  <c r="E30"/>
  <c r="I30"/>
  <c r="E31"/>
  <c r="I31"/>
  <c r="E32"/>
  <c r="I32"/>
  <c r="E33"/>
  <c r="I33"/>
  <c r="E34"/>
  <c r="I34"/>
  <c r="E35"/>
  <c r="I35"/>
  <c r="E36"/>
  <c r="I36"/>
  <c r="E37"/>
  <c r="I37"/>
  <c r="E38"/>
  <c r="I38"/>
  <c r="E39"/>
  <c r="E48" s="1"/>
  <c r="E53" s="1"/>
  <c r="I39"/>
  <c r="E40"/>
  <c r="I40"/>
  <c r="E41"/>
  <c r="I41"/>
  <c r="E42"/>
  <c r="I42"/>
  <c r="E43"/>
  <c r="I43"/>
  <c r="E44"/>
  <c r="I44"/>
  <c r="E45"/>
  <c r="I45"/>
  <c r="E46"/>
  <c r="B48"/>
  <c r="C48"/>
  <c r="C53" s="1"/>
  <c r="D48"/>
  <c r="E50"/>
  <c r="E51"/>
  <c r="B53"/>
  <c r="D53"/>
  <c r="A5" i="38662"/>
  <c r="B11"/>
  <c r="C11" s="1"/>
  <c r="B12"/>
  <c r="C12" s="1"/>
  <c r="B12" i="38654" s="1"/>
  <c r="B13" i="38662"/>
  <c r="C13" s="1"/>
  <c r="B13" i="38654" s="1"/>
  <c r="D13" s="1"/>
  <c r="B14" i="38662"/>
  <c r="C14"/>
  <c r="B14" i="38654" s="1"/>
  <c r="D14" s="1"/>
  <c r="B15" i="38662"/>
  <c r="C15"/>
  <c r="B15" i="38654" s="1"/>
  <c r="D15" s="1"/>
  <c r="B16" i="38662"/>
  <c r="C16"/>
  <c r="B16" i="38654" s="1"/>
  <c r="D16" s="1"/>
  <c r="B17" i="38662"/>
  <c r="C17"/>
  <c r="B17" i="38654" s="1"/>
  <c r="D17" s="1"/>
  <c r="B18" i="38662"/>
  <c r="C18"/>
  <c r="B18" i="38654" s="1"/>
  <c r="D18" s="1"/>
  <c r="B19" i="38662"/>
  <c r="C19"/>
  <c r="B19" i="38654" s="1"/>
  <c r="D19" s="1"/>
  <c r="B20" i="38662"/>
  <c r="C20"/>
  <c r="B20" i="38654" s="1"/>
  <c r="D20" s="1"/>
  <c r="B21" i="38662"/>
  <c r="C21"/>
  <c r="B21" i="38654" s="1"/>
  <c r="D21" s="1"/>
  <c r="B22" i="38662"/>
  <c r="C22"/>
  <c r="B22" i="38654" s="1"/>
  <c r="D22" s="1"/>
  <c r="B23" i="38662"/>
  <c r="C23"/>
  <c r="B23" i="38654" s="1"/>
  <c r="D23" s="1"/>
  <c r="B24" i="38662"/>
  <c r="C24"/>
  <c r="B24" i="38654" s="1"/>
  <c r="D24" s="1"/>
  <c r="B25" i="38662"/>
  <c r="C25"/>
  <c r="B25" i="38654" s="1"/>
  <c r="D25" s="1"/>
  <c r="B26" i="38662"/>
  <c r="C26"/>
  <c r="B26" i="38654" s="1"/>
  <c r="D26" s="1"/>
  <c r="B27" i="38662"/>
  <c r="C27"/>
  <c r="B27" i="38654" s="1"/>
  <c r="D27" s="1"/>
  <c r="B28" i="38662"/>
  <c r="C28"/>
  <c r="B28" i="38654" s="1"/>
  <c r="D28" s="1"/>
  <c r="B29" i="38662"/>
  <c r="C29"/>
  <c r="B29" i="38654" s="1"/>
  <c r="D29" s="1"/>
  <c r="B30" i="38662"/>
  <c r="C30"/>
  <c r="B30" i="38654" s="1"/>
  <c r="D30" s="1"/>
  <c r="B31" i="38662"/>
  <c r="C31"/>
  <c r="B31" i="38654" s="1"/>
  <c r="D31" s="1"/>
  <c r="B32" i="38662"/>
  <c r="C32"/>
  <c r="B32" i="38654" s="1"/>
  <c r="D32" s="1"/>
  <c r="B33" i="38662"/>
  <c r="C33"/>
  <c r="B33" i="38654" s="1"/>
  <c r="D33" s="1"/>
  <c r="B34" i="38662"/>
  <c r="C34"/>
  <c r="B34" i="38654" s="1"/>
  <c r="D34" s="1"/>
  <c r="B35" i="38662"/>
  <c r="C35"/>
  <c r="B35" i="38654" s="1"/>
  <c r="D35" s="1"/>
  <c r="B36" i="38662"/>
  <c r="C36"/>
  <c r="B36" i="38654" s="1"/>
  <c r="D36" s="1"/>
  <c r="B37" i="38662"/>
  <c r="C37"/>
  <c r="B37" i="38654" s="1"/>
  <c r="D37" s="1"/>
  <c r="B38" i="38662"/>
  <c r="C38"/>
  <c r="B38" i="38654" s="1"/>
  <c r="D38" s="1"/>
  <c r="B39" i="38662"/>
  <c r="C39"/>
  <c r="B39" i="38654" s="1"/>
  <c r="D39" s="1"/>
  <c r="B40" i="38662"/>
  <c r="C40"/>
  <c r="B40" i="38654" s="1"/>
  <c r="D40" s="1"/>
  <c r="B41" i="38662"/>
  <c r="C41"/>
  <c r="B41" i="38654" s="1"/>
  <c r="D41" s="1"/>
  <c r="B42" i="38662"/>
  <c r="C42"/>
  <c r="B42" i="38654" s="1"/>
  <c r="D42" s="1"/>
  <c r="B43" i="38662"/>
  <c r="C43"/>
  <c r="B43" i="38654" s="1"/>
  <c r="D43" s="1"/>
  <c r="B44" i="38662"/>
  <c r="C44"/>
  <c r="B44" i="38654" s="1"/>
  <c r="D44" s="1"/>
  <c r="B45" i="38662"/>
  <c r="C45"/>
  <c r="B45" i="38654" s="1"/>
  <c r="D45" s="1"/>
  <c r="B46" i="38662"/>
  <c r="C46"/>
  <c r="B46" i="38654" s="1"/>
  <c r="D46" s="1"/>
  <c r="B50" i="38662"/>
  <c r="B51"/>
  <c r="C51" s="1"/>
  <c r="A2" i="38665"/>
  <c r="A2" i="38670"/>
  <c r="B2" i="48"/>
  <c r="E7" i="70"/>
  <c r="D14" i="40"/>
  <c r="D27"/>
  <c r="D50"/>
  <c r="D50" i="39"/>
  <c r="F50"/>
  <c r="H50"/>
  <c r="D21" i="21"/>
  <c r="D11" i="16"/>
  <c r="D12"/>
  <c r="D13"/>
  <c r="D14"/>
  <c r="D48" s="1"/>
  <c r="D15"/>
  <c r="D16"/>
  <c r="D17"/>
  <c r="D18"/>
  <c r="D19"/>
  <c r="D20"/>
  <c r="D21"/>
  <c r="D22"/>
  <c r="D23"/>
  <c r="D24"/>
  <c r="D25"/>
  <c r="D26"/>
  <c r="D27"/>
  <c r="D28"/>
  <c r="D29"/>
  <c r="D30"/>
  <c r="D31"/>
  <c r="D32"/>
  <c r="D33"/>
  <c r="D34"/>
  <c r="D35"/>
  <c r="D36"/>
  <c r="D37"/>
  <c r="D38"/>
  <c r="D39"/>
  <c r="D40"/>
  <c r="D41"/>
  <c r="D42"/>
  <c r="D43"/>
  <c r="D44"/>
  <c r="D45"/>
  <c r="D46"/>
  <c r="B48"/>
  <c r="C48"/>
  <c r="F48"/>
  <c r="G48"/>
  <c r="D50"/>
  <c r="D51"/>
  <c r="B3" i="14"/>
  <c r="B3" i="17" s="1"/>
  <c r="B48" i="6"/>
  <c r="A3" i="5"/>
  <c r="B3" i="40" s="1"/>
  <c r="B3" i="36"/>
  <c r="B3" i="26"/>
  <c r="B3" i="20"/>
  <c r="A3" i="41"/>
  <c r="B3" i="37"/>
  <c r="B3" i="35"/>
  <c r="B3" i="38655"/>
  <c r="B3" i="25"/>
  <c r="B3" i="38661"/>
  <c r="C3" i="11"/>
  <c r="B3" i="10"/>
  <c r="B3" i="7"/>
  <c r="B3" i="9"/>
  <c r="B3" i="8"/>
  <c r="B3" i="15"/>
  <c r="C2" i="21"/>
  <c r="C2" i="23"/>
  <c r="B3" i="18"/>
  <c r="B3" i="19"/>
  <c r="F11" i="38651"/>
  <c r="G11"/>
  <c r="C48" i="38654"/>
  <c r="D2" i="22"/>
  <c r="B48" i="38662"/>
  <c r="B53"/>
  <c r="D9" i="38667"/>
  <c r="G9"/>
  <c r="G30" i="8"/>
  <c r="E30" i="7"/>
  <c r="G30" i="9"/>
  <c r="E30" i="33"/>
  <c r="G30" i="47"/>
  <c r="H30" i="20"/>
  <c r="C30" i="38670"/>
  <c r="B30"/>
  <c r="E51" i="7"/>
  <c r="F51"/>
  <c r="J51" i="9"/>
  <c r="G51"/>
  <c r="C51" i="15"/>
  <c r="G50" i="8"/>
  <c r="J45" i="9"/>
  <c r="G44" i="8"/>
  <c r="J44" i="9"/>
  <c r="G43" i="8"/>
  <c r="E43" i="7"/>
  <c r="F43"/>
  <c r="J43" i="9"/>
  <c r="G43"/>
  <c r="E42" i="7"/>
  <c r="J42" i="9"/>
  <c r="G41" i="8"/>
  <c r="E41" i="7"/>
  <c r="F41" s="1"/>
  <c r="J41" i="9"/>
  <c r="G41"/>
  <c r="E40" i="7"/>
  <c r="J39" i="9"/>
  <c r="G39"/>
  <c r="E38" i="7"/>
  <c r="G37" i="8"/>
  <c r="G37" i="9"/>
  <c r="E36" i="7"/>
  <c r="D36" s="1"/>
  <c r="J36" i="9"/>
  <c r="G36"/>
  <c r="C36" i="15"/>
  <c r="E35" i="7"/>
  <c r="G35" i="9"/>
  <c r="G34"/>
  <c r="C34" i="15"/>
  <c r="E34" s="1"/>
  <c r="E33" i="7"/>
  <c r="H33" s="1"/>
  <c r="J33" i="9"/>
  <c r="G33"/>
  <c r="G32" i="8"/>
  <c r="G32" i="9"/>
  <c r="E31" i="7"/>
  <c r="F31" s="1"/>
  <c r="J31" i="9"/>
  <c r="G29" i="8"/>
  <c r="G29" i="9"/>
  <c r="G28" i="8"/>
  <c r="J28" i="9"/>
  <c r="G28"/>
  <c r="C28" i="15"/>
  <c r="E27" i="7"/>
  <c r="J27" i="9"/>
  <c r="G26"/>
  <c r="E25" i="7"/>
  <c r="G25" i="9"/>
  <c r="G24"/>
  <c r="C24" i="15"/>
  <c r="J23" i="9"/>
  <c r="G23"/>
  <c r="G22" i="8"/>
  <c r="J22" i="9"/>
  <c r="G22"/>
  <c r="G21" i="8"/>
  <c r="J21" i="9"/>
  <c r="E20" i="7"/>
  <c r="I20" s="1"/>
  <c r="J20" i="9"/>
  <c r="E19" i="7"/>
  <c r="D19" s="1"/>
  <c r="J19" i="9"/>
  <c r="G18" i="8"/>
  <c r="J18" i="9"/>
  <c r="G18"/>
  <c r="C18" i="15"/>
  <c r="E18" s="1"/>
  <c r="E17" i="7"/>
  <c r="J17" i="9"/>
  <c r="G17"/>
  <c r="C17" i="15"/>
  <c r="E17" s="1"/>
  <c r="G17" i="18" s="1"/>
  <c r="J16" i="9"/>
  <c r="G16"/>
  <c r="C16" i="15"/>
  <c r="E16" s="1"/>
  <c r="E15" i="7"/>
  <c r="J15" i="9"/>
  <c r="G14" i="8"/>
  <c r="E14" i="7"/>
  <c r="F14" s="1"/>
  <c r="E12"/>
  <c r="F12" s="1"/>
  <c r="B48" i="15"/>
  <c r="H48" i="14"/>
  <c r="E11" i="7"/>
  <c r="H51" i="39"/>
  <c r="F51"/>
  <c r="D51" i="40"/>
  <c r="D51" i="39"/>
  <c r="H27"/>
  <c r="F27"/>
  <c r="C48"/>
  <c r="C48" i="40"/>
  <c r="C51" i="38670"/>
  <c r="C50"/>
  <c r="B50" s="1"/>
  <c r="C46"/>
  <c r="B46" s="1"/>
  <c r="C45"/>
  <c r="B45" s="1"/>
  <c r="C44"/>
  <c r="C43"/>
  <c r="C42"/>
  <c r="B42" s="1"/>
  <c r="C41"/>
  <c r="B41" s="1"/>
  <c r="C40"/>
  <c r="C39"/>
  <c r="B39" s="1"/>
  <c r="C38"/>
  <c r="B38" s="1"/>
  <c r="C37"/>
  <c r="B37" s="1"/>
  <c r="C36"/>
  <c r="C35"/>
  <c r="B35" s="1"/>
  <c r="C34"/>
  <c r="C33"/>
  <c r="B33" s="1"/>
  <c r="C32"/>
  <c r="C31"/>
  <c r="B31" s="1"/>
  <c r="C29"/>
  <c r="B29" s="1"/>
  <c r="C28"/>
  <c r="B28" s="1"/>
  <c r="C27"/>
  <c r="B27" s="1"/>
  <c r="C26"/>
  <c r="B26" s="1"/>
  <c r="C25"/>
  <c r="B25" s="1"/>
  <c r="C24"/>
  <c r="B24" s="1"/>
  <c r="C23"/>
  <c r="B23" s="1"/>
  <c r="C22"/>
  <c r="C21"/>
  <c r="B21" s="1"/>
  <c r="C20"/>
  <c r="B20" s="1"/>
  <c r="C19"/>
  <c r="B19" s="1"/>
  <c r="C18"/>
  <c r="C17"/>
  <c r="C16"/>
  <c r="C15"/>
  <c r="B15"/>
  <c r="C14"/>
  <c r="C13"/>
  <c r="B13" s="1"/>
  <c r="C12"/>
  <c r="B12" s="1"/>
  <c r="C11"/>
  <c r="B11" s="1"/>
  <c r="D48" i="48"/>
  <c r="E45" i="33"/>
  <c r="E44"/>
  <c r="E43"/>
  <c r="E42"/>
  <c r="E40"/>
  <c r="E38"/>
  <c r="E36"/>
  <c r="E35"/>
  <c r="E33"/>
  <c r="E31"/>
  <c r="E25"/>
  <c r="E23"/>
  <c r="E21"/>
  <c r="E14"/>
  <c r="F48" i="38"/>
  <c r="H51" i="20"/>
  <c r="H50"/>
  <c r="H46"/>
  <c r="H45"/>
  <c r="H43"/>
  <c r="H39"/>
  <c r="H37"/>
  <c r="H35"/>
  <c r="H31"/>
  <c r="H26"/>
  <c r="H24"/>
  <c r="H22"/>
  <c r="H20"/>
  <c r="H19"/>
  <c r="H18"/>
  <c r="H17"/>
  <c r="B33" i="41"/>
  <c r="D33" s="1"/>
  <c r="K39" i="3188"/>
  <c r="C39" i="5"/>
  <c r="G48" i="81"/>
  <c r="E51" i="38648"/>
  <c r="B45" i="39"/>
  <c r="H45"/>
  <c r="F51" i="41"/>
  <c r="E41" i="38658"/>
  <c r="F38" i="41"/>
  <c r="G38"/>
  <c r="F36"/>
  <c r="G36"/>
  <c r="B30"/>
  <c r="D30"/>
  <c r="F23"/>
  <c r="G23"/>
  <c r="E22" i="38658"/>
  <c r="B17" i="41"/>
  <c r="F13"/>
  <c r="G13"/>
  <c r="B38"/>
  <c r="D38"/>
  <c r="B36"/>
  <c r="D36"/>
  <c r="E32" i="38658"/>
  <c r="B22" i="20"/>
  <c r="D12" i="19"/>
  <c r="E46" i="18"/>
  <c r="D15" i="19"/>
  <c r="B15" i="41"/>
  <c r="D15" s="1"/>
  <c r="B14" i="39"/>
  <c r="B23"/>
  <c r="B23" i="41"/>
  <c r="D23" s="1"/>
  <c r="H26" i="18"/>
  <c r="H23"/>
  <c r="B19" i="39"/>
  <c r="F19" s="1"/>
  <c r="B37" i="41"/>
  <c r="E36" i="38658"/>
  <c r="E34"/>
  <c r="F19" i="41"/>
  <c r="G19" s="1"/>
  <c r="E21" i="38658"/>
  <c r="E17"/>
  <c r="B31" i="39"/>
  <c r="D31" s="1"/>
  <c r="B34" i="41"/>
  <c r="B25"/>
  <c r="D25" s="1"/>
  <c r="B19"/>
  <c r="D19" s="1"/>
  <c r="E45" i="18"/>
  <c r="K45" i="38667" s="1"/>
  <c r="H46" i="18"/>
  <c r="H41"/>
  <c r="H37"/>
  <c r="H36"/>
  <c r="H33"/>
  <c r="H31"/>
  <c r="H21"/>
  <c r="H12"/>
  <c r="E29"/>
  <c r="H39"/>
  <c r="H34"/>
  <c r="H29"/>
  <c r="H28"/>
  <c r="H27"/>
  <c r="H17"/>
  <c r="B17" i="19"/>
  <c r="D27"/>
  <c r="B44" i="39"/>
  <c r="B41"/>
  <c r="B37"/>
  <c r="F37"/>
  <c r="D37"/>
  <c r="B33"/>
  <c r="F33" s="1"/>
  <c r="B31" i="40"/>
  <c r="D31" s="1"/>
  <c r="B28" i="39"/>
  <c r="F28" s="1"/>
  <c r="B26"/>
  <c r="H26"/>
  <c r="B26" i="40"/>
  <c r="B20" i="39"/>
  <c r="D20" s="1"/>
  <c r="B19" i="20"/>
  <c r="B18" i="39"/>
  <c r="F18"/>
  <c r="B15"/>
  <c r="E47" i="38658"/>
  <c r="F40" i="41"/>
  <c r="G40"/>
  <c r="E42" i="38658"/>
  <c r="E33"/>
  <c r="F27" i="41"/>
  <c r="G27"/>
  <c r="B27"/>
  <c r="D27"/>
  <c r="F26"/>
  <c r="G26"/>
  <c r="E28" i="38658"/>
  <c r="E18"/>
  <c r="B27" i="39"/>
  <c r="B21"/>
  <c r="H21" s="1"/>
  <c r="B21" i="40"/>
  <c r="D21" s="1"/>
  <c r="B13" i="39"/>
  <c r="F13" s="1"/>
  <c r="B46" i="41"/>
  <c r="F44"/>
  <c r="G44" s="1"/>
  <c r="E35" i="38658"/>
  <c r="F18" i="41"/>
  <c r="G18"/>
  <c r="B18"/>
  <c r="E19" i="38658"/>
  <c r="B14" i="41"/>
  <c r="H50" i="18"/>
  <c r="B15" i="19"/>
  <c r="G28" i="38658"/>
  <c r="G35"/>
  <c r="B14" i="76"/>
  <c r="B26"/>
  <c r="B35"/>
  <c r="B36"/>
  <c r="B37"/>
  <c r="B40"/>
  <c r="B44"/>
  <c r="D20" i="19"/>
  <c r="B20" i="76"/>
  <c r="B22"/>
  <c r="G28" i="19"/>
  <c r="B24" i="76"/>
  <c r="B32"/>
  <c r="B33"/>
  <c r="B39"/>
  <c r="B16"/>
  <c r="B28"/>
  <c r="B34"/>
  <c r="E11" i="33"/>
  <c r="E17"/>
  <c r="G48" i="14"/>
  <c r="E21" i="7"/>
  <c r="E29"/>
  <c r="D19" i="32"/>
  <c r="D21"/>
  <c r="D23"/>
  <c r="D27"/>
  <c r="D38"/>
  <c r="D40"/>
  <c r="D44"/>
  <c r="G13" i="38663"/>
  <c r="G34"/>
  <c r="G38"/>
  <c r="D38" i="19"/>
  <c r="B12" i="76"/>
  <c r="G22" i="19"/>
  <c r="G41"/>
  <c r="G40" i="47"/>
  <c r="D25" i="32"/>
  <c r="B42" i="41"/>
  <c r="B28"/>
  <c r="B20"/>
  <c r="D20" s="1"/>
  <c r="E16" i="33"/>
  <c r="E22"/>
  <c r="E24"/>
  <c r="D26" i="32"/>
  <c r="D28"/>
  <c r="D33"/>
  <c r="D37"/>
  <c r="E37" i="33"/>
  <c r="G12" i="38663"/>
  <c r="G24"/>
  <c r="F48"/>
  <c r="G28"/>
  <c r="G31"/>
  <c r="G33"/>
  <c r="G41"/>
  <c r="G24" i="19"/>
  <c r="B51" i="20"/>
  <c r="B50" i="40"/>
  <c r="B50" i="39"/>
  <c r="B44" i="20"/>
  <c r="B42" i="40"/>
  <c r="D42"/>
  <c r="B38"/>
  <c r="D38"/>
  <c r="E42" i="20"/>
  <c r="E44" i="38658"/>
  <c r="G44" s="1"/>
  <c r="I44" s="1"/>
  <c r="F39" i="41"/>
  <c r="G39"/>
  <c r="E38" i="38658"/>
  <c r="G38"/>
  <c r="E30" i="20"/>
  <c r="E25" i="38658"/>
  <c r="F22" i="41"/>
  <c r="F20"/>
  <c r="F14"/>
  <c r="G14" s="1"/>
  <c r="E13" i="20"/>
  <c r="E15" i="38658"/>
  <c r="E14"/>
  <c r="E13"/>
  <c r="G13"/>
  <c r="D31" i="32"/>
  <c r="G23" i="19"/>
  <c r="L23" i="38667" s="1"/>
  <c r="E34" i="38648"/>
  <c r="F43" i="41"/>
  <c r="G43" s="1"/>
  <c r="E43" i="18"/>
  <c r="K43" i="38667" s="1"/>
  <c r="H48" i="3188"/>
  <c r="K15"/>
  <c r="C15" i="5"/>
  <c r="K27" i="3188"/>
  <c r="C27" i="5"/>
  <c r="D37" i="9"/>
  <c r="D11"/>
  <c r="K29" i="3188"/>
  <c r="C29" i="5"/>
  <c r="D27" i="9"/>
  <c r="G15" i="8"/>
  <c r="D12" i="9"/>
  <c r="E52" i="38658"/>
  <c r="B29" i="41"/>
  <c r="D29"/>
  <c r="G17" i="8"/>
  <c r="D40" i="7"/>
  <c r="D40" i="9"/>
  <c r="J24"/>
  <c r="D28"/>
  <c r="E29" i="20"/>
  <c r="D16" i="9"/>
  <c r="B16" i="19"/>
  <c r="H16" i="18"/>
  <c r="E16" i="5"/>
  <c r="E26" i="38648"/>
  <c r="J25" i="9"/>
  <c r="E42" i="38648"/>
  <c r="D25" i="9"/>
  <c r="B41" i="19"/>
  <c r="D23" i="9"/>
  <c r="B42" i="20"/>
  <c r="B26"/>
  <c r="K50" i="3188"/>
  <c r="C50" i="5"/>
  <c r="D34" i="9"/>
  <c r="G34" i="8"/>
  <c r="K35" i="3188"/>
  <c r="C35" i="5"/>
  <c r="K37" i="3188"/>
  <c r="C37" i="5"/>
  <c r="K33" i="3188"/>
  <c r="C33" i="5"/>
  <c r="G40" i="8"/>
  <c r="D31" i="9"/>
  <c r="D24" i="8"/>
  <c r="D21" i="9"/>
  <c r="E34" i="18"/>
  <c r="J40" i="9"/>
  <c r="D38"/>
  <c r="D35"/>
  <c r="K34" i="3188"/>
  <c r="C34" i="5" s="1"/>
  <c r="D34" s="1"/>
  <c r="G31" i="8"/>
  <c r="G26"/>
  <c r="G20"/>
  <c r="G19"/>
  <c r="H24" i="18"/>
  <c r="D42" i="9"/>
  <c r="D44"/>
  <c r="D22"/>
  <c r="F31" i="41"/>
  <c r="G31" s="1"/>
  <c r="B21" i="20"/>
  <c r="B18"/>
  <c r="D18" s="1"/>
  <c r="F16" i="41"/>
  <c r="G16" s="1"/>
  <c r="F15"/>
  <c r="E16" i="38648"/>
  <c r="E19"/>
  <c r="D33" i="9"/>
  <c r="F46" i="41"/>
  <c r="G46"/>
  <c r="E45" i="38658"/>
  <c r="J38" i="9"/>
  <c r="G44"/>
  <c r="J13"/>
  <c r="E33" i="38648"/>
  <c r="B44" i="19"/>
  <c r="D24"/>
  <c r="B17" i="40"/>
  <c r="B16" i="41"/>
  <c r="E29" i="38648"/>
  <c r="D41" i="9"/>
  <c r="G51" i="8"/>
  <c r="E35" i="18"/>
  <c r="E51"/>
  <c r="E38"/>
  <c r="K38" i="38667" s="1"/>
  <c r="E36" i="18"/>
  <c r="B38" i="19"/>
  <c r="D26"/>
  <c r="G51"/>
  <c r="G14"/>
  <c r="E37" i="38658"/>
  <c r="H51" i="18"/>
  <c r="H38"/>
  <c r="B42" i="19"/>
  <c r="B35"/>
  <c r="D40"/>
  <c r="D35"/>
  <c r="B31" i="20"/>
  <c r="E28" i="76"/>
  <c r="B46" i="20"/>
  <c r="B46" i="40"/>
  <c r="D46"/>
  <c r="B28"/>
  <c r="D28"/>
  <c r="B50" i="41"/>
  <c r="B41"/>
  <c r="D41" s="1"/>
  <c r="B35"/>
  <c r="D35" s="1"/>
  <c r="F24"/>
  <c r="G24" s="1"/>
  <c r="E26" i="38658"/>
  <c r="G26" s="1"/>
  <c r="B21" i="41"/>
  <c r="D21" s="1"/>
  <c r="E14" i="20"/>
  <c r="B12" i="41"/>
  <c r="D12" s="1"/>
  <c r="E48" i="38658"/>
  <c r="G48" s="1"/>
  <c r="E45" i="20"/>
  <c r="B44" i="41"/>
  <c r="E43" i="38658"/>
  <c r="G43" s="1"/>
  <c r="B39" i="41"/>
  <c r="D39" s="1"/>
  <c r="E35" i="20"/>
  <c r="E29" i="38658"/>
  <c r="G29" s="1"/>
  <c r="B24" i="41"/>
  <c r="D24" s="1"/>
  <c r="F21"/>
  <c r="G21" s="1"/>
  <c r="E23" i="38658"/>
  <c r="F12" i="41"/>
  <c r="G21" i="38658"/>
  <c r="G15" i="19"/>
  <c r="B51" i="76"/>
  <c r="E51" s="1"/>
  <c r="B46"/>
  <c r="K31" i="3188"/>
  <c r="C31" i="5" s="1"/>
  <c r="D31" s="1"/>
  <c r="B19" i="76"/>
  <c r="G19" i="38658"/>
  <c r="F19" i="38659"/>
  <c r="G26" i="19"/>
  <c r="G44"/>
  <c r="L44" i="38667" s="1"/>
  <c r="D24" i="9"/>
  <c r="F24" i="45"/>
  <c r="F32"/>
  <c r="D12" i="32"/>
  <c r="D43"/>
  <c r="G43" i="19"/>
  <c r="L43" i="38667" s="1"/>
  <c r="G36" i="38658"/>
  <c r="I36" s="1"/>
  <c r="F21" i="45"/>
  <c r="F30" i="41"/>
  <c r="G30" s="1"/>
  <c r="B38" i="39"/>
  <c r="D38" s="1"/>
  <c r="B39"/>
  <c r="F39"/>
  <c r="D39"/>
  <c r="B42"/>
  <c r="B23" i="76"/>
  <c r="F17" i="45"/>
  <c r="F15"/>
  <c r="B48" i="38661"/>
  <c r="F11" i="41"/>
  <c r="G11"/>
  <c r="B13"/>
  <c r="D13"/>
  <c r="B27" i="76"/>
  <c r="B42"/>
  <c r="B15"/>
  <c r="E15"/>
  <c r="D18" i="32"/>
  <c r="D14"/>
  <c r="D21" i="19"/>
  <c r="E22" i="18"/>
  <c r="K22" i="38667" s="1"/>
  <c r="E20" i="18"/>
  <c r="E25"/>
  <c r="K25" i="38667" s="1"/>
  <c r="E19" i="18"/>
  <c r="H43"/>
  <c r="E18"/>
  <c r="E15"/>
  <c r="K15" i="38667" s="1"/>
  <c r="E14" i="18"/>
  <c r="K14" i="38667" s="1"/>
  <c r="B48" i="10"/>
  <c r="E32" i="38648"/>
  <c r="D26" i="9"/>
  <c r="E13" i="38648"/>
  <c r="D13" i="9"/>
  <c r="E40" i="38648"/>
  <c r="D20" i="9"/>
  <c r="J34"/>
  <c r="J35"/>
  <c r="E36" i="38648"/>
  <c r="E38"/>
  <c r="E41"/>
  <c r="E39"/>
  <c r="E46"/>
  <c r="E44"/>
  <c r="E17"/>
  <c r="B44" i="18"/>
  <c r="E21" i="38648"/>
  <c r="E25"/>
  <c r="J37" i="9"/>
  <c r="D14" i="19"/>
  <c r="B36" i="18"/>
  <c r="J36" i="38667" s="1"/>
  <c r="D17" i="9"/>
  <c r="B24" i="18"/>
  <c r="D24" s="1"/>
  <c r="G24" i="8"/>
  <c r="E21" i="18"/>
  <c r="D32" i="19"/>
  <c r="D15" i="9"/>
  <c r="B32" i="39"/>
  <c r="B13" i="40"/>
  <c r="D13" s="1"/>
  <c r="D16" i="19"/>
  <c r="B43" i="76"/>
  <c r="E43" s="1"/>
  <c r="E48" i="38656"/>
  <c r="B43" i="41"/>
  <c r="D43" s="1"/>
  <c r="E43" i="38648"/>
  <c r="E45"/>
  <c r="E50"/>
  <c r="E18"/>
  <c r="E23"/>
  <c r="E35"/>
  <c r="E14"/>
  <c r="E27"/>
  <c r="E37"/>
  <c r="E11"/>
  <c r="E24"/>
  <c r="E30"/>
  <c r="E31"/>
  <c r="E12"/>
  <c r="E26" i="76"/>
  <c r="E28" i="38648"/>
  <c r="E22"/>
  <c r="E20"/>
  <c r="E15"/>
  <c r="E14" i="70"/>
  <c r="B21" i="38659"/>
  <c r="E21" s="1"/>
  <c r="J21" s="1"/>
  <c r="B48"/>
  <c r="E48"/>
  <c r="J48" s="1"/>
  <c r="D35" i="5"/>
  <c r="D27"/>
  <c r="E45" i="70"/>
  <c r="E48" i="38648"/>
  <c r="B40" i="38659"/>
  <c r="B38"/>
  <c r="E38" s="1"/>
  <c r="E33" i="70"/>
  <c r="E42"/>
  <c r="B15" i="38659"/>
  <c r="E15" s="1"/>
  <c r="J15" s="1"/>
  <c r="B17"/>
  <c r="E17" s="1"/>
  <c r="B28"/>
  <c r="E28" s="1"/>
  <c r="J28" s="1"/>
  <c r="E24" i="70"/>
  <c r="D37" i="5"/>
  <c r="E37" i="70"/>
  <c r="D50" i="5"/>
  <c r="C50" i="54" s="1"/>
  <c r="C50" i="38656"/>
  <c r="B48" i="48"/>
  <c r="C35" i="15"/>
  <c r="E35" s="1"/>
  <c r="B45" i="20"/>
  <c r="H25" i="7"/>
  <c r="B11" i="19"/>
  <c r="D36" i="32"/>
  <c r="D20"/>
  <c r="E48" i="39"/>
  <c r="I35" i="38666"/>
  <c r="B38" i="76"/>
  <c r="H12" i="20"/>
  <c r="G11" i="8"/>
  <c r="G12" i="9"/>
  <c r="G42"/>
  <c r="G46"/>
  <c r="G50"/>
  <c r="B39" i="40"/>
  <c r="D39" s="1"/>
  <c r="B51" i="39"/>
  <c r="B22" i="19"/>
  <c r="G42" i="47"/>
  <c r="G34"/>
  <c r="G25"/>
  <c r="G17"/>
  <c r="D32" i="32"/>
  <c r="I50" i="38659"/>
  <c r="I50" i="38666"/>
  <c r="I32"/>
  <c r="I18"/>
  <c r="C48"/>
  <c r="I11"/>
  <c r="F35" i="41"/>
  <c r="G35" s="1"/>
  <c r="D36" i="19"/>
  <c r="J11" i="9"/>
  <c r="C43" i="15"/>
  <c r="D13" i="32"/>
  <c r="B46" i="19"/>
  <c r="E46" i="5" s="1"/>
  <c r="C33" i="70"/>
  <c r="E50" i="33"/>
  <c r="G44" i="38663"/>
  <c r="D42" i="32"/>
  <c r="H19" i="18"/>
  <c r="F23" i="38658"/>
  <c r="F15"/>
  <c r="G15" s="1"/>
  <c r="D48" i="11"/>
  <c r="B21" i="76"/>
  <c r="F38" i="39"/>
  <c r="F34" i="41"/>
  <c r="G34"/>
  <c r="D46" i="9"/>
  <c r="B39" i="19"/>
  <c r="E24" i="20"/>
  <c r="E26" i="7"/>
  <c r="I26" s="1"/>
  <c r="C50" i="70"/>
  <c r="G12" i="41"/>
  <c r="B34" i="19"/>
  <c r="B15" i="40"/>
  <c r="C33" i="15"/>
  <c r="D33" i="8" s="1"/>
  <c r="J25" i="23"/>
  <c r="J44"/>
  <c r="G31" i="9"/>
  <c r="G33" i="47"/>
  <c r="G18"/>
  <c r="B50" i="38658"/>
  <c r="C50" i="38659"/>
  <c r="I43" i="38666"/>
  <c r="I41"/>
  <c r="I36"/>
  <c r="I30"/>
  <c r="I28"/>
  <c r="I25"/>
  <c r="I20"/>
  <c r="E48"/>
  <c r="D48"/>
  <c r="M48" i="3188"/>
  <c r="D44" i="19"/>
  <c r="B19"/>
  <c r="E46" i="7"/>
  <c r="F46"/>
  <c r="D50" i="38659"/>
  <c r="I44" i="38666"/>
  <c r="I34"/>
  <c r="I26"/>
  <c r="I21"/>
  <c r="G48"/>
  <c r="F48"/>
  <c r="F24" i="38658"/>
  <c r="I15" i="38666"/>
  <c r="G37" i="38651"/>
  <c r="I37" i="38648"/>
  <c r="G36" i="38651"/>
  <c r="I36" i="38648"/>
  <c r="G33" i="38651"/>
  <c r="I33" i="38648" s="1"/>
  <c r="G32" i="38651"/>
  <c r="I32" i="38648" s="1"/>
  <c r="G21" i="38651"/>
  <c r="I21" i="38648" s="1"/>
  <c r="G18" i="38651"/>
  <c r="J17" s="1"/>
  <c r="G17"/>
  <c r="I17" i="38648" s="1"/>
  <c r="G45" i="38651"/>
  <c r="I45" i="38648" s="1"/>
  <c r="G41" i="38651"/>
  <c r="I41" i="38648" s="1"/>
  <c r="G29" i="38651"/>
  <c r="I29" i="38648" s="1"/>
  <c r="G28" i="38651"/>
  <c r="J27" s="1"/>
  <c r="G25"/>
  <c r="I25" i="38648" s="1"/>
  <c r="G24" i="38651"/>
  <c r="I24" i="38648" s="1"/>
  <c r="I11"/>
  <c r="J11" i="38651"/>
  <c r="J31"/>
  <c r="J35"/>
  <c r="J44"/>
  <c r="J40"/>
  <c r="J36"/>
  <c r="J32"/>
  <c r="J20"/>
  <c r="J16"/>
  <c r="H51" i="7"/>
  <c r="H21"/>
  <c r="B34" i="40"/>
  <c r="D34" s="1"/>
  <c r="I17" i="21"/>
  <c r="C25" i="70"/>
  <c r="E40" i="38658"/>
  <c r="G40" s="1"/>
  <c r="G25" i="8"/>
  <c r="H25" i="18"/>
  <c r="B38" i="20"/>
  <c r="G39" i="38663"/>
  <c r="D34" i="32"/>
  <c r="B23" i="40"/>
  <c r="D23" s="1"/>
  <c r="B14"/>
  <c r="H15" i="18"/>
  <c r="E15" i="5"/>
  <c r="E28" i="33"/>
  <c r="J41" i="23"/>
  <c r="J13"/>
  <c r="F51"/>
  <c r="F39" i="38658"/>
  <c r="F22"/>
  <c r="J45" i="22"/>
  <c r="F17" i="21"/>
  <c r="D21" i="23"/>
  <c r="B39" i="38659"/>
  <c r="E39"/>
  <c r="B26" i="19"/>
  <c r="G27" i="47"/>
  <c r="G20"/>
  <c r="E44" i="7"/>
  <c r="H44" s="1"/>
  <c r="D50" i="38658"/>
  <c r="I40" i="38666"/>
  <c r="I22"/>
  <c r="I16"/>
  <c r="H48"/>
  <c r="J15" i="23"/>
  <c r="F16" i="45"/>
  <c r="G35" i="38663"/>
  <c r="H41" i="39"/>
  <c r="B30" i="19"/>
  <c r="G43" i="47"/>
  <c r="G32"/>
  <c r="G24"/>
  <c r="G19"/>
  <c r="D30" i="32"/>
  <c r="C26" i="15"/>
  <c r="H50" i="38658"/>
  <c r="I51" i="38666"/>
  <c r="I46"/>
  <c r="I45"/>
  <c r="I42"/>
  <c r="I39"/>
  <c r="I38"/>
  <c r="I37"/>
  <c r="I33"/>
  <c r="I31"/>
  <c r="I29"/>
  <c r="I27"/>
  <c r="I24"/>
  <c r="I23"/>
  <c r="I19"/>
  <c r="I17"/>
  <c r="I14"/>
  <c r="I13"/>
  <c r="I12"/>
  <c r="B48"/>
  <c r="F39" i="23"/>
  <c r="E21" i="21" s="1"/>
  <c r="G48" i="11"/>
  <c r="E27" i="76"/>
  <c r="H39" i="39"/>
  <c r="G20" i="19"/>
  <c r="F18" i="52"/>
  <c r="B18" i="43"/>
  <c r="F18"/>
  <c r="H18" s="1"/>
  <c r="G50" i="19"/>
  <c r="H50" s="1"/>
  <c r="E19" i="33"/>
  <c r="F17" i="52"/>
  <c r="B17" i="43"/>
  <c r="F17" s="1"/>
  <c r="H17" s="1"/>
  <c r="I17" i="45" s="1"/>
  <c r="G50" i="47"/>
  <c r="D45" i="32"/>
  <c r="D15"/>
  <c r="E45" i="7"/>
  <c r="G46" i="8"/>
  <c r="G47" i="38658"/>
  <c r="I47" s="1"/>
  <c r="B44" i="38659"/>
  <c r="E44" s="1"/>
  <c r="J44" s="1"/>
  <c r="F21" i="7"/>
  <c r="E19" i="70"/>
  <c r="D19" i="39"/>
  <c r="I12" i="7"/>
  <c r="G12"/>
  <c r="H12"/>
  <c r="D12"/>
  <c r="E40" i="38659"/>
  <c r="J40"/>
  <c r="K22" i="21"/>
  <c r="E33" i="15"/>
  <c r="J33" i="54" s="1"/>
  <c r="I38" i="7"/>
  <c r="B29" i="38659"/>
  <c r="E29" s="1"/>
  <c r="J29" s="1"/>
  <c r="H44" i="39"/>
  <c r="G42" i="7"/>
  <c r="D30"/>
  <c r="H30"/>
  <c r="C19" i="70"/>
  <c r="E27"/>
  <c r="C41"/>
  <c r="C11"/>
  <c r="C15"/>
  <c r="E15"/>
  <c r="C35"/>
  <c r="C37"/>
  <c r="C39"/>
  <c r="C17"/>
  <c r="C21"/>
  <c r="C29"/>
  <c r="C31"/>
  <c r="C43"/>
  <c r="C45"/>
  <c r="E17"/>
  <c r="B17" i="38670"/>
  <c r="B43"/>
  <c r="H28" i="39"/>
  <c r="G27" i="7"/>
  <c r="I27"/>
  <c r="F30"/>
  <c r="I21" i="38658"/>
  <c r="H20" i="18"/>
  <c r="C46" i="15"/>
  <c r="J19" i="23"/>
  <c r="J37"/>
  <c r="J42"/>
  <c r="G14" i="38663"/>
  <c r="E46" i="33"/>
  <c r="E16" i="7"/>
  <c r="G16" s="1"/>
  <c r="J43" i="23"/>
  <c r="G14" i="9"/>
  <c r="G20" i="41"/>
  <c r="B34" i="39"/>
  <c r="F42" i="41"/>
  <c r="G42" s="1"/>
  <c r="B13" i="76"/>
  <c r="E13" s="1"/>
  <c r="B31" i="41"/>
  <c r="B32" i="40"/>
  <c r="D32" s="1"/>
  <c r="D42" i="39"/>
  <c r="B23" i="20"/>
  <c r="D27" i="39"/>
  <c r="F26"/>
  <c r="G20" i="38663"/>
  <c r="D33" i="19"/>
  <c r="F33" s="1"/>
  <c r="H32" i="18"/>
  <c r="D50" i="32"/>
  <c r="D35"/>
  <c r="D24"/>
  <c r="E26" i="33"/>
  <c r="F34" i="39"/>
  <c r="E22" i="70"/>
  <c r="B24" i="38659"/>
  <c r="E24" s="1"/>
  <c r="J24" s="1"/>
  <c r="B22" i="39"/>
  <c r="E13" i="18"/>
  <c r="E24"/>
  <c r="D28" i="19"/>
  <c r="B15" i="20"/>
  <c r="G51" i="47"/>
  <c r="B26" i="38659"/>
  <c r="E26"/>
  <c r="J26" s="1"/>
  <c r="B33" i="18"/>
  <c r="J33" i="38667" s="1"/>
  <c r="F28" i="41"/>
  <c r="G28" s="1"/>
  <c r="G32" i="19"/>
  <c r="L32" i="38667" s="1"/>
  <c r="G40" i="19"/>
  <c r="L40" i="38667" s="1"/>
  <c r="H48" i="25"/>
  <c r="E23" i="18"/>
  <c r="K23" i="38667" s="1"/>
  <c r="F13" i="45"/>
  <c r="F29"/>
  <c r="G37" i="38658"/>
  <c r="I37" s="1"/>
  <c r="G50" i="38663"/>
  <c r="G43"/>
  <c r="D46" i="32"/>
  <c r="L22" i="38667"/>
  <c r="H18" i="18"/>
  <c r="H11"/>
  <c r="G32" i="38663"/>
  <c r="G40"/>
  <c r="G51"/>
  <c r="E22" i="7"/>
  <c r="E34"/>
  <c r="I34" s="1"/>
  <c r="E27" i="33"/>
  <c r="E51"/>
  <c r="E18" i="7"/>
  <c r="D48" i="44"/>
  <c r="F33" i="41"/>
  <c r="G33" s="1"/>
  <c r="G37" i="38663"/>
  <c r="G18"/>
  <c r="G27" i="19"/>
  <c r="B40"/>
  <c r="E44" i="18"/>
  <c r="G21" i="19"/>
  <c r="B25" i="18"/>
  <c r="K19" i="3188"/>
  <c r="C19" i="5"/>
  <c r="D19" s="1"/>
  <c r="D13" i="19"/>
  <c r="D46"/>
  <c r="B23"/>
  <c r="D22"/>
  <c r="D20" i="7"/>
  <c r="H18"/>
  <c r="E38" i="5"/>
  <c r="F33" i="7"/>
  <c r="B34" i="38659"/>
  <c r="E34" s="1"/>
  <c r="J34" s="1"/>
  <c r="B16" i="18"/>
  <c r="B46" i="39"/>
  <c r="H46" s="1"/>
  <c r="E16" i="76"/>
  <c r="E46" i="15"/>
  <c r="D46" i="38655" s="1"/>
  <c r="B17" i="39"/>
  <c r="D17" i="40"/>
  <c r="F29" i="41"/>
  <c r="G29"/>
  <c r="B40"/>
  <c r="G48" i="39"/>
  <c r="I19" i="7"/>
  <c r="G27" i="9"/>
  <c r="C27" i="15"/>
  <c r="E27"/>
  <c r="E28" i="7"/>
  <c r="I28"/>
  <c r="E28" i="15"/>
  <c r="G28" i="26"/>
  <c r="D20" i="21"/>
  <c r="J22" i="23"/>
  <c r="C12" i="70"/>
  <c r="C18"/>
  <c r="E18"/>
  <c r="H48" i="44"/>
  <c r="B41" i="20"/>
  <c r="F51" i="52"/>
  <c r="F50"/>
  <c r="K32" i="3188"/>
  <c r="C32" i="5" s="1"/>
  <c r="D32" s="1"/>
  <c r="D26" i="39"/>
  <c r="H37"/>
  <c r="J24" i="23"/>
  <c r="J38"/>
  <c r="G46" i="7"/>
  <c r="I17"/>
  <c r="I35"/>
  <c r="D43" i="9"/>
  <c r="F11" i="7"/>
  <c r="B25" i="76"/>
  <c r="E25" s="1"/>
  <c r="D25" i="19"/>
  <c r="B36" i="39"/>
  <c r="B11"/>
  <c r="D14" i="7"/>
  <c r="E37"/>
  <c r="I37" s="1"/>
  <c r="C37" i="15"/>
  <c r="E37" s="1"/>
  <c r="F15" i="21"/>
  <c r="E35" i="70"/>
  <c r="I25" i="7"/>
  <c r="D44"/>
  <c r="B50" i="76"/>
  <c r="E50" s="1"/>
  <c r="B41" i="40"/>
  <c r="D41" s="1"/>
  <c r="E38" i="20"/>
  <c r="F48" i="38665"/>
  <c r="E19" i="20"/>
  <c r="D50" i="9"/>
  <c r="D45"/>
  <c r="E26" i="18"/>
  <c r="B50" i="20"/>
  <c r="C50" s="1"/>
  <c r="D41" i="39"/>
  <c r="B51" i="40"/>
  <c r="L48" i="3188"/>
  <c r="H48" i="23"/>
  <c r="G25" i="21"/>
  <c r="H11" i="20"/>
  <c r="H38"/>
  <c r="H42"/>
  <c r="H44"/>
  <c r="D48" i="38"/>
  <c r="E18" i="33"/>
  <c r="C48" i="48"/>
  <c r="G15" i="38663"/>
  <c r="G17"/>
  <c r="G23"/>
  <c r="G25"/>
  <c r="B48" i="14"/>
  <c r="F33" i="38658"/>
  <c r="F14"/>
  <c r="B39" i="23"/>
  <c r="D11" i="7"/>
  <c r="E24" i="15"/>
  <c r="G24" i="20"/>
  <c r="J46" i="10"/>
  <c r="D46" i="27"/>
  <c r="D46" i="76" s="1"/>
  <c r="E46" i="16"/>
  <c r="D11" i="39"/>
  <c r="K43" i="3188"/>
  <c r="C43" i="5"/>
  <c r="D43" s="1"/>
  <c r="F15" i="39"/>
  <c r="F25" i="41"/>
  <c r="G25" s="1"/>
  <c r="G16" i="38663"/>
  <c r="B44" i="40"/>
  <c r="D44"/>
  <c r="D39" i="32"/>
  <c r="H38" i="39"/>
  <c r="J46" i="9"/>
  <c r="D24" i="38655"/>
  <c r="G24" i="18"/>
  <c r="B30" i="38659"/>
  <c r="E30" s="1"/>
  <c r="J30" s="1"/>
  <c r="C48" i="3188"/>
  <c r="K26" i="38667"/>
  <c r="G24" i="10"/>
  <c r="I24" i="11"/>
  <c r="C24" i="41"/>
  <c r="F20" i="7"/>
  <c r="F23" i="45"/>
  <c r="F27" i="38656"/>
  <c r="E25" i="70"/>
  <c r="B27" i="38659"/>
  <c r="E27"/>
  <c r="J27" s="1"/>
  <c r="B52"/>
  <c r="E52" s="1"/>
  <c r="J52" s="1"/>
  <c r="B36"/>
  <c r="E36" s="1"/>
  <c r="J36" s="1"/>
  <c r="H13" i="18"/>
  <c r="B11" i="40"/>
  <c r="D11"/>
  <c r="D16" i="41"/>
  <c r="D28" i="39"/>
  <c r="H33"/>
  <c r="D34" i="41"/>
  <c r="I40" i="7"/>
  <c r="J33" i="26"/>
  <c r="G25" i="7"/>
  <c r="F25"/>
  <c r="D25"/>
  <c r="E36" i="70"/>
  <c r="G16" i="8"/>
  <c r="B11" i="20"/>
  <c r="I11" i="7"/>
  <c r="E26" i="15"/>
  <c r="F26" i="11" s="1"/>
  <c r="J48" i="23"/>
  <c r="B46" i="38659"/>
  <c r="E46" s="1"/>
  <c r="J46" s="1"/>
  <c r="H44" i="18"/>
  <c r="E44" i="5" s="1"/>
  <c r="G22" i="47"/>
  <c r="E29" i="33"/>
  <c r="B45" i="19"/>
  <c r="D41" i="32"/>
  <c r="D29"/>
  <c r="F41" i="39"/>
  <c r="G25" i="38658"/>
  <c r="I25" s="1"/>
  <c r="I27" i="9"/>
  <c r="F14" i="39"/>
  <c r="D18"/>
  <c r="B19" i="38659"/>
  <c r="E19" s="1"/>
  <c r="J19" s="1"/>
  <c r="G28" i="38656"/>
  <c r="L27" i="38667"/>
  <c r="F21" i="38659"/>
  <c r="G21" s="1"/>
  <c r="K21" s="1"/>
  <c r="B45"/>
  <c r="E45" s="1"/>
  <c r="J45" s="1"/>
  <c r="E43" i="70"/>
  <c r="L28" i="38667"/>
  <c r="H37" i="7"/>
  <c r="F37"/>
  <c r="F36" i="39"/>
  <c r="H36"/>
  <c r="D36"/>
  <c r="G27" i="34"/>
  <c r="I27" i="38655"/>
  <c r="E27" i="34"/>
  <c r="C27" i="54"/>
  <c r="C27" i="38656"/>
  <c r="K24" i="38667"/>
  <c r="K13"/>
  <c r="F22" i="39"/>
  <c r="F47" i="38659"/>
  <c r="B42"/>
  <c r="E42" s="1"/>
  <c r="J42" s="1"/>
  <c r="E39" i="70"/>
  <c r="L15" i="38667"/>
  <c r="G22" i="41"/>
  <c r="E19" i="21"/>
  <c r="B53" i="23"/>
  <c r="G11" i="7"/>
  <c r="H11"/>
  <c r="H19"/>
  <c r="F19"/>
  <c r="L21" i="38667"/>
  <c r="D33" i="26"/>
  <c r="G33" i="38656"/>
  <c r="I33" i="11"/>
  <c r="D33" i="27"/>
  <c r="D33" i="76" s="1"/>
  <c r="D33" i="54"/>
  <c r="G33" i="10"/>
  <c r="E33" i="41"/>
  <c r="E33" i="16"/>
  <c r="D33" i="38655"/>
  <c r="C33" i="41"/>
  <c r="G33" i="38655"/>
  <c r="D33" i="38661"/>
  <c r="L20" i="38667"/>
  <c r="E51" i="15"/>
  <c r="E51" i="41" s="1"/>
  <c r="D51" i="8"/>
  <c r="G36" i="7"/>
  <c r="H36"/>
  <c r="F36"/>
  <c r="I36"/>
  <c r="D38"/>
  <c r="H38"/>
  <c r="F38"/>
  <c r="G38"/>
  <c r="F26"/>
  <c r="G26"/>
  <c r="H26"/>
  <c r="E16" i="70"/>
  <c r="B18" i="38659"/>
  <c r="E18" s="1"/>
  <c r="J18" s="1"/>
  <c r="B31"/>
  <c r="E31" s="1"/>
  <c r="J31" s="1"/>
  <c r="E29" i="70"/>
  <c r="D13" i="39"/>
  <c r="D21"/>
  <c r="F21"/>
  <c r="D17" i="41"/>
  <c r="F16" i="7"/>
  <c r="D45"/>
  <c r="G31"/>
  <c r="I31"/>
  <c r="H31"/>
  <c r="E36" i="15"/>
  <c r="C36" i="41" s="1"/>
  <c r="D36" i="8"/>
  <c r="B13" i="38659"/>
  <c r="E13" s="1"/>
  <c r="J13" s="1"/>
  <c r="E11" i="70"/>
  <c r="B25" i="38659"/>
  <c r="E25" s="1"/>
  <c r="E23" i="70"/>
  <c r="D51" i="38656"/>
  <c r="D51" i="20"/>
  <c r="D51" i="38655"/>
  <c r="E51" i="16"/>
  <c r="J51" i="26"/>
  <c r="F51" i="11"/>
  <c r="I51" i="19"/>
  <c r="J51" i="20"/>
  <c r="D51" i="54"/>
  <c r="C27" i="27"/>
  <c r="C27" i="76" s="1"/>
  <c r="E27" i="35"/>
  <c r="G43" i="7"/>
  <c r="I43"/>
  <c r="G19"/>
  <c r="F28"/>
  <c r="D33" i="10"/>
  <c r="K29" i="38667"/>
  <c r="H34" i="7"/>
  <c r="G33" i="38658"/>
  <c r="F33" i="38659" s="1"/>
  <c r="G33" s="1"/>
  <c r="K33" s="1"/>
  <c r="D51" i="32"/>
  <c r="G48" i="38665"/>
  <c r="F17" i="38658"/>
  <c r="J21" i="22"/>
  <c r="D21"/>
  <c r="C14" i="21" s="1"/>
  <c r="F21" i="22"/>
  <c r="C15" i="21" s="1"/>
  <c r="B45" i="22"/>
  <c r="D39" i="23"/>
  <c r="J27"/>
  <c r="D45"/>
  <c r="J45"/>
  <c r="G37" i="47"/>
  <c r="F48" i="32"/>
  <c r="C31" i="15"/>
  <c r="D31" i="8"/>
  <c r="F42" i="38658"/>
  <c r="F50"/>
  <c r="C17" i="21"/>
  <c r="E31" i="15"/>
  <c r="J31" i="20" s="1"/>
  <c r="F13" i="21"/>
  <c r="G17" i="38658"/>
  <c r="I17" s="1"/>
  <c r="F20" i="21"/>
  <c r="I33" i="38658"/>
  <c r="F17" i="38659"/>
  <c r="J39"/>
  <c r="J26" i="10"/>
  <c r="J24"/>
  <c r="H43" i="7"/>
  <c r="D43"/>
  <c r="D40" i="41"/>
  <c r="F17" i="39"/>
  <c r="D17"/>
  <c r="H17"/>
  <c r="F33" i="11"/>
  <c r="D33" i="38656"/>
  <c r="G33" i="38667"/>
  <c r="J33" i="38655"/>
  <c r="G33" i="26"/>
  <c r="E31" i="16"/>
  <c r="J36" i="26"/>
  <c r="D36" i="54"/>
  <c r="D36" i="27"/>
  <c r="D36" i="76" s="1"/>
  <c r="G50" i="38"/>
  <c r="I50" i="9"/>
  <c r="I50" i="54"/>
  <c r="C50" i="25"/>
  <c r="C50" i="38655"/>
  <c r="F50" i="38656"/>
  <c r="F50" i="8"/>
  <c r="G50" i="34"/>
  <c r="I50" i="38655"/>
  <c r="C50" i="7"/>
  <c r="C50" i="36"/>
  <c r="C50" i="11"/>
  <c r="C50" i="27"/>
  <c r="C50" i="76" s="1"/>
  <c r="H50" i="11"/>
  <c r="C50" i="82"/>
  <c r="I50" i="26"/>
  <c r="F24" i="19"/>
  <c r="H11" i="39"/>
  <c r="F11"/>
  <c r="E37" i="11"/>
  <c r="C27" i="35"/>
  <c r="J24" i="38667"/>
  <c r="D36" i="18"/>
  <c r="D14" i="41"/>
  <c r="F46" i="11"/>
  <c r="J46" i="26"/>
  <c r="G46" i="54"/>
  <c r="I46" i="11"/>
  <c r="G46" i="10"/>
  <c r="G46" i="26"/>
  <c r="H34" i="39"/>
  <c r="D34"/>
  <c r="I44" i="7"/>
  <c r="G44"/>
  <c r="F44"/>
  <c r="F31" i="39"/>
  <c r="H31"/>
  <c r="F45"/>
  <c r="D45"/>
  <c r="I33" i="7"/>
  <c r="G33"/>
  <c r="D33"/>
  <c r="I41"/>
  <c r="H41"/>
  <c r="G41"/>
  <c r="D41"/>
  <c r="D15" i="39"/>
  <c r="H15"/>
  <c r="F20"/>
  <c r="H20"/>
  <c r="G18" i="38658"/>
  <c r="F18" i="38659" s="1"/>
  <c r="G18" s="1"/>
  <c r="K18" s="1"/>
  <c r="D31" i="54"/>
  <c r="J31"/>
  <c r="G31" i="26"/>
  <c r="G31" i="10"/>
  <c r="D31" i="38656"/>
  <c r="E20" i="21"/>
  <c r="D28" i="27"/>
  <c r="D28" i="76" s="1"/>
  <c r="F28" i="11"/>
  <c r="G28" i="38655"/>
  <c r="D28"/>
  <c r="E28" i="41"/>
  <c r="J28" i="10"/>
  <c r="E28" i="16"/>
  <c r="J28" i="54"/>
  <c r="I28" i="19"/>
  <c r="G18" i="7"/>
  <c r="D18"/>
  <c r="F18"/>
  <c r="I18"/>
  <c r="D22"/>
  <c r="G22"/>
  <c r="I22"/>
  <c r="H22"/>
  <c r="F22"/>
  <c r="C37" i="38655"/>
  <c r="F37" i="9"/>
  <c r="E37" i="38"/>
  <c r="H37" i="11"/>
  <c r="C37" i="26"/>
  <c r="I37" i="9"/>
  <c r="I37" i="54"/>
  <c r="G37" i="25"/>
  <c r="C37" i="37"/>
  <c r="G37" i="38"/>
  <c r="F27" i="8"/>
  <c r="E27" i="38"/>
  <c r="G27"/>
  <c r="H27" i="11"/>
  <c r="C27" i="26"/>
  <c r="E27" i="82"/>
  <c r="F27" i="38655"/>
  <c r="E27" i="37"/>
  <c r="E27" i="11"/>
  <c r="F27" i="54"/>
  <c r="C27" i="38655"/>
  <c r="C27" i="7"/>
  <c r="I27" i="25"/>
  <c r="F27" i="26"/>
  <c r="G27" i="25"/>
  <c r="C27" i="38"/>
  <c r="C27" i="37"/>
  <c r="C27" i="10"/>
  <c r="C27" i="82"/>
  <c r="E27" i="19"/>
  <c r="C27" i="25"/>
  <c r="C27" i="11"/>
  <c r="F27" i="9"/>
  <c r="K36" i="38667"/>
  <c r="D33" i="18"/>
  <c r="L41" i="38667"/>
  <c r="H22" i="39"/>
  <c r="D22"/>
  <c r="D31" i="41"/>
  <c r="C31"/>
  <c r="I45" i="7"/>
  <c r="F45"/>
  <c r="G45"/>
  <c r="H45"/>
  <c r="F27" i="76"/>
  <c r="B14" i="38659"/>
  <c r="E12" i="70"/>
  <c r="B48" i="5"/>
  <c r="B35" i="38659"/>
  <c r="E35" s="1"/>
  <c r="J35" s="1"/>
  <c r="E41" i="70"/>
  <c r="B43" i="38659"/>
  <c r="E43"/>
  <c r="G39" i="19"/>
  <c r="G15" i="41"/>
  <c r="J26" i="38655"/>
  <c r="G25" i="19"/>
  <c r="B31" i="76"/>
  <c r="D31" i="27"/>
  <c r="D31" i="76" s="1"/>
  <c r="G19" i="19"/>
  <c r="E32" i="20"/>
  <c r="F41" i="41"/>
  <c r="G41" s="1"/>
  <c r="D44"/>
  <c r="D50"/>
  <c r="B28" i="20"/>
  <c r="K35" i="38667"/>
  <c r="E40" i="18"/>
  <c r="B42"/>
  <c r="B40"/>
  <c r="B16" i="39"/>
  <c r="D19" i="19"/>
  <c r="D31"/>
  <c r="F37" i="41"/>
  <c r="G37" s="1"/>
  <c r="G37" i="36"/>
  <c r="F50" i="54"/>
  <c r="D26" i="7"/>
  <c r="D31"/>
  <c r="E44" i="20"/>
  <c r="B16"/>
  <c r="B51" i="19"/>
  <c r="K34" i="38667"/>
  <c r="B48" i="8"/>
  <c r="B13" i="18"/>
  <c r="B14"/>
  <c r="B23"/>
  <c r="B31"/>
  <c r="D35" i="8"/>
  <c r="E16" i="20"/>
  <c r="B16" i="40"/>
  <c r="D16"/>
  <c r="B48" i="34"/>
  <c r="E22" i="76"/>
  <c r="E37"/>
  <c r="E39"/>
  <c r="G35" i="8"/>
  <c r="E24" i="76"/>
  <c r="D24" i="54"/>
  <c r="B41" i="18"/>
  <c r="D29" i="9"/>
  <c r="E46" i="76"/>
  <c r="D46" i="54"/>
  <c r="B46" i="18"/>
  <c r="D37" i="8"/>
  <c r="B37" i="18"/>
  <c r="D30" i="9"/>
  <c r="G33" i="8"/>
  <c r="E35" i="76"/>
  <c r="F35" i="54"/>
  <c r="F11" i="45"/>
  <c r="B48" i="44"/>
  <c r="B12" i="18"/>
  <c r="G12" i="8"/>
  <c r="B22" i="18"/>
  <c r="B21"/>
  <c r="B11"/>
  <c r="E48" i="8"/>
  <c r="D22" i="32"/>
  <c r="B48"/>
  <c r="E17" i="18"/>
  <c r="E14" i="76"/>
  <c r="E20"/>
  <c r="B22" i="41"/>
  <c r="E22" i="20"/>
  <c r="E36"/>
  <c r="D42" i="41"/>
  <c r="B51"/>
  <c r="C51" s="1"/>
  <c r="E51" i="20"/>
  <c r="F16" i="52"/>
  <c r="F22"/>
  <c r="B22" i="43"/>
  <c r="F22" s="1"/>
  <c r="H22" s="1"/>
  <c r="F31" i="52"/>
  <c r="F35"/>
  <c r="F37"/>
  <c r="B37" i="43"/>
  <c r="F37" s="1"/>
  <c r="H37" s="1"/>
  <c r="F41" i="52"/>
  <c r="F46"/>
  <c r="G34" i="19"/>
  <c r="G42"/>
  <c r="F48" i="44"/>
  <c r="G46" i="19"/>
  <c r="D46" i="38656"/>
  <c r="F26" i="45"/>
  <c r="D48"/>
  <c r="H29" i="7"/>
  <c r="F29"/>
  <c r="I29"/>
  <c r="D29"/>
  <c r="G11" i="9"/>
  <c r="C48" i="14"/>
  <c r="C11" i="15"/>
  <c r="E12" i="33"/>
  <c r="B48"/>
  <c r="G38" i="19"/>
  <c r="F42" i="45"/>
  <c r="D41" i="19"/>
  <c r="B41" i="76"/>
  <c r="E41" s="1"/>
  <c r="B48" i="45"/>
  <c r="B48" i="38655"/>
  <c r="G12" i="19"/>
  <c r="G13"/>
  <c r="F30" i="45"/>
  <c r="F19"/>
  <c r="B30" i="76"/>
  <c r="E30" s="1"/>
  <c r="D30" i="19"/>
  <c r="B18" i="76"/>
  <c r="E18"/>
  <c r="D18" i="19"/>
  <c r="B45" i="76"/>
  <c r="E45" s="1"/>
  <c r="D45" i="19"/>
  <c r="B26" i="41"/>
  <c r="E26" i="20"/>
  <c r="E46" i="38658"/>
  <c r="G46" s="1"/>
  <c r="D46" i="41"/>
  <c r="C46"/>
  <c r="B13" i="20"/>
  <c r="B24" i="39"/>
  <c r="B24" i="40"/>
  <c r="D24" s="1"/>
  <c r="B24" i="20"/>
  <c r="C27" i="34"/>
  <c r="B27" i="40"/>
  <c r="B29" i="39"/>
  <c r="B29" i="40"/>
  <c r="D29" s="1"/>
  <c r="B29" i="20"/>
  <c r="B36"/>
  <c r="B36" i="40"/>
  <c r="D36" s="1"/>
  <c r="B37" i="20"/>
  <c r="B37" i="40"/>
  <c r="D37" s="1"/>
  <c r="G37" i="19"/>
  <c r="B20" i="20"/>
  <c r="B20" i="40"/>
  <c r="D20" s="1"/>
  <c r="B25" i="39"/>
  <c r="B25" i="20"/>
  <c r="B30" i="39"/>
  <c r="B30" i="40"/>
  <c r="D30" s="1"/>
  <c r="B33"/>
  <c r="D33" s="1"/>
  <c r="B33" i="20"/>
  <c r="H40" i="18"/>
  <c r="E41" i="5"/>
  <c r="E28" i="18"/>
  <c r="E30"/>
  <c r="E31"/>
  <c r="E32"/>
  <c r="E33"/>
  <c r="J33" i="10"/>
  <c r="E41" i="18"/>
  <c r="B32" i="41"/>
  <c r="E39" i="38658"/>
  <c r="G39" s="1"/>
  <c r="C37" i="36"/>
  <c r="F32" i="41"/>
  <c r="G32" s="1"/>
  <c r="F48" i="36"/>
  <c r="D37" i="41"/>
  <c r="K13" i="3188"/>
  <c r="C13" i="5" s="1"/>
  <c r="D13" s="1"/>
  <c r="I48" i="3188"/>
  <c r="B19" i="40"/>
  <c r="D19"/>
  <c r="H22" i="18"/>
  <c r="D42" i="19"/>
  <c r="H48" i="26"/>
  <c r="D14" i="39"/>
  <c r="H14"/>
  <c r="B14" i="20"/>
  <c r="B48" i="35"/>
  <c r="H14" i="18"/>
  <c r="E15" i="20"/>
  <c r="D48" i="37"/>
  <c r="K46" i="38667"/>
  <c r="E50" i="18"/>
  <c r="C50" i="10"/>
  <c r="B12" i="39"/>
  <c r="D48" i="34"/>
  <c r="D48" i="35"/>
  <c r="B12" i="20"/>
  <c r="B48" i="25"/>
  <c r="E30" i="38658"/>
  <c r="G30"/>
  <c r="B11" i="41"/>
  <c r="E11" i="20"/>
  <c r="E24" i="38658"/>
  <c r="G24"/>
  <c r="E27"/>
  <c r="G27"/>
  <c r="E25" i="20"/>
  <c r="B45" i="41"/>
  <c r="F24" i="52"/>
  <c r="B24" i="43"/>
  <c r="F24" s="1"/>
  <c r="H24" s="1"/>
  <c r="F14" i="52"/>
  <c r="D48" i="43"/>
  <c r="F13" i="52"/>
  <c r="E48" i="46"/>
  <c r="G13" i="47"/>
  <c r="B48" i="81"/>
  <c r="F12" i="52"/>
  <c r="B48" i="46"/>
  <c r="C48" i="81"/>
  <c r="G11" i="47"/>
  <c r="H13" i="20"/>
  <c r="B48" i="38"/>
  <c r="H15" i="20"/>
  <c r="J24"/>
  <c r="H28"/>
  <c r="H33"/>
  <c r="H40"/>
  <c r="D48" i="38667"/>
  <c r="C26" i="70"/>
  <c r="D48"/>
  <c r="E48" s="1"/>
  <c r="E26"/>
  <c r="C28"/>
  <c r="E28"/>
  <c r="E30"/>
  <c r="C30"/>
  <c r="C32"/>
  <c r="E32"/>
  <c r="E34"/>
  <c r="C34"/>
  <c r="E38"/>
  <c r="C38"/>
  <c r="C40"/>
  <c r="E40"/>
  <c r="C44"/>
  <c r="E44"/>
  <c r="C46"/>
  <c r="E46"/>
  <c r="D36" i="38656"/>
  <c r="G36" i="26"/>
  <c r="J36" i="54"/>
  <c r="G36"/>
  <c r="E36" i="41"/>
  <c r="G36" i="38655"/>
  <c r="F25" i="38659"/>
  <c r="G26" i="38667"/>
  <c r="D26" i="38655"/>
  <c r="J26" i="26"/>
  <c r="F26" i="19"/>
  <c r="G26" i="26"/>
  <c r="D26" i="27"/>
  <c r="D26" i="76"/>
  <c r="D26" i="10"/>
  <c r="G26" i="38655"/>
  <c r="D26" i="26"/>
  <c r="G24" i="38656"/>
  <c r="J24" i="38655"/>
  <c r="G24" i="54"/>
  <c r="J24"/>
  <c r="D24" i="10"/>
  <c r="F24" i="11"/>
  <c r="D24" i="27"/>
  <c r="D24" i="76" s="1"/>
  <c r="J24" i="26"/>
  <c r="G24"/>
  <c r="D24" i="38661"/>
  <c r="G24" i="38655"/>
  <c r="G24" i="38667"/>
  <c r="E24" i="41"/>
  <c r="D24" i="38656"/>
  <c r="L14" i="38667"/>
  <c r="K44"/>
  <c r="C20" i="21"/>
  <c r="G17" i="7"/>
  <c r="F17"/>
  <c r="H17"/>
  <c r="D17"/>
  <c r="E31" i="76"/>
  <c r="B20" i="19"/>
  <c r="B33" i="38659"/>
  <c r="E33" s="1"/>
  <c r="E31" i="70"/>
  <c r="D11" i="32"/>
  <c r="C48"/>
  <c r="B26" i="18"/>
  <c r="E12"/>
  <c r="H48" i="10"/>
  <c r="K18" i="38667"/>
  <c r="E48" i="10"/>
  <c r="D43" i="19"/>
  <c r="B43" i="39"/>
  <c r="B43" i="40"/>
  <c r="D43" s="1"/>
  <c r="G36" i="19"/>
  <c r="J36" i="38655"/>
  <c r="F50" i="45"/>
  <c r="E40" i="76"/>
  <c r="C35" i="7"/>
  <c r="B48"/>
  <c r="D28" i="8"/>
  <c r="B18" i="18"/>
  <c r="G48" i="43"/>
  <c r="C50" i="38658"/>
  <c r="B30" i="20"/>
  <c r="B14" i="19"/>
  <c r="E48" i="3188"/>
  <c r="G16" i="47"/>
  <c r="G15"/>
  <c r="G14"/>
  <c r="C48" i="52"/>
  <c r="F48" i="46"/>
  <c r="F48" i="47"/>
  <c r="B48"/>
  <c r="F48" i="81"/>
  <c r="D48"/>
  <c r="G12" i="47"/>
  <c r="C48" i="43"/>
  <c r="A53" i="44"/>
  <c r="C48" i="78"/>
  <c r="D48" i="52"/>
  <c r="B48"/>
  <c r="D48" i="46"/>
  <c r="C48" i="47"/>
  <c r="F48" i="3188"/>
  <c r="K51"/>
  <c r="C51" i="5"/>
  <c r="D51" s="1"/>
  <c r="K46" i="3188"/>
  <c r="C46" i="5"/>
  <c r="D46" s="1"/>
  <c r="K44" i="3188"/>
  <c r="C44" i="5" s="1"/>
  <c r="D44" s="1"/>
  <c r="K38" i="3188"/>
  <c r="C38" i="5" s="1"/>
  <c r="D38" s="1"/>
  <c r="K36" i="3188"/>
  <c r="C36" i="5" s="1"/>
  <c r="D36" s="1"/>
  <c r="I36" i="20" s="1"/>
  <c r="K30" i="3188"/>
  <c r="C30" i="5" s="1"/>
  <c r="D30" s="1"/>
  <c r="K28" i="3188"/>
  <c r="C28" i="5"/>
  <c r="D28" s="1"/>
  <c r="K26" i="3188"/>
  <c r="C26" i="5"/>
  <c r="D26" s="1"/>
  <c r="K24" i="3188"/>
  <c r="C24" i="5" s="1"/>
  <c r="D24" s="1"/>
  <c r="K22" i="3188"/>
  <c r="C22" i="5" s="1"/>
  <c r="D22" s="1"/>
  <c r="K20" i="3188"/>
  <c r="C20" i="5" s="1"/>
  <c r="D20" s="1"/>
  <c r="K18" i="3188"/>
  <c r="C18" i="5" s="1"/>
  <c r="D18" s="1"/>
  <c r="K16" i="3188"/>
  <c r="C16" i="5"/>
  <c r="D16" s="1"/>
  <c r="K14" i="3188"/>
  <c r="C14" i="5"/>
  <c r="D14" s="1"/>
  <c r="C14" i="20" s="1"/>
  <c r="K12" i="3188"/>
  <c r="C12" i="5" s="1"/>
  <c r="D12" s="1"/>
  <c r="C12" i="18" s="1"/>
  <c r="I35" i="20"/>
  <c r="B48" i="38665"/>
  <c r="F27" i="10"/>
  <c r="I37" i="26"/>
  <c r="C37" i="38656"/>
  <c r="E27" i="36"/>
  <c r="G27"/>
  <c r="H27" i="19"/>
  <c r="C37" i="38"/>
  <c r="C37" i="10"/>
  <c r="E37" i="36"/>
  <c r="G51" i="10"/>
  <c r="H13" i="39"/>
  <c r="C27" i="36"/>
  <c r="C27" i="9"/>
  <c r="C27" i="8"/>
  <c r="F37" i="38659"/>
  <c r="F11" i="52"/>
  <c r="F28" i="19"/>
  <c r="D28" i="38656"/>
  <c r="E27" i="25"/>
  <c r="C37" i="27"/>
  <c r="C37" i="76"/>
  <c r="C27" i="38661"/>
  <c r="I27" i="26"/>
  <c r="F48" i="34"/>
  <c r="C48" i="38670"/>
  <c r="E37" i="25"/>
  <c r="E37" i="82"/>
  <c r="D28" i="26"/>
  <c r="D28" i="38661"/>
  <c r="D27" i="8"/>
  <c r="D48" i="36"/>
  <c r="D18" i="8"/>
  <c r="J48" i="3188"/>
  <c r="C42" i="70"/>
  <c r="E40" i="20"/>
  <c r="B18" i="40"/>
  <c r="D18"/>
  <c r="G45" i="19"/>
  <c r="B28" i="18"/>
  <c r="E23" i="20"/>
  <c r="B15" i="18"/>
  <c r="E37" i="20"/>
  <c r="B34"/>
  <c r="G29" i="7"/>
  <c r="B25" i="40"/>
  <c r="D25" s="1"/>
  <c r="B43" i="20"/>
  <c r="B48" i="37"/>
  <c r="F18" i="45"/>
  <c r="I50" i="20"/>
  <c r="C50" i="35"/>
  <c r="C50" i="38661"/>
  <c r="D37" i="7"/>
  <c r="G37"/>
  <c r="D28"/>
  <c r="G28"/>
  <c r="H28"/>
  <c r="G20"/>
  <c r="H20"/>
  <c r="D34"/>
  <c r="F34"/>
  <c r="E11" i="5"/>
  <c r="L24" i="38667"/>
  <c r="M24" s="1"/>
  <c r="I24" s="1"/>
  <c r="I24" i="19"/>
  <c r="E43" i="15"/>
  <c r="D43" i="8"/>
  <c r="B32" i="38659"/>
  <c r="E32" s="1"/>
  <c r="J32" s="1"/>
  <c r="B23"/>
  <c r="E23" s="1"/>
  <c r="J23" s="1"/>
  <c r="E21" i="70"/>
  <c r="E21" i="76"/>
  <c r="F50" i="41"/>
  <c r="G50" s="1"/>
  <c r="G50" i="36"/>
  <c r="D19" i="9"/>
  <c r="B19" i="18"/>
  <c r="B21" i="19"/>
  <c r="B38" i="18"/>
  <c r="G45" i="8"/>
  <c r="B45" i="18"/>
  <c r="J14" i="9"/>
  <c r="C14" i="15"/>
  <c r="G15" i="9"/>
  <c r="C15" i="15"/>
  <c r="G19" i="9"/>
  <c r="C19" i="15"/>
  <c r="G20" i="9"/>
  <c r="C20" i="15"/>
  <c r="G21" i="9"/>
  <c r="C21" i="15"/>
  <c r="E21" s="1"/>
  <c r="C23"/>
  <c r="E23" i="7"/>
  <c r="C29" i="15"/>
  <c r="J29" i="9"/>
  <c r="J32"/>
  <c r="C32" i="15"/>
  <c r="H35" i="7"/>
  <c r="G35"/>
  <c r="F35"/>
  <c r="D35"/>
  <c r="G40" i="9"/>
  <c r="C40" i="15"/>
  <c r="E40"/>
  <c r="F40" i="7"/>
  <c r="H40"/>
  <c r="G40"/>
  <c r="F42"/>
  <c r="H42"/>
  <c r="I42"/>
  <c r="D42"/>
  <c r="C45" i="15"/>
  <c r="G45" i="9"/>
  <c r="J50"/>
  <c r="C50" i="15"/>
  <c r="B48" i="38663"/>
  <c r="G30"/>
  <c r="J30" i="9"/>
  <c r="C30" i="15"/>
  <c r="I15" i="21"/>
  <c r="I25" s="1"/>
  <c r="F48" i="22"/>
  <c r="J47" i="23"/>
  <c r="J14"/>
  <c r="F21"/>
  <c r="G28" i="76"/>
  <c r="I48" i="38666"/>
  <c r="H48" i="9"/>
  <c r="D48" i="82"/>
  <c r="B48"/>
  <c r="B48" i="9"/>
  <c r="D28" i="54"/>
  <c r="E51" i="5"/>
  <c r="B37" i="19"/>
  <c r="B48" i="36"/>
  <c r="F50" i="9"/>
  <c r="B32" i="18"/>
  <c r="B44" i="38670"/>
  <c r="J29" i="23"/>
  <c r="J17"/>
  <c r="J30"/>
  <c r="J31"/>
  <c r="J32"/>
  <c r="J33"/>
  <c r="J35"/>
  <c r="B48" i="70"/>
  <c r="B47" i="38659"/>
  <c r="E47"/>
  <c r="J47" s="1"/>
  <c r="B37"/>
  <c r="E37" s="1"/>
  <c r="J37" s="1"/>
  <c r="B22"/>
  <c r="E22" s="1"/>
  <c r="J22" s="1"/>
  <c r="E20" i="70"/>
  <c r="D39" i="9"/>
  <c r="B39" i="18"/>
  <c r="F42" i="39"/>
  <c r="H42"/>
  <c r="B12" i="19"/>
  <c r="F48" i="25"/>
  <c r="D17" i="8"/>
  <c r="B17" i="18"/>
  <c r="B35" i="39"/>
  <c r="B35" i="40"/>
  <c r="D35"/>
  <c r="D44" i="39"/>
  <c r="F44"/>
  <c r="D34" i="19"/>
  <c r="J12" i="9"/>
  <c r="C12" i="15"/>
  <c r="D48" i="14"/>
  <c r="E13" i="7"/>
  <c r="E48" i="14"/>
  <c r="H25" i="21"/>
  <c r="H49" i="23"/>
  <c r="H51" s="1"/>
  <c r="J46" i="20"/>
  <c r="B51" i="18"/>
  <c r="D51" s="1"/>
  <c r="D51" i="9"/>
  <c r="E11" i="18"/>
  <c r="F28" i="45"/>
  <c r="F45"/>
  <c r="F43"/>
  <c r="F36"/>
  <c r="C48" i="38665"/>
  <c r="H48" i="38655"/>
  <c r="G17" i="19"/>
  <c r="F31" i="45"/>
  <c r="E50" i="20"/>
  <c r="E21"/>
  <c r="E27"/>
  <c r="E34"/>
  <c r="E23" i="76"/>
  <c r="B27" i="20"/>
  <c r="F51" i="45"/>
  <c r="D36" i="9"/>
  <c r="B17" i="20"/>
  <c r="B48" i="54"/>
  <c r="B29" i="18"/>
  <c r="D29" s="1"/>
  <c r="B20"/>
  <c r="B50"/>
  <c r="C50" s="1"/>
  <c r="K45" i="3188"/>
  <c r="C45" i="5" s="1"/>
  <c r="D45" s="1"/>
  <c r="E45" i="19" s="1"/>
  <c r="E16" i="18"/>
  <c r="C48" i="38663"/>
  <c r="G30" i="19"/>
  <c r="G11"/>
  <c r="D23"/>
  <c r="B13"/>
  <c r="B25"/>
  <c r="B27"/>
  <c r="C27"/>
  <c r="B28"/>
  <c r="E34" i="5"/>
  <c r="E39"/>
  <c r="B39" i="20"/>
  <c r="F44" i="52"/>
  <c r="G44" i="47"/>
  <c r="B44" i="43"/>
  <c r="F44"/>
  <c r="H44" s="1"/>
  <c r="F43" i="52"/>
  <c r="B43" i="43"/>
  <c r="F43" s="1"/>
  <c r="H43" s="1"/>
  <c r="F42" i="52"/>
  <c r="B42" i="43"/>
  <c r="F42"/>
  <c r="H42" s="1"/>
  <c r="F40" i="52"/>
  <c r="B40" i="43"/>
  <c r="F40" s="1"/>
  <c r="H40" s="1"/>
  <c r="F39" i="52"/>
  <c r="G38" i="47"/>
  <c r="G19" i="38663"/>
  <c r="G21"/>
  <c r="G27"/>
  <c r="G29"/>
  <c r="G36"/>
  <c r="G42"/>
  <c r="G46"/>
  <c r="B18" i="38670"/>
  <c r="E36" i="76"/>
  <c r="G36" s="1"/>
  <c r="E32"/>
  <c r="G45" i="38663"/>
  <c r="G26"/>
  <c r="G22"/>
  <c r="G29" i="19"/>
  <c r="G32" i="38658"/>
  <c r="F32" i="38659" s="1"/>
  <c r="G32" s="1"/>
  <c r="K32" s="1"/>
  <c r="B12" i="40"/>
  <c r="D12" s="1"/>
  <c r="H42" i="18"/>
  <c r="H14" i="20"/>
  <c r="H16"/>
  <c r="H21"/>
  <c r="H23"/>
  <c r="H25"/>
  <c r="H27"/>
  <c r="H29"/>
  <c r="H32"/>
  <c r="H34"/>
  <c r="H36"/>
  <c r="H41"/>
  <c r="D48" i="33"/>
  <c r="E34"/>
  <c r="B14" i="38670"/>
  <c r="B16"/>
  <c r="B22"/>
  <c r="B32"/>
  <c r="B34"/>
  <c r="B36"/>
  <c r="B40"/>
  <c r="B51"/>
  <c r="H18" i="39"/>
  <c r="H19"/>
  <c r="B39" i="22"/>
  <c r="J20" i="23"/>
  <c r="J26"/>
  <c r="I32" i="38658"/>
  <c r="E27" i="5"/>
  <c r="F27"/>
  <c r="L11" i="38667"/>
  <c r="D50" i="18"/>
  <c r="J29" i="38667"/>
  <c r="K11"/>
  <c r="J49" i="23"/>
  <c r="H35" i="39"/>
  <c r="F35"/>
  <c r="D35"/>
  <c r="D17" i="18"/>
  <c r="J17" i="38667"/>
  <c r="J39"/>
  <c r="D48" i="9"/>
  <c r="J48"/>
  <c r="C21" i="21"/>
  <c r="K21" s="1"/>
  <c r="F53" i="23"/>
  <c r="D45" i="8"/>
  <c r="E45" i="15"/>
  <c r="J40" i="26"/>
  <c r="G40" i="10"/>
  <c r="G40" i="38656"/>
  <c r="G40" i="26"/>
  <c r="I40" i="11"/>
  <c r="D40" i="26"/>
  <c r="G40" i="38667"/>
  <c r="I40" i="19"/>
  <c r="J40" i="10"/>
  <c r="E40" i="16"/>
  <c r="D40" i="54"/>
  <c r="F40" i="11"/>
  <c r="D40" i="38661"/>
  <c r="D40" i="38655"/>
  <c r="G40"/>
  <c r="J40"/>
  <c r="J40" i="54"/>
  <c r="D40" i="38656"/>
  <c r="F40" i="19"/>
  <c r="E40" i="41"/>
  <c r="D40" i="27"/>
  <c r="D40" i="76" s="1"/>
  <c r="C40" i="41"/>
  <c r="D32" i="8"/>
  <c r="E32" i="15"/>
  <c r="D23" i="7"/>
  <c r="G23"/>
  <c r="H23"/>
  <c r="F23"/>
  <c r="I23"/>
  <c r="D20" i="8"/>
  <c r="E20" i="15"/>
  <c r="D19" i="8"/>
  <c r="E19" i="15"/>
  <c r="D15" i="8"/>
  <c r="E15" i="15"/>
  <c r="E14"/>
  <c r="D14" i="8"/>
  <c r="D45" i="18"/>
  <c r="J45" i="38667"/>
  <c r="D19" i="18"/>
  <c r="J19" i="38667"/>
  <c r="I43" i="11"/>
  <c r="D43" i="38655"/>
  <c r="G43" i="26"/>
  <c r="E43" i="16"/>
  <c r="J43" i="20"/>
  <c r="J43" i="10"/>
  <c r="J43" i="54"/>
  <c r="G43" i="38656"/>
  <c r="D43"/>
  <c r="E43" i="41"/>
  <c r="D43" i="10"/>
  <c r="F43" i="11"/>
  <c r="D43" i="54"/>
  <c r="G43"/>
  <c r="J43" i="38655"/>
  <c r="I43" i="19"/>
  <c r="G43" i="18"/>
  <c r="G43" i="38655"/>
  <c r="D43" i="38661"/>
  <c r="D43" i="27"/>
  <c r="D43" i="76"/>
  <c r="D15" i="18"/>
  <c r="J15" i="38667"/>
  <c r="M15"/>
  <c r="I15" s="1"/>
  <c r="L45"/>
  <c r="J33" i="38659"/>
  <c r="E20" i="5"/>
  <c r="J40" i="20"/>
  <c r="J33"/>
  <c r="J28"/>
  <c r="I28"/>
  <c r="J15"/>
  <c r="H48"/>
  <c r="D45" i="41"/>
  <c r="C45"/>
  <c r="D11"/>
  <c r="B48"/>
  <c r="F30" i="38659"/>
  <c r="G30"/>
  <c r="K30" s="1"/>
  <c r="I30" i="38658"/>
  <c r="D12" i="39"/>
  <c r="H12"/>
  <c r="F12"/>
  <c r="D14" i="20"/>
  <c r="E22" i="5"/>
  <c r="G33" i="18"/>
  <c r="K33" i="38667"/>
  <c r="K30"/>
  <c r="D30" i="39"/>
  <c r="F30"/>
  <c r="H30"/>
  <c r="D20" i="20"/>
  <c r="L37" i="38667"/>
  <c r="I37" i="19"/>
  <c r="H37"/>
  <c r="D37" i="20"/>
  <c r="C37"/>
  <c r="G26"/>
  <c r="F18" i="19"/>
  <c r="L38" i="38667"/>
  <c r="I46" i="19"/>
  <c r="L46" i="38667"/>
  <c r="L42"/>
  <c r="G51" i="20"/>
  <c r="F51"/>
  <c r="K17" i="38667"/>
  <c r="J11"/>
  <c r="D11" i="18"/>
  <c r="C22"/>
  <c r="J22" i="38667"/>
  <c r="M22"/>
  <c r="I22" s="1"/>
  <c r="D12" i="18"/>
  <c r="J12" i="38667"/>
  <c r="G18" i="76"/>
  <c r="C46" i="18"/>
  <c r="J46" i="38667"/>
  <c r="M46" s="1"/>
  <c r="I46" s="1"/>
  <c r="D46" i="18"/>
  <c r="G24" i="76"/>
  <c r="F16" i="20"/>
  <c r="G16"/>
  <c r="F19" i="19"/>
  <c r="J42" i="38667"/>
  <c r="D28" i="20"/>
  <c r="C28"/>
  <c r="G32"/>
  <c r="I19" i="19"/>
  <c r="L19" i="38667"/>
  <c r="L25"/>
  <c r="I26" i="19"/>
  <c r="L26" i="38667"/>
  <c r="L39"/>
  <c r="E14" i="38659"/>
  <c r="I43" i="45"/>
  <c r="E13" i="21"/>
  <c r="B50" i="22"/>
  <c r="J36" i="20"/>
  <c r="J32"/>
  <c r="I27"/>
  <c r="J27"/>
  <c r="J16"/>
  <c r="I16"/>
  <c r="E42" i="5"/>
  <c r="L29" i="38667"/>
  <c r="G32" i="76"/>
  <c r="E28" i="5"/>
  <c r="F28" s="1"/>
  <c r="C28" i="19"/>
  <c r="L30" i="38667"/>
  <c r="H30" i="19"/>
  <c r="K16" i="38667"/>
  <c r="G16" i="18"/>
  <c r="F16"/>
  <c r="D20"/>
  <c r="J20" i="38667"/>
  <c r="C20" i="18"/>
  <c r="D27" i="20"/>
  <c r="C27"/>
  <c r="G45" i="76"/>
  <c r="F45"/>
  <c r="G27" i="20"/>
  <c r="F27"/>
  <c r="F50"/>
  <c r="I17" i="19"/>
  <c r="L17" i="38667"/>
  <c r="F44" i="10"/>
  <c r="E44" i="36"/>
  <c r="E44" i="34"/>
  <c r="I44" i="25"/>
  <c r="C44"/>
  <c r="I44" i="20"/>
  <c r="C44" i="27"/>
  <c r="C44" i="76" s="1"/>
  <c r="C44" i="26"/>
  <c r="G44" i="34"/>
  <c r="C44" i="11"/>
  <c r="C44" i="19"/>
  <c r="C44" i="10"/>
  <c r="G44" i="38"/>
  <c r="C44" i="8"/>
  <c r="F44" i="26"/>
  <c r="F44" i="38655"/>
  <c r="I44" i="10"/>
  <c r="E44" i="38"/>
  <c r="F44" i="5"/>
  <c r="C44" i="38656"/>
  <c r="I44" i="38655"/>
  <c r="C44" i="9"/>
  <c r="F44" i="54"/>
  <c r="C44" i="38"/>
  <c r="I44" i="26"/>
  <c r="C44" i="7"/>
  <c r="E44" i="37"/>
  <c r="F44" i="9"/>
  <c r="F44" i="8"/>
  <c r="H44" i="19"/>
  <c r="E44" i="35"/>
  <c r="G44" i="36"/>
  <c r="G44" i="25"/>
  <c r="C44" i="82"/>
  <c r="E44" i="19"/>
  <c r="C44" i="18"/>
  <c r="F44"/>
  <c r="F44" i="38656"/>
  <c r="I44" i="9"/>
  <c r="I44" i="54"/>
  <c r="F13" i="7"/>
  <c r="H13"/>
  <c r="I13"/>
  <c r="G13"/>
  <c r="D13"/>
  <c r="E12" i="15"/>
  <c r="D12" i="8"/>
  <c r="E12" i="5"/>
  <c r="C12" i="19"/>
  <c r="E35"/>
  <c r="E35" i="34"/>
  <c r="F35" i="38656"/>
  <c r="I35" i="25"/>
  <c r="C35"/>
  <c r="I35" i="38655"/>
  <c r="E35" i="36"/>
  <c r="I35" i="26"/>
  <c r="C35" i="38656"/>
  <c r="C35" i="9"/>
  <c r="C35" i="27"/>
  <c r="C35" i="76" s="1"/>
  <c r="C35" i="35"/>
  <c r="C35" i="19"/>
  <c r="C35" i="38655"/>
  <c r="E35" i="25"/>
  <c r="I35" i="54"/>
  <c r="F35" i="38655"/>
  <c r="C35" i="34"/>
  <c r="C35" i="38661"/>
  <c r="G35" i="25"/>
  <c r="E35" i="82"/>
  <c r="E35" i="35"/>
  <c r="G35" i="38"/>
  <c r="E35"/>
  <c r="C35" i="11"/>
  <c r="F35" i="20"/>
  <c r="C35" i="82"/>
  <c r="E35" i="11"/>
  <c r="F35" i="26"/>
  <c r="C35" i="36"/>
  <c r="G35"/>
  <c r="H35" i="11"/>
  <c r="C35" i="26"/>
  <c r="E35" i="37"/>
  <c r="F35" i="10"/>
  <c r="I35" i="9"/>
  <c r="C35" i="37"/>
  <c r="C35" i="10"/>
  <c r="C35" i="54"/>
  <c r="F35" i="9"/>
  <c r="G35" i="34"/>
  <c r="J32" i="38667"/>
  <c r="D32" i="18"/>
  <c r="C32"/>
  <c r="E37" i="5"/>
  <c r="F37" s="1"/>
  <c r="C37" i="19"/>
  <c r="C34" i="82"/>
  <c r="G34" i="25"/>
  <c r="E34"/>
  <c r="I34" i="26"/>
  <c r="G34" i="36"/>
  <c r="E34" i="11"/>
  <c r="C34" i="37"/>
  <c r="I34" i="10"/>
  <c r="I34" i="9"/>
  <c r="C34" i="19"/>
  <c r="C34" i="8"/>
  <c r="F34" i="26"/>
  <c r="F34" i="38655"/>
  <c r="C34" i="25"/>
  <c r="C34" i="38655"/>
  <c r="G34" i="38"/>
  <c r="C34" i="36"/>
  <c r="G34" i="34"/>
  <c r="C34" i="10"/>
  <c r="C34" i="38"/>
  <c r="E34"/>
  <c r="I34" i="25"/>
  <c r="C34" i="9"/>
  <c r="F34" i="54"/>
  <c r="F34" i="8"/>
  <c r="H34" i="11"/>
  <c r="C34" i="38656"/>
  <c r="I34" i="54"/>
  <c r="C34" i="34"/>
  <c r="C34" i="27"/>
  <c r="C34" i="76"/>
  <c r="E34" i="36"/>
  <c r="F34" i="5"/>
  <c r="F34" i="10"/>
  <c r="F34" i="38656"/>
  <c r="E34" i="34"/>
  <c r="C34" i="38661"/>
  <c r="C34" i="54"/>
  <c r="E34" i="82"/>
  <c r="E34" i="35"/>
  <c r="I34" i="18"/>
  <c r="E34" i="37"/>
  <c r="F34" i="9"/>
  <c r="C34" i="26"/>
  <c r="F50" i="22"/>
  <c r="E30" i="15"/>
  <c r="F30" i="19"/>
  <c r="D30" i="8"/>
  <c r="D50"/>
  <c r="E50" i="15"/>
  <c r="G50" i="20"/>
  <c r="D29" i="8"/>
  <c r="E29" i="15"/>
  <c r="J29" i="20" s="1"/>
  <c r="E23" i="15"/>
  <c r="F23" i="19" s="1"/>
  <c r="D23" i="8"/>
  <c r="J38" i="38667"/>
  <c r="M38"/>
  <c r="I38" s="1"/>
  <c r="C38" i="18"/>
  <c r="E21" i="5"/>
  <c r="G21" i="76"/>
  <c r="D43" i="20"/>
  <c r="C43"/>
  <c r="G37"/>
  <c r="F37"/>
  <c r="C28" i="18"/>
  <c r="D28"/>
  <c r="J28" i="38667"/>
  <c r="G40" i="20"/>
  <c r="C16" i="19"/>
  <c r="C16" i="25"/>
  <c r="F16" i="38655"/>
  <c r="G16" i="25"/>
  <c r="E16" i="11"/>
  <c r="E16" i="25"/>
  <c r="C16" i="10"/>
  <c r="F16" i="9"/>
  <c r="C16" i="36"/>
  <c r="C16" i="26"/>
  <c r="C16" i="38"/>
  <c r="C16" i="11"/>
  <c r="H16"/>
  <c r="C16" i="7"/>
  <c r="I16" i="9"/>
  <c r="C16" i="8"/>
  <c r="C16" i="38656"/>
  <c r="C16" i="18"/>
  <c r="E16" i="38"/>
  <c r="F16" i="10"/>
  <c r="C16" i="27"/>
  <c r="C16" i="76" s="1"/>
  <c r="G16" i="38"/>
  <c r="I16" i="10"/>
  <c r="I16" i="38655"/>
  <c r="E16" i="82"/>
  <c r="C16"/>
  <c r="I16" i="25"/>
  <c r="I16" i="26"/>
  <c r="E16" i="36"/>
  <c r="G16" i="34"/>
  <c r="F16" i="38656"/>
  <c r="C16" i="38655"/>
  <c r="F16" i="26"/>
  <c r="F16" i="5"/>
  <c r="E16" i="35"/>
  <c r="F16" i="8"/>
  <c r="C16" i="38661"/>
  <c r="G16" i="36"/>
  <c r="C16" i="9"/>
  <c r="C16" i="54"/>
  <c r="C16" i="34"/>
  <c r="E16" i="37"/>
  <c r="F16" i="54"/>
  <c r="C24" i="34"/>
  <c r="I24" i="38655"/>
  <c r="E24" i="36"/>
  <c r="F24" i="38655"/>
  <c r="G24" i="36"/>
  <c r="C24" i="18"/>
  <c r="I24" i="9"/>
  <c r="F24" i="18"/>
  <c r="C24" i="38655"/>
  <c r="C24" i="25"/>
  <c r="E24" i="82"/>
  <c r="C24" i="9"/>
  <c r="E24" i="25"/>
  <c r="C24" i="26"/>
  <c r="F24" i="9"/>
  <c r="G24" i="34"/>
  <c r="F24" i="26"/>
  <c r="E24" i="38"/>
  <c r="F24" i="38656"/>
  <c r="C24" i="35"/>
  <c r="E24"/>
  <c r="C24" i="82"/>
  <c r="F24" i="10"/>
  <c r="G24" i="25"/>
  <c r="C24" i="10"/>
  <c r="C24" i="38661"/>
  <c r="H24" i="19"/>
  <c r="C24" i="7"/>
  <c r="G24" i="38"/>
  <c r="C24" i="27"/>
  <c r="C24" i="76"/>
  <c r="E24" i="11"/>
  <c r="I24" i="10"/>
  <c r="H24" i="11"/>
  <c r="C24" i="36"/>
  <c r="C24" i="38656"/>
  <c r="I24" i="26"/>
  <c r="C24" i="37"/>
  <c r="F24" i="8"/>
  <c r="C24"/>
  <c r="F24" i="54"/>
  <c r="I24" i="25"/>
  <c r="I24" i="54"/>
  <c r="C24" i="38"/>
  <c r="E24" i="19"/>
  <c r="C24" i="11"/>
  <c r="E24" i="37"/>
  <c r="F28" i="54"/>
  <c r="I28" i="10"/>
  <c r="F28" i="9"/>
  <c r="C28" i="26"/>
  <c r="C28" i="54"/>
  <c r="I28" i="38655"/>
  <c r="C28" i="34"/>
  <c r="C28" i="25"/>
  <c r="F28" i="38655"/>
  <c r="G28" i="25"/>
  <c r="C28" i="7"/>
  <c r="C28" i="38661"/>
  <c r="G28" i="36"/>
  <c r="I28" i="25"/>
  <c r="C28" i="27"/>
  <c r="C28" i="76" s="1"/>
  <c r="I28" i="9"/>
  <c r="I28" i="18"/>
  <c r="G28" i="38"/>
  <c r="E28" i="11"/>
  <c r="E28" i="25"/>
  <c r="G28" i="34"/>
  <c r="I28" i="54"/>
  <c r="E28" i="37"/>
  <c r="H28" i="19"/>
  <c r="E28" i="38"/>
  <c r="C28" i="11"/>
  <c r="C28" i="38655"/>
  <c r="F28" i="76"/>
  <c r="E28" i="82"/>
  <c r="E28" i="35"/>
  <c r="E28" i="34"/>
  <c r="F28" i="38656"/>
  <c r="C28" i="82"/>
  <c r="C28" i="38656"/>
  <c r="E28" i="36"/>
  <c r="F28" i="26"/>
  <c r="H28" i="11"/>
  <c r="F28" i="10"/>
  <c r="I28" i="26"/>
  <c r="E28" i="19"/>
  <c r="C36" i="38655"/>
  <c r="F36" i="26"/>
  <c r="E36" i="38"/>
  <c r="F36" i="8"/>
  <c r="E36" i="37"/>
  <c r="G36" i="34"/>
  <c r="C36" i="35"/>
  <c r="I36" i="54"/>
  <c r="F36" i="9"/>
  <c r="E36" i="35"/>
  <c r="F36" i="54"/>
  <c r="C36" i="25"/>
  <c r="C36" i="38656"/>
  <c r="H36" i="11"/>
  <c r="I36" i="9"/>
  <c r="F36" i="38655"/>
  <c r="C36" i="7"/>
  <c r="C36" i="54"/>
  <c r="C36" i="82"/>
  <c r="E36" i="25"/>
  <c r="E36" i="34"/>
  <c r="G36" i="36"/>
  <c r="C36" i="9"/>
  <c r="F36" i="10"/>
  <c r="F36" i="38656"/>
  <c r="C36" i="36"/>
  <c r="I36" i="26"/>
  <c r="C36" i="10"/>
  <c r="I36" i="18"/>
  <c r="C36"/>
  <c r="C36" i="38661"/>
  <c r="I36" i="38655"/>
  <c r="G36" i="38"/>
  <c r="G36" i="25"/>
  <c r="I36" i="10"/>
  <c r="E36" i="36"/>
  <c r="C36" i="26"/>
  <c r="E36" i="11"/>
  <c r="C36" i="27"/>
  <c r="C36" i="76" s="1"/>
  <c r="E36" i="82"/>
  <c r="C36" i="8"/>
  <c r="I36" i="25"/>
  <c r="C36" i="38"/>
  <c r="E36" i="19"/>
  <c r="C51" i="38661"/>
  <c r="I51" i="26"/>
  <c r="G51" i="38"/>
  <c r="C51" i="9"/>
  <c r="C51" i="38"/>
  <c r="I51" i="54"/>
  <c r="F51" i="8"/>
  <c r="E51" i="37"/>
  <c r="F51" i="38656"/>
  <c r="C51" i="11"/>
  <c r="E51" i="34"/>
  <c r="E51" i="35"/>
  <c r="C51" i="27"/>
  <c r="C51" i="76"/>
  <c r="F51" i="5"/>
  <c r="D51" i="6"/>
  <c r="E51" s="1"/>
  <c r="C51" i="38648" s="1"/>
  <c r="E51" i="38"/>
  <c r="G51" i="34"/>
  <c r="I51" i="38655"/>
  <c r="C51" i="38656"/>
  <c r="G51" i="36"/>
  <c r="F51" i="9"/>
  <c r="I51" i="20"/>
  <c r="E51" i="11"/>
  <c r="C51" i="7"/>
  <c r="C51" i="8"/>
  <c r="C51" i="34"/>
  <c r="H51" i="11"/>
  <c r="C51" i="38655"/>
  <c r="C51" i="37"/>
  <c r="C51" i="35"/>
  <c r="E51" i="25"/>
  <c r="I51" i="18"/>
  <c r="C51" i="54"/>
  <c r="C51" i="20"/>
  <c r="F51" i="38655"/>
  <c r="C51" i="82"/>
  <c r="C51" i="25"/>
  <c r="C51" i="10"/>
  <c r="I51" i="25"/>
  <c r="I51" i="10"/>
  <c r="C51" i="36"/>
  <c r="C51" i="26"/>
  <c r="F51" i="18"/>
  <c r="I51" i="9"/>
  <c r="F51" i="54"/>
  <c r="E51" i="82"/>
  <c r="F51" i="26"/>
  <c r="D18" i="18"/>
  <c r="J18" i="38667"/>
  <c r="C18" i="18"/>
  <c r="G40" i="76"/>
  <c r="H36" i="19"/>
  <c r="I36"/>
  <c r="L36" i="38667"/>
  <c r="M36"/>
  <c r="I36" s="1"/>
  <c r="D43" i="39"/>
  <c r="H43"/>
  <c r="F43"/>
  <c r="F43" i="19"/>
  <c r="E43"/>
  <c r="K12" i="38667"/>
  <c r="M12" s="1"/>
  <c r="F12" i="18"/>
  <c r="J26" i="38667"/>
  <c r="M26" s="1"/>
  <c r="I26" s="1"/>
  <c r="D26" i="18"/>
  <c r="C26"/>
  <c r="G31" i="76"/>
  <c r="F31"/>
  <c r="F27" i="38659"/>
  <c r="G27" s="1"/>
  <c r="K27" s="1"/>
  <c r="I27" i="38658"/>
  <c r="I24"/>
  <c r="F24" i="38659"/>
  <c r="G24"/>
  <c r="K24" s="1"/>
  <c r="D12" i="20"/>
  <c r="C12"/>
  <c r="G50" i="18"/>
  <c r="F50"/>
  <c r="G15" i="20"/>
  <c r="E14" i="5"/>
  <c r="F14" s="1"/>
  <c r="I14" i="18"/>
  <c r="I39" i="38658"/>
  <c r="F39" i="38659"/>
  <c r="G39" s="1"/>
  <c r="K39" s="1"/>
  <c r="D32" i="41"/>
  <c r="C32"/>
  <c r="K41" i="38667"/>
  <c r="K32"/>
  <c r="G32" i="18"/>
  <c r="F32"/>
  <c r="K31" i="38667"/>
  <c r="F31" i="18"/>
  <c r="G31"/>
  <c r="K28" i="38667"/>
  <c r="F28" i="18"/>
  <c r="G28"/>
  <c r="E40" i="5"/>
  <c r="D33" i="20"/>
  <c r="F25" i="39"/>
  <c r="H25"/>
  <c r="D25"/>
  <c r="C36" i="20"/>
  <c r="D36"/>
  <c r="D29"/>
  <c r="D29" i="39"/>
  <c r="H29"/>
  <c r="F29"/>
  <c r="C24" i="20"/>
  <c r="D24"/>
  <c r="D24" i="39"/>
  <c r="H24"/>
  <c r="F24"/>
  <c r="C13" i="20"/>
  <c r="I46" i="38658"/>
  <c r="F46" i="38659"/>
  <c r="G46" s="1"/>
  <c r="K46" s="1"/>
  <c r="D26" i="41"/>
  <c r="C26"/>
  <c r="G30" i="76"/>
  <c r="F30"/>
  <c r="L13" i="38667"/>
  <c r="H13" i="19"/>
  <c r="L12" i="38667"/>
  <c r="I12" i="19"/>
  <c r="H12"/>
  <c r="E11" i="15"/>
  <c r="J11" i="20" s="1"/>
  <c r="D11" i="8"/>
  <c r="L34" i="38667"/>
  <c r="I34" i="19"/>
  <c r="H34"/>
  <c r="F36" i="20"/>
  <c r="G36"/>
  <c r="D22" i="41"/>
  <c r="F20" i="76"/>
  <c r="G20"/>
  <c r="F14"/>
  <c r="G48" i="8"/>
  <c r="J21" i="38667"/>
  <c r="D21" i="18"/>
  <c r="F35" i="76"/>
  <c r="G35"/>
  <c r="J37" i="38667"/>
  <c r="D37" i="18"/>
  <c r="C37"/>
  <c r="G46" i="76"/>
  <c r="F46"/>
  <c r="J41" i="38667"/>
  <c r="M41"/>
  <c r="I41" s="1"/>
  <c r="G37" i="76"/>
  <c r="F37"/>
  <c r="J31" i="38667"/>
  <c r="C31" i="18"/>
  <c r="D31"/>
  <c r="J23" i="38667"/>
  <c r="M23" s="1"/>
  <c r="I23" s="1"/>
  <c r="D23" i="18"/>
  <c r="J14" i="38667"/>
  <c r="M14"/>
  <c r="I14" s="1"/>
  <c r="D14" i="18"/>
  <c r="C14"/>
  <c r="C13"/>
  <c r="J13" i="38667"/>
  <c r="M13" s="1"/>
  <c r="I13" s="1"/>
  <c r="D16" i="20"/>
  <c r="C16"/>
  <c r="F44"/>
  <c r="F50" i="76"/>
  <c r="G50"/>
  <c r="F31" i="19"/>
  <c r="E31"/>
  <c r="H16" i="39"/>
  <c r="D16"/>
  <c r="F16"/>
  <c r="J40" i="38667"/>
  <c r="M40" s="1"/>
  <c r="D40" i="18"/>
  <c r="G40"/>
  <c r="K40" i="38667"/>
  <c r="J43" i="38659"/>
  <c r="J43" i="26"/>
  <c r="I20" i="20"/>
  <c r="B12" i="43"/>
  <c r="F12"/>
  <c r="H12" s="1"/>
  <c r="C14" i="25"/>
  <c r="E46" i="82"/>
  <c r="F18" i="8"/>
  <c r="D43" i="26"/>
  <c r="F18" i="18"/>
  <c r="F26" i="9"/>
  <c r="F31" i="54"/>
  <c r="E22" i="19"/>
  <c r="I26" i="20"/>
  <c r="B13" i="43"/>
  <c r="F13" s="1"/>
  <c r="H13" s="1"/>
  <c r="C22" i="36"/>
  <c r="F46" i="18"/>
  <c r="C14" i="82"/>
  <c r="C14" i="35"/>
  <c r="C31" i="10"/>
  <c r="C31" i="20"/>
  <c r="C20" i="34"/>
  <c r="G13"/>
  <c r="C38" i="38655"/>
  <c r="C46" i="38656"/>
  <c r="F14" i="54"/>
  <c r="D21" i="8"/>
  <c r="I18" i="54"/>
  <c r="C46"/>
  <c r="I31" i="9"/>
  <c r="F14" i="8"/>
  <c r="C13"/>
  <c r="C31" i="7"/>
  <c r="C26"/>
  <c r="C31" i="26"/>
  <c r="D40" i="8"/>
  <c r="C31" i="27"/>
  <c r="C31" i="76"/>
  <c r="C13" i="38656"/>
  <c r="I26" i="38655"/>
  <c r="I31" i="20"/>
  <c r="C14" i="38656"/>
  <c r="I18" i="18"/>
  <c r="C43" i="41"/>
  <c r="I38" i="20"/>
  <c r="F30" i="9"/>
  <c r="E13" i="5"/>
  <c r="F13"/>
  <c r="I30" i="38655"/>
  <c r="I46" i="18"/>
  <c r="I14" i="25"/>
  <c r="E31" i="37"/>
  <c r="E30" i="34"/>
  <c r="G37" i="38659"/>
  <c r="K37" s="1"/>
  <c r="C13" i="38655"/>
  <c r="C22" i="38"/>
  <c r="I18" i="20"/>
  <c r="E26" i="36"/>
  <c r="G43" i="38667"/>
  <c r="B14" i="43"/>
  <c r="F14" s="1"/>
  <c r="H14" s="1"/>
  <c r="B16"/>
  <c r="F16" s="1"/>
  <c r="H16" s="1"/>
  <c r="I16" i="45" s="1"/>
  <c r="C14" i="19"/>
  <c r="C34" i="11"/>
  <c r="F30" i="20"/>
  <c r="F13" i="9"/>
  <c r="C13" i="25"/>
  <c r="G40" i="54"/>
  <c r="C14" i="10"/>
  <c r="F14" i="18"/>
  <c r="I20" i="25"/>
  <c r="E16" i="19"/>
  <c r="E25" i="5"/>
  <c r="K20" i="21"/>
  <c r="H14" i="19"/>
  <c r="C28" i="38"/>
  <c r="I24" i="20"/>
  <c r="C28" i="36"/>
  <c r="C22" i="82"/>
  <c r="I30" i="10"/>
  <c r="C28"/>
  <c r="C36" i="34"/>
  <c r="C18" i="27"/>
  <c r="C18" i="76" s="1"/>
  <c r="C30" i="27"/>
  <c r="C30" i="76" s="1"/>
  <c r="I34" i="38655"/>
  <c r="G43" i="10"/>
  <c r="C22" i="8"/>
  <c r="C30" i="9"/>
  <c r="F46"/>
  <c r="F35" i="8"/>
  <c r="C22" i="54"/>
  <c r="C16" i="37"/>
  <c r="C35" i="8"/>
  <c r="F34" i="18"/>
  <c r="I31" i="10"/>
  <c r="G51" i="25"/>
  <c r="D40" i="10"/>
  <c r="F35" i="18"/>
  <c r="C28" i="35"/>
  <c r="F24" i="20"/>
  <c r="F36" i="18"/>
  <c r="C26" i="20"/>
  <c r="G47" i="38659"/>
  <c r="K47" s="1"/>
  <c r="G21" i="38667"/>
  <c r="F28" i="8"/>
  <c r="I11" i="11"/>
  <c r="D11" i="54"/>
  <c r="G11" i="26"/>
  <c r="D11" i="38656"/>
  <c r="D11" i="38655"/>
  <c r="D11" i="10"/>
  <c r="G11" i="38656"/>
  <c r="G11" i="10"/>
  <c r="F11" i="11"/>
  <c r="E11" i="16"/>
  <c r="J11" i="38655"/>
  <c r="B11" i="43"/>
  <c r="D16" i="6"/>
  <c r="E16"/>
  <c r="C16" i="38648" s="1"/>
  <c r="E16" i="38667"/>
  <c r="G12" i="26"/>
  <c r="D12"/>
  <c r="J12" i="38655"/>
  <c r="J12" i="54"/>
  <c r="G12" i="38667"/>
  <c r="J12" i="20"/>
  <c r="F12" i="11"/>
  <c r="J12" i="10"/>
  <c r="D12"/>
  <c r="G12" i="38656"/>
  <c r="I12" i="11"/>
  <c r="G12" i="38655"/>
  <c r="D12" i="38661"/>
  <c r="E12" i="16"/>
  <c r="J12" i="26"/>
  <c r="C12" i="41"/>
  <c r="G12" i="54"/>
  <c r="D12" i="38656"/>
  <c r="D12" i="54"/>
  <c r="E12" i="41"/>
  <c r="D12" i="27"/>
  <c r="D12" i="76" s="1"/>
  <c r="G12" i="10"/>
  <c r="D12" i="38655"/>
  <c r="F12" i="19"/>
  <c r="E44" i="38667"/>
  <c r="D44" i="6"/>
  <c r="G43" i="44"/>
  <c r="E43" i="42" s="1"/>
  <c r="C43" i="44"/>
  <c r="C43" i="42" s="1"/>
  <c r="C43" i="45"/>
  <c r="G43" i="42" s="1"/>
  <c r="E43" i="44"/>
  <c r="D43" i="42" s="1"/>
  <c r="E43" i="45"/>
  <c r="H43" i="42" s="1"/>
  <c r="I43" i="44"/>
  <c r="F43" i="42" s="1"/>
  <c r="J14" i="38659"/>
  <c r="D14" i="38655"/>
  <c r="D14" i="38661"/>
  <c r="F14" i="11"/>
  <c r="I14"/>
  <c r="G14" i="38656"/>
  <c r="E14" i="41"/>
  <c r="D14" i="26"/>
  <c r="D14" i="54"/>
  <c r="G14" i="38667"/>
  <c r="G14" i="26"/>
  <c r="J14"/>
  <c r="G14" i="20"/>
  <c r="G14" i="10"/>
  <c r="J14" i="54"/>
  <c r="G14" i="38655"/>
  <c r="D14" i="27"/>
  <c r="D14" i="76" s="1"/>
  <c r="J14" i="38655"/>
  <c r="F14" i="19"/>
  <c r="D14" i="38656"/>
  <c r="E14" i="16"/>
  <c r="G14" i="18"/>
  <c r="I14" i="19"/>
  <c r="C14" i="41"/>
  <c r="G14" i="54"/>
  <c r="D14" i="10"/>
  <c r="J14"/>
  <c r="E45" i="16"/>
  <c r="J45" i="26"/>
  <c r="G45" i="18"/>
  <c r="G45" i="38656"/>
  <c r="J45" i="38655"/>
  <c r="E45" i="41"/>
  <c r="F45" i="11"/>
  <c r="D45" i="26"/>
  <c r="D45" i="10"/>
  <c r="J45" i="54"/>
  <c r="D45"/>
  <c r="J45" i="20"/>
  <c r="J45" i="10"/>
  <c r="I45" i="11"/>
  <c r="G45" i="26"/>
  <c r="D45" i="38661"/>
  <c r="G45" i="54"/>
  <c r="G45" i="10"/>
  <c r="D45" i="38656"/>
  <c r="G45" i="38655"/>
  <c r="D45" i="27"/>
  <c r="D45" i="76" s="1"/>
  <c r="G45" i="38667"/>
  <c r="D45" i="20"/>
  <c r="G45"/>
  <c r="D45" i="38655"/>
  <c r="H53" i="23"/>
  <c r="G17" i="45"/>
  <c r="I17" i="44"/>
  <c r="F17" i="42" s="1"/>
  <c r="C17" i="45"/>
  <c r="G17" i="42" s="1"/>
  <c r="E17" i="45"/>
  <c r="H17" i="42" s="1"/>
  <c r="G17" i="44"/>
  <c r="E17" i="42" s="1"/>
  <c r="C17" i="44"/>
  <c r="C17" i="42" s="1"/>
  <c r="E17" i="44"/>
  <c r="D17" i="42" s="1"/>
  <c r="D27" i="6"/>
  <c r="E27" s="1"/>
  <c r="C27" i="38648" s="1"/>
  <c r="E27" i="38667"/>
  <c r="E23" i="16"/>
  <c r="E23" i="41"/>
  <c r="G23" i="10"/>
  <c r="F23" i="11"/>
  <c r="D23" i="20"/>
  <c r="D23" i="26"/>
  <c r="D23" i="38661"/>
  <c r="D23" i="54"/>
  <c r="J23" i="38655"/>
  <c r="I23" i="19"/>
  <c r="G23" i="18"/>
  <c r="D23" i="27"/>
  <c r="D23" i="76" s="1"/>
  <c r="D23" i="10"/>
  <c r="J23" i="26"/>
  <c r="D23" i="38656"/>
  <c r="G23" i="38655"/>
  <c r="D23"/>
  <c r="G23" i="26"/>
  <c r="G23" i="38656"/>
  <c r="J23" i="54"/>
  <c r="I23" i="11"/>
  <c r="G23" i="54"/>
  <c r="J23" i="10"/>
  <c r="G23" i="38667"/>
  <c r="C23" i="41"/>
  <c r="E29" i="16"/>
  <c r="G29" i="26"/>
  <c r="F29" i="11"/>
  <c r="G29" i="38656"/>
  <c r="D29" i="38655"/>
  <c r="J29" i="10"/>
  <c r="D29" i="26"/>
  <c r="D29" i="38656"/>
  <c r="D29" i="38661"/>
  <c r="D29" i="10"/>
  <c r="I29" i="11"/>
  <c r="D29" i="27"/>
  <c r="D29" i="76" s="1"/>
  <c r="G29" i="38655"/>
  <c r="E29" i="41"/>
  <c r="G29" i="54"/>
  <c r="J29"/>
  <c r="G29" i="10"/>
  <c r="J29" i="26"/>
  <c r="D29" i="54"/>
  <c r="G29" i="38667"/>
  <c r="G29" i="20"/>
  <c r="G29" i="18"/>
  <c r="J29" i="38655"/>
  <c r="C29" i="41"/>
  <c r="D50" i="38655"/>
  <c r="D50" i="54"/>
  <c r="I50" i="19"/>
  <c r="D50" i="27"/>
  <c r="D50" i="76" s="1"/>
  <c r="G50" i="38656"/>
  <c r="F50" i="11"/>
  <c r="J50" i="26"/>
  <c r="J50" i="10"/>
  <c r="E50" i="16"/>
  <c r="J50" i="38655"/>
  <c r="J50" i="20"/>
  <c r="D50" i="38656"/>
  <c r="E50" i="41"/>
  <c r="D50" i="38661"/>
  <c r="I50" i="11"/>
  <c r="J50" i="54"/>
  <c r="D50" i="20"/>
  <c r="G50" i="38655"/>
  <c r="G50" i="54"/>
  <c r="D50" i="26"/>
  <c r="G50"/>
  <c r="C50" i="41"/>
  <c r="D50" i="10"/>
  <c r="G50"/>
  <c r="G30" i="38656"/>
  <c r="J30" i="54"/>
  <c r="G30" i="10"/>
  <c r="F30" i="11"/>
  <c r="G30" i="38655"/>
  <c r="D30" i="10"/>
  <c r="D30" i="38661"/>
  <c r="G30" i="26"/>
  <c r="G30" i="38667"/>
  <c r="D30" i="54"/>
  <c r="C30" i="41"/>
  <c r="E30"/>
  <c r="I30" i="11"/>
  <c r="J30" i="20"/>
  <c r="E30" i="16"/>
  <c r="D30" i="38656"/>
  <c r="D30" i="38655"/>
  <c r="D30" i="26"/>
  <c r="G30" i="20"/>
  <c r="G30" i="54"/>
  <c r="J30" i="26"/>
  <c r="D30" i="27"/>
  <c r="D30" i="76"/>
  <c r="J30" i="38655"/>
  <c r="J30" i="10"/>
  <c r="E34" i="38667"/>
  <c r="D34" i="6"/>
  <c r="E34" s="1"/>
  <c r="C34" i="38648" s="1"/>
  <c r="D48" i="41"/>
  <c r="D15" i="26"/>
  <c r="J15"/>
  <c r="G15"/>
  <c r="G15" i="76"/>
  <c r="J15" i="54"/>
  <c r="D15" i="38661"/>
  <c r="D15" i="54"/>
  <c r="C15" i="41"/>
  <c r="D15" i="38655"/>
  <c r="G15"/>
  <c r="I15" i="19"/>
  <c r="D15" i="38656"/>
  <c r="D15" i="10"/>
  <c r="E15" i="16"/>
  <c r="J15" i="38655"/>
  <c r="F15" i="11"/>
  <c r="E15" i="41"/>
  <c r="G15" i="54"/>
  <c r="I15" i="11"/>
  <c r="F15" i="19"/>
  <c r="D15" i="27"/>
  <c r="D15" i="76" s="1"/>
  <c r="D15" i="20"/>
  <c r="G15" i="38656"/>
  <c r="G15" i="10"/>
  <c r="G15" i="38667"/>
  <c r="G15" i="18"/>
  <c r="J15" i="10"/>
  <c r="J19" i="26"/>
  <c r="J19" i="10"/>
  <c r="D19" i="27"/>
  <c r="D19" i="76" s="1"/>
  <c r="I19" i="11"/>
  <c r="G19" i="10"/>
  <c r="F19" i="11"/>
  <c r="D19" i="10"/>
  <c r="D19" i="38656"/>
  <c r="D19" i="38661"/>
  <c r="D19" i="54"/>
  <c r="G19" i="38656"/>
  <c r="G19" i="26"/>
  <c r="G19" i="54"/>
  <c r="G19" i="18"/>
  <c r="J19" i="38655"/>
  <c r="J19" i="54"/>
  <c r="C19" i="41"/>
  <c r="G19" i="38655"/>
  <c r="E19" i="41"/>
  <c r="D19" i="20"/>
  <c r="E19" i="16"/>
  <c r="G19" i="20"/>
  <c r="D19" i="38655"/>
  <c r="J19" i="20"/>
  <c r="G19" i="38667"/>
  <c r="D19" i="26"/>
  <c r="D20" i="10"/>
  <c r="C20" i="41"/>
  <c r="F20" i="19"/>
  <c r="J20" i="26"/>
  <c r="G20" i="38667"/>
  <c r="G20" i="38656"/>
  <c r="G20" i="26"/>
  <c r="G20" i="38655"/>
  <c r="D20" i="54"/>
  <c r="G20" i="10"/>
  <c r="E20" i="41"/>
  <c r="D20" i="27"/>
  <c r="D20" i="76" s="1"/>
  <c r="J20" i="10"/>
  <c r="G20" i="18"/>
  <c r="I20" i="19"/>
  <c r="D20" i="38656"/>
  <c r="D20" i="26"/>
  <c r="D20" i="38655"/>
  <c r="F20" i="11"/>
  <c r="J20" i="38655"/>
  <c r="G20" i="54"/>
  <c r="E20" i="16"/>
  <c r="D20" i="38661"/>
  <c r="I20" i="11"/>
  <c r="J20" i="20"/>
  <c r="J20" i="54"/>
  <c r="D32" i="27"/>
  <c r="D32" i="76" s="1"/>
  <c r="J32" i="38655"/>
  <c r="G32" i="38667"/>
  <c r="D32" i="26"/>
  <c r="G32" i="10"/>
  <c r="D32" i="54"/>
  <c r="J32" i="26"/>
  <c r="F32" i="19"/>
  <c r="G32" i="38656"/>
  <c r="I32" i="11"/>
  <c r="E32" i="41"/>
  <c r="G32" i="54"/>
  <c r="D32" i="38655"/>
  <c r="G32" i="26"/>
  <c r="J32" i="54"/>
  <c r="E32" i="16"/>
  <c r="J32" i="10"/>
  <c r="D32" i="38661"/>
  <c r="F32" i="11"/>
  <c r="D32" i="38656"/>
  <c r="G32" i="38655"/>
  <c r="I32" i="19"/>
  <c r="D32" i="10"/>
  <c r="G11" i="20"/>
  <c r="I12" i="38667"/>
  <c r="F12" i="5"/>
  <c r="G43" i="45"/>
  <c r="I40" i="38667"/>
  <c r="G14" i="76"/>
  <c r="G12" i="18"/>
  <c r="M28" i="38667"/>
  <c r="I28"/>
  <c r="M32"/>
  <c r="I32"/>
  <c r="I29" i="19"/>
  <c r="J23" i="20"/>
  <c r="I43" i="43"/>
  <c r="B43" i="42"/>
  <c r="M11" i="38667"/>
  <c r="I11"/>
  <c r="F45" i="19"/>
  <c r="G30" i="18"/>
  <c r="I45" i="19"/>
  <c r="M45" i="38667"/>
  <c r="I45"/>
  <c r="M17"/>
  <c r="I17"/>
  <c r="I17" i="43"/>
  <c r="B17" i="42"/>
  <c r="G23" i="76"/>
  <c r="M29" i="38667"/>
  <c r="I29"/>
  <c r="J14" i="20"/>
  <c r="E12" i="38667"/>
  <c r="D12" i="6"/>
  <c r="E12" s="1"/>
  <c r="C12" i="38648" s="1"/>
  <c r="H54" i="23"/>
  <c r="F11" i="43"/>
  <c r="H11" s="1"/>
  <c r="I42" i="45"/>
  <c r="I42" i="43" s="1"/>
  <c r="B42" i="42" s="1"/>
  <c r="F45" i="9"/>
  <c r="C45" i="25"/>
  <c r="C45" i="82"/>
  <c r="E45"/>
  <c r="C45" i="10"/>
  <c r="E45" i="11"/>
  <c r="C45" i="8"/>
  <c r="I45" i="9"/>
  <c r="C45" i="34"/>
  <c r="G45"/>
  <c r="C45" i="26"/>
  <c r="F45" i="54"/>
  <c r="I45"/>
  <c r="F45" i="26"/>
  <c r="I45"/>
  <c r="C45" i="9"/>
  <c r="E45" i="37"/>
  <c r="G45" i="36"/>
  <c r="I45" i="20"/>
  <c r="I45" i="25"/>
  <c r="G45" i="38"/>
  <c r="I45" i="10"/>
  <c r="E45" i="36"/>
  <c r="C45" i="27"/>
  <c r="C45" i="76" s="1"/>
  <c r="C45" i="19"/>
  <c r="C45" i="7"/>
  <c r="H45" i="11"/>
  <c r="E45" i="35"/>
  <c r="I45" i="38655"/>
  <c r="E45" i="34"/>
  <c r="F45" i="38655"/>
  <c r="F45" i="8"/>
  <c r="C45" i="37"/>
  <c r="C45" i="36"/>
  <c r="C45" i="38661"/>
  <c r="C45" i="35"/>
  <c r="C45" i="54"/>
  <c r="C45" i="11"/>
  <c r="G45" i="25"/>
  <c r="E45" i="38"/>
  <c r="F45" i="18"/>
  <c r="F45" i="10"/>
  <c r="C45" i="38"/>
  <c r="C45" i="38656"/>
  <c r="F45"/>
  <c r="E45" i="25"/>
  <c r="F45" i="20"/>
  <c r="C45" i="38655"/>
  <c r="C45" i="20"/>
  <c r="I30" i="19"/>
  <c r="D30" i="20"/>
  <c r="C18" i="8"/>
  <c r="E18" i="35"/>
  <c r="C18" i="7"/>
  <c r="C30" i="19"/>
  <c r="C30" i="34"/>
  <c r="E30" i="37"/>
  <c r="F30" i="10"/>
  <c r="C30"/>
  <c r="C30" i="7"/>
  <c r="C30" i="82"/>
  <c r="C30" i="8"/>
  <c r="E30" i="25"/>
  <c r="C30" i="54"/>
  <c r="F30" i="8"/>
  <c r="I30" i="25"/>
  <c r="C30"/>
  <c r="E30" i="35"/>
  <c r="E30" i="38"/>
  <c r="I30" i="20"/>
  <c r="C30" i="38655"/>
  <c r="E30" i="82"/>
  <c r="F30" i="54"/>
  <c r="C30" i="37"/>
  <c r="I24" i="45"/>
  <c r="I12" i="10"/>
  <c r="G12" i="34"/>
  <c r="I12" i="25"/>
  <c r="C12" i="37"/>
  <c r="E12" i="36"/>
  <c r="E12" i="25"/>
  <c r="C12" i="38661"/>
  <c r="F12" i="54"/>
  <c r="E12" i="37"/>
  <c r="I12" i="9"/>
  <c r="C12" i="8"/>
  <c r="C12" i="82"/>
  <c r="C12" i="10"/>
  <c r="C12" i="38656"/>
  <c r="C12" i="26"/>
  <c r="H12" i="11"/>
  <c r="C12" i="34"/>
  <c r="I12" i="18"/>
  <c r="C12" i="38655"/>
  <c r="I12" i="20"/>
  <c r="C12" i="25"/>
  <c r="F16" i="76"/>
  <c r="I16" i="54"/>
  <c r="I16" i="18"/>
  <c r="F32" i="38656"/>
  <c r="E32" i="19"/>
  <c r="C32" i="38661"/>
  <c r="C32" i="35"/>
  <c r="C32" i="11"/>
  <c r="G32" i="34"/>
  <c r="E32"/>
  <c r="E32" i="35"/>
  <c r="C32" i="38655"/>
  <c r="I32" i="9"/>
  <c r="E32" i="11"/>
  <c r="C32" i="8"/>
  <c r="I32" i="10"/>
  <c r="I32" i="26"/>
  <c r="E32" i="25"/>
  <c r="C32" i="38656"/>
  <c r="E32" i="37"/>
  <c r="F32" i="38655"/>
  <c r="C32" i="10"/>
  <c r="E32" i="36"/>
  <c r="C32" i="82"/>
  <c r="F32" i="8"/>
  <c r="C32" i="37"/>
  <c r="C32" i="25"/>
  <c r="J44" i="38667"/>
  <c r="M44"/>
  <c r="I44" s="1"/>
  <c r="F43" i="38659"/>
  <c r="G43" s="1"/>
  <c r="K43" s="1"/>
  <c r="I43" i="38658"/>
  <c r="E23" i="5"/>
  <c r="G50" i="25"/>
  <c r="C50" i="38"/>
  <c r="E50" i="37"/>
  <c r="E50" i="38"/>
  <c r="C50" i="26"/>
  <c r="E50" i="34"/>
  <c r="I50" i="10"/>
  <c r="E50" i="35"/>
  <c r="E50" i="11"/>
  <c r="I50" i="25"/>
  <c r="E50" i="36"/>
  <c r="C50" i="8"/>
  <c r="C50" i="34"/>
  <c r="I50" i="18"/>
  <c r="C50" i="9"/>
  <c r="C50" i="37"/>
  <c r="F50" i="38655"/>
  <c r="F50" i="10"/>
  <c r="F50" i="26"/>
  <c r="E50" i="82"/>
  <c r="E50" i="25"/>
  <c r="C28" i="9"/>
  <c r="C36" i="37"/>
  <c r="E16" i="34"/>
  <c r="I18" i="45"/>
  <c r="I32" i="18"/>
  <c r="I43"/>
  <c r="C43" i="26"/>
  <c r="I43"/>
  <c r="E43" i="34"/>
  <c r="C43" i="38656"/>
  <c r="G43" i="34"/>
  <c r="C24" i="54"/>
  <c r="E24" i="34"/>
  <c r="H51" i="19"/>
  <c r="E51" i="36"/>
  <c r="C31" i="38"/>
  <c r="C31" i="54"/>
  <c r="C43" i="8"/>
  <c r="I43" i="20"/>
  <c r="E43" i="37"/>
  <c r="C43" i="36"/>
  <c r="E43" i="25"/>
  <c r="C43" i="34"/>
  <c r="C43" i="27"/>
  <c r="C43" i="76" s="1"/>
  <c r="F43" i="54"/>
  <c r="F43" i="26"/>
  <c r="C43" i="38661"/>
  <c r="C43" i="54"/>
  <c r="I43" i="38655"/>
  <c r="E43" i="11"/>
  <c r="E43" i="36"/>
  <c r="F43" i="38656"/>
  <c r="F43" i="8"/>
  <c r="C43" i="37"/>
  <c r="G43" i="25"/>
  <c r="C43" i="35"/>
  <c r="I43" i="9"/>
  <c r="C43" i="11"/>
  <c r="G43" i="38"/>
  <c r="I43" i="25"/>
  <c r="F43" i="76"/>
  <c r="F43" i="9"/>
  <c r="C43" i="25"/>
  <c r="E43" i="38"/>
  <c r="C43"/>
  <c r="I43" i="10"/>
  <c r="G43" i="36"/>
  <c r="H43" i="11"/>
  <c r="F43" i="38655"/>
  <c r="C43" i="9"/>
  <c r="C43" i="82"/>
  <c r="C43" i="38655"/>
  <c r="I43" i="54"/>
  <c r="F48" i="38659"/>
  <c r="G48" s="1"/>
  <c r="K48" s="1"/>
  <c r="I48" i="38658"/>
  <c r="I35" i="10"/>
  <c r="C35" i="38"/>
  <c r="E37" i="37"/>
  <c r="C37" i="54"/>
  <c r="I37" i="38655"/>
  <c r="C37" i="8"/>
  <c r="E37" i="34"/>
  <c r="F37" i="8"/>
  <c r="C37" i="9"/>
  <c r="I37" i="18"/>
  <c r="C37" i="35"/>
  <c r="F37" i="26"/>
  <c r="C37" i="7"/>
  <c r="I37" i="25"/>
  <c r="C37"/>
  <c r="F37" i="38656"/>
  <c r="C37" i="34"/>
  <c r="I37" i="10"/>
  <c r="G37" i="34"/>
  <c r="E37" i="35"/>
  <c r="F37" i="38655"/>
  <c r="I37" i="20"/>
  <c r="F37" i="54"/>
  <c r="F37" i="10"/>
  <c r="C37" i="82"/>
  <c r="C37" i="11"/>
  <c r="C37" i="38661"/>
  <c r="F13" i="38659"/>
  <c r="G13" s="1"/>
  <c r="K13" s="1"/>
  <c r="I13" i="38658"/>
  <c r="D28" i="41"/>
  <c r="C28"/>
  <c r="I35" i="38658"/>
  <c r="F35" i="38659"/>
  <c r="G35" s="1"/>
  <c r="K35" s="1"/>
  <c r="D15" i="7"/>
  <c r="F15"/>
  <c r="I15"/>
  <c r="G15"/>
  <c r="H15"/>
  <c r="C34" i="35"/>
  <c r="C44" i="36"/>
  <c r="C51" i="19"/>
  <c r="C16" i="35"/>
  <c r="C44" i="37"/>
  <c r="C48" i="70"/>
  <c r="C43" i="7"/>
  <c r="F51" i="76"/>
  <c r="E17" i="5"/>
  <c r="D24" i="26"/>
  <c r="E24" i="16"/>
  <c r="J16" i="38667"/>
  <c r="D16" i="18"/>
  <c r="E48" i="38655"/>
  <c r="G16" i="19"/>
  <c r="G16" i="38655"/>
  <c r="F15" i="52"/>
  <c r="D21" i="7"/>
  <c r="G21"/>
  <c r="I21"/>
  <c r="F28" i="38659"/>
  <c r="G28" s="1"/>
  <c r="K28" s="1"/>
  <c r="I28" i="38658"/>
  <c r="B40" i="39"/>
  <c r="B40" i="40"/>
  <c r="D40" s="1"/>
  <c r="F26" i="52"/>
  <c r="F27" i="7"/>
  <c r="H27"/>
  <c r="D27"/>
  <c r="G38" i="9"/>
  <c r="C38" i="15"/>
  <c r="E39" i="7"/>
  <c r="C39" i="15"/>
  <c r="G37" i="38655"/>
  <c r="D31" i="26"/>
  <c r="G31" i="38667"/>
  <c r="G31" i="54"/>
  <c r="F19" i="38655"/>
  <c r="C19" i="35"/>
  <c r="H19" i="11"/>
  <c r="C19" i="54"/>
  <c r="I19" i="25"/>
  <c r="F19" i="10"/>
  <c r="C19" i="8"/>
  <c r="C19" i="27"/>
  <c r="C19" i="76" s="1"/>
  <c r="C19" i="37"/>
  <c r="F19" i="38656"/>
  <c r="G19" i="34"/>
  <c r="I19" i="26"/>
  <c r="E19" i="82"/>
  <c r="G26" i="76"/>
  <c r="I26" i="11"/>
  <c r="G26" i="54"/>
  <c r="J26"/>
  <c r="G26" i="38656"/>
  <c r="G26" i="10"/>
  <c r="D26" i="54"/>
  <c r="E26" i="41"/>
  <c r="E36" i="16"/>
  <c r="F36" i="19"/>
  <c r="G36" i="10"/>
  <c r="J36"/>
  <c r="D36" i="26"/>
  <c r="G37" i="38667"/>
  <c r="J26" i="20"/>
  <c r="I19"/>
  <c r="C19" i="34"/>
  <c r="D31" i="10"/>
  <c r="D28"/>
  <c r="D31" i="20"/>
  <c r="D37" i="54"/>
  <c r="B35" i="18"/>
  <c r="J31" i="10"/>
  <c r="B48" i="26"/>
  <c r="C19" i="38655"/>
  <c r="B48" i="38656"/>
  <c r="D33" i="5"/>
  <c r="J27" i="26"/>
  <c r="G27" i="38655"/>
  <c r="F27" i="19"/>
  <c r="G27" i="26"/>
  <c r="C27" i="41"/>
  <c r="D27" i="27"/>
  <c r="D27" i="76"/>
  <c r="D27" i="38656"/>
  <c r="G27"/>
  <c r="G28" i="54"/>
  <c r="J28" i="38655"/>
  <c r="J28" i="26"/>
  <c r="G28" i="38667"/>
  <c r="I28" i="11"/>
  <c r="G28" i="10"/>
  <c r="J37" i="54"/>
  <c r="G37" i="10"/>
  <c r="D37" i="26"/>
  <c r="D37" i="27"/>
  <c r="D37" i="76" s="1"/>
  <c r="G37" i="54"/>
  <c r="D37" i="38661"/>
  <c r="D37" i="10"/>
  <c r="F35" i="11"/>
  <c r="J35" i="54"/>
  <c r="I35" i="11"/>
  <c r="G35" i="26"/>
  <c r="D35" i="10"/>
  <c r="G35" i="38655"/>
  <c r="G35" i="10"/>
  <c r="D35" i="38661"/>
  <c r="E35" i="41"/>
  <c r="D53" i="23"/>
  <c r="I31" i="11"/>
  <c r="G31" i="38655"/>
  <c r="E31" i="41"/>
  <c r="J31" i="38655"/>
  <c r="D31"/>
  <c r="G31" i="38656"/>
  <c r="J31" i="26"/>
  <c r="I19" i="38658"/>
  <c r="J46" i="38655"/>
  <c r="D46" i="38661"/>
  <c r="G46" i="18"/>
  <c r="G46" i="38667"/>
  <c r="G46" i="38656"/>
  <c r="C19" i="11"/>
  <c r="I36"/>
  <c r="G36" i="38667"/>
  <c r="D36" i="10"/>
  <c r="F31" i="11"/>
  <c r="E26" i="16"/>
  <c r="C19" i="20"/>
  <c r="F19" i="26"/>
  <c r="G42" i="38658"/>
  <c r="E13" i="70"/>
  <c r="G34" i="7"/>
  <c r="G27" i="54"/>
  <c r="H43" i="19"/>
  <c r="C43" i="10"/>
  <c r="E43" i="82"/>
  <c r="D51" i="10"/>
  <c r="J51" i="54"/>
  <c r="G51" i="38655"/>
  <c r="D36"/>
  <c r="D16" i="7"/>
  <c r="G19" i="25"/>
  <c r="C19" i="9"/>
  <c r="I19" i="18"/>
  <c r="G19" i="38"/>
  <c r="F36" i="38659"/>
  <c r="G36" s="1"/>
  <c r="K36" s="1"/>
  <c r="G26" i="18"/>
  <c r="D33" i="39"/>
  <c r="F45" i="41"/>
  <c r="G45" s="1"/>
  <c r="D46" i="10"/>
  <c r="F44" i="38659"/>
  <c r="G44" s="1"/>
  <c r="K44" s="1"/>
  <c r="G17" i="38656"/>
  <c r="E17" i="16"/>
  <c r="B50" i="43"/>
  <c r="F50" s="1"/>
  <c r="H50" s="1"/>
  <c r="D18" i="9"/>
  <c r="C22" i="15"/>
  <c r="D15" i="5"/>
  <c r="E43" i="20"/>
  <c r="F20" i="45"/>
  <c r="G45" i="38658"/>
  <c r="F41" i="45"/>
  <c r="F37"/>
  <c r="F25"/>
  <c r="E48" i="78"/>
  <c r="F40" i="45"/>
  <c r="I40" s="1"/>
  <c r="F46"/>
  <c r="G23" i="38658"/>
  <c r="G35" i="19"/>
  <c r="E33" i="20"/>
  <c r="G33" s="1"/>
  <c r="E18"/>
  <c r="G16" i="54"/>
  <c r="E38" i="76"/>
  <c r="J18" i="38655"/>
  <c r="F35" i="45"/>
  <c r="D46" i="8"/>
  <c r="E34" i="76"/>
  <c r="D16" i="8"/>
  <c r="D26"/>
  <c r="G13"/>
  <c r="D32" i="9"/>
  <c r="K40" i="3188"/>
  <c r="C40" i="5" s="1"/>
  <c r="D40" s="1"/>
  <c r="F44" i="45"/>
  <c r="I44" s="1"/>
  <c r="G44" s="1"/>
  <c r="B43" i="18"/>
  <c r="F22" i="45"/>
  <c r="I22" s="1"/>
  <c r="C48" i="46"/>
  <c r="A54"/>
  <c r="F19" i="52"/>
  <c r="F36"/>
  <c r="E32" i="7"/>
  <c r="C48" i="33"/>
  <c r="G33" i="19"/>
  <c r="G31"/>
  <c r="G52" i="38658"/>
  <c r="D50" i="19"/>
  <c r="F50" s="1"/>
  <c r="B50"/>
  <c r="D48" i="25"/>
  <c r="D11" i="19"/>
  <c r="B22" i="40"/>
  <c r="D22" s="1"/>
  <c r="E12" i="20"/>
  <c r="E48" i="26"/>
  <c r="E39" i="18"/>
  <c r="E42"/>
  <c r="K42" i="38667" s="1"/>
  <c r="M42" s="1"/>
  <c r="I42" s="1"/>
  <c r="E28" i="20"/>
  <c r="B45" i="40"/>
  <c r="D45" s="1"/>
  <c r="G18" i="19"/>
  <c r="G46" i="47"/>
  <c r="B46" i="43"/>
  <c r="F46" s="1"/>
  <c r="H46" s="1"/>
  <c r="I46" i="45" s="1"/>
  <c r="F45" i="52"/>
  <c r="G45" i="47"/>
  <c r="G41"/>
  <c r="B41" i="43"/>
  <c r="F41" s="1"/>
  <c r="H41" s="1"/>
  <c r="G39" i="47"/>
  <c r="B39" i="43"/>
  <c r="F39" s="1"/>
  <c r="H39" s="1"/>
  <c r="F38" i="52"/>
  <c r="B38" i="43"/>
  <c r="F38" s="1"/>
  <c r="H38" s="1"/>
  <c r="G36" i="47"/>
  <c r="G35"/>
  <c r="B35" i="43"/>
  <c r="F35" s="1"/>
  <c r="H35" s="1"/>
  <c r="F34" i="52"/>
  <c r="B34" i="43"/>
  <c r="F34"/>
  <c r="H34" s="1"/>
  <c r="F33" i="52"/>
  <c r="B33" i="43"/>
  <c r="F33" s="1"/>
  <c r="H33" s="1"/>
  <c r="F32" i="52"/>
  <c r="B32" i="43"/>
  <c r="F32"/>
  <c r="H32" s="1"/>
  <c r="I32" i="45" s="1"/>
  <c r="G31" i="47"/>
  <c r="B31" i="43"/>
  <c r="F31" s="1"/>
  <c r="H31" s="1"/>
  <c r="F29" i="52"/>
  <c r="G29" i="47"/>
  <c r="B29" i="43"/>
  <c r="F29"/>
  <c r="H29" s="1"/>
  <c r="F28" i="52"/>
  <c r="G28" i="47"/>
  <c r="B28" i="43"/>
  <c r="F28" s="1"/>
  <c r="H28" s="1"/>
  <c r="F27" i="52"/>
  <c r="B27" i="43"/>
  <c r="F27" s="1"/>
  <c r="H27" s="1"/>
  <c r="G26" i="47"/>
  <c r="F25" i="52"/>
  <c r="F23"/>
  <c r="G23" i="47"/>
  <c r="F21" i="52"/>
  <c r="G21" i="47"/>
  <c r="B48" i="78"/>
  <c r="D48" i="47"/>
  <c r="E48"/>
  <c r="K41" i="3188"/>
  <c r="C41" i="5"/>
  <c r="D41" s="1"/>
  <c r="C41" i="11" s="1"/>
  <c r="K25" i="3188"/>
  <c r="C25" i="5" s="1"/>
  <c r="D25" s="1"/>
  <c r="K23" i="3188"/>
  <c r="C23" i="5"/>
  <c r="D23" s="1"/>
  <c r="K21" i="3188"/>
  <c r="C21" i="5"/>
  <c r="D21" s="1"/>
  <c r="K17" i="3188"/>
  <c r="C17" i="5" s="1"/>
  <c r="D17" s="1"/>
  <c r="C17" i="82" s="1"/>
  <c r="K11" i="3188"/>
  <c r="C11" i="5" s="1"/>
  <c r="E15" i="33"/>
  <c r="D17" i="32"/>
  <c r="E32" i="33"/>
  <c r="E39"/>
  <c r="J26" i="9"/>
  <c r="G38" i="8"/>
  <c r="G39"/>
  <c r="E46" i="41"/>
  <c r="J46" i="54"/>
  <c r="G46" i="38655"/>
  <c r="D46" i="26"/>
  <c r="J25" i="38667"/>
  <c r="M25" s="1"/>
  <c r="I25" s="1"/>
  <c r="H16" i="7"/>
  <c r="I16"/>
  <c r="D46"/>
  <c r="I46"/>
  <c r="H46"/>
  <c r="D39" i="5"/>
  <c r="C39" i="82"/>
  <c r="B41" i="38659"/>
  <c r="B11" i="76"/>
  <c r="B48" i="27"/>
  <c r="D17"/>
  <c r="D17" i="76" s="1"/>
  <c r="D17" i="19"/>
  <c r="B17" i="76"/>
  <c r="E17" s="1"/>
  <c r="G17" s="1"/>
  <c r="D29" i="19"/>
  <c r="B29" i="76"/>
  <c r="E29"/>
  <c r="G29" s="1"/>
  <c r="E17" i="20"/>
  <c r="F17" i="41"/>
  <c r="G17" s="1"/>
  <c r="G27" i="8"/>
  <c r="B27" i="18"/>
  <c r="C27" s="1"/>
  <c r="D34" i="8"/>
  <c r="B34" i="18"/>
  <c r="C34" s="1"/>
  <c r="I27" i="10"/>
  <c r="E27" i="18"/>
  <c r="D23" i="39"/>
  <c r="F23"/>
  <c r="E48" i="38663"/>
  <c r="G11"/>
  <c r="G48" s="1"/>
  <c r="G13" i="9"/>
  <c r="C13" i="15"/>
  <c r="E13"/>
  <c r="I14" i="7"/>
  <c r="H14"/>
  <c r="G14"/>
  <c r="G16" i="26"/>
  <c r="G16" i="38656"/>
  <c r="D16" i="38661"/>
  <c r="D16" i="10"/>
  <c r="J16" i="38655"/>
  <c r="G17" i="54"/>
  <c r="J17" i="38655"/>
  <c r="G17" i="26"/>
  <c r="I17" i="11"/>
  <c r="D17" i="38661"/>
  <c r="J17" i="26"/>
  <c r="G42" i="8"/>
  <c r="C42" i="15"/>
  <c r="G51" i="7"/>
  <c r="D51"/>
  <c r="I51"/>
  <c r="I30"/>
  <c r="G30"/>
  <c r="B51" i="43"/>
  <c r="F51" s="1"/>
  <c r="H51" s="1"/>
  <c r="I51" i="45" s="1"/>
  <c r="B19" i="43"/>
  <c r="F19" s="1"/>
  <c r="H19" s="1"/>
  <c r="C39" i="19"/>
  <c r="B25" i="43"/>
  <c r="F25" s="1"/>
  <c r="H25" s="1"/>
  <c r="D29" i="5"/>
  <c r="E29" i="25"/>
  <c r="B48" i="11"/>
  <c r="F12" i="45"/>
  <c r="E48" i="38665"/>
  <c r="E41" i="20"/>
  <c r="E46"/>
  <c r="D46"/>
  <c r="D51" i="19"/>
  <c r="F33" i="45"/>
  <c r="I32" i="54"/>
  <c r="F38" i="45"/>
  <c r="G48" i="3188"/>
  <c r="B35" i="20"/>
  <c r="C35" s="1"/>
  <c r="B18" i="19"/>
  <c r="B24"/>
  <c r="C24" s="1"/>
  <c r="B29"/>
  <c r="E29" i="5" s="1"/>
  <c r="F29" s="1"/>
  <c r="B32" i="19"/>
  <c r="B36"/>
  <c r="E36" i="5" s="1"/>
  <c r="F36" s="1"/>
  <c r="D39" i="19"/>
  <c r="E39" s="1"/>
  <c r="B33"/>
  <c r="E19" i="76"/>
  <c r="F19" s="1"/>
  <c r="E20" i="20"/>
  <c r="G20" s="1"/>
  <c r="E39"/>
  <c r="D15" i="40"/>
  <c r="H23" i="39"/>
  <c r="E51" i="70"/>
  <c r="K42" i="3188"/>
  <c r="C42" i="5" s="1"/>
  <c r="D42" s="1"/>
  <c r="E43" i="35"/>
  <c r="E37" i="18"/>
  <c r="F37" s="1"/>
  <c r="E20" i="33"/>
  <c r="E13"/>
  <c r="G34" i="38658"/>
  <c r="F34" i="38659" s="1"/>
  <c r="G34" s="1"/>
  <c r="K34" s="1"/>
  <c r="E31" i="20"/>
  <c r="G31" s="1"/>
  <c r="B40"/>
  <c r="D40"/>
  <c r="E19" i="35"/>
  <c r="D37" i="19"/>
  <c r="H30" i="18"/>
  <c r="H45"/>
  <c r="E45" i="5" s="1"/>
  <c r="F45" s="1"/>
  <c r="E45" i="38667" s="1"/>
  <c r="E33" i="76"/>
  <c r="H35" i="18"/>
  <c r="E35" i="5" s="1"/>
  <c r="F35" s="1"/>
  <c r="F20" i="52"/>
  <c r="B20" i="43"/>
  <c r="F20" s="1"/>
  <c r="H20" s="1"/>
  <c r="D48" i="78"/>
  <c r="E48" i="81"/>
  <c r="D16" i="32"/>
  <c r="D48" s="1"/>
  <c r="E41" i="33"/>
  <c r="D48" i="38663"/>
  <c r="F48" i="14"/>
  <c r="G23" i="8"/>
  <c r="E24" i="7"/>
  <c r="C25" i="15"/>
  <c r="D25" i="8" s="1"/>
  <c r="G36"/>
  <c r="C41" i="15"/>
  <c r="E41"/>
  <c r="C44"/>
  <c r="E44"/>
  <c r="G44" i="54" s="1"/>
  <c r="E50" i="7"/>
  <c r="H50" s="1"/>
  <c r="F30" i="52"/>
  <c r="B30" i="43"/>
  <c r="F30" s="1"/>
  <c r="H30" s="1"/>
  <c r="G41" i="38658"/>
  <c r="D44" i="26"/>
  <c r="E30" i="5"/>
  <c r="F30" s="1"/>
  <c r="E30" i="38667" s="1"/>
  <c r="I30" i="18"/>
  <c r="K37" i="38667"/>
  <c r="G37" i="18"/>
  <c r="D35" i="20"/>
  <c r="F50" i="7"/>
  <c r="I50"/>
  <c r="G50"/>
  <c r="D41" i="8"/>
  <c r="D41" i="18"/>
  <c r="I45"/>
  <c r="F39" i="20"/>
  <c r="G19" i="76"/>
  <c r="C36" i="19"/>
  <c r="C29"/>
  <c r="E18" i="5"/>
  <c r="F18" s="1"/>
  <c r="C18" i="19"/>
  <c r="F51"/>
  <c r="E51"/>
  <c r="G46" i="20"/>
  <c r="F46"/>
  <c r="D42" i="18"/>
  <c r="D13" i="8"/>
  <c r="C48" i="15"/>
  <c r="D48" i="8" s="1"/>
  <c r="G27" i="18"/>
  <c r="J34" i="38667"/>
  <c r="M34" s="1"/>
  <c r="I34" s="1"/>
  <c r="D34" i="18"/>
  <c r="J27" i="38667"/>
  <c r="D27" i="18"/>
  <c r="F48" i="41"/>
  <c r="G48" s="1"/>
  <c r="I39" i="38655"/>
  <c r="I39" i="26"/>
  <c r="F39" i="54"/>
  <c r="F39" i="10"/>
  <c r="E39" i="25"/>
  <c r="I39"/>
  <c r="G39" i="38"/>
  <c r="F39" i="8"/>
  <c r="G39" i="36"/>
  <c r="E39" i="82"/>
  <c r="F39" i="9"/>
  <c r="C39" i="34"/>
  <c r="C39" i="38656"/>
  <c r="E39" i="38"/>
  <c r="C39" i="9"/>
  <c r="C39" i="25"/>
  <c r="G39" i="34"/>
  <c r="C39" i="38661"/>
  <c r="C39" i="10"/>
  <c r="C39" i="37"/>
  <c r="G39" i="25"/>
  <c r="C39" i="8"/>
  <c r="C39" i="11"/>
  <c r="H39" i="19"/>
  <c r="F39" i="76"/>
  <c r="B21" i="43"/>
  <c r="F21" s="1"/>
  <c r="H21" s="1"/>
  <c r="G48" i="47"/>
  <c r="F12" i="20"/>
  <c r="G12"/>
  <c r="F11" i="19"/>
  <c r="E50" i="5"/>
  <c r="F50" s="1"/>
  <c r="D50" i="6" s="1"/>
  <c r="E50" s="1"/>
  <c r="C50" i="38648" s="1"/>
  <c r="C50" i="19"/>
  <c r="I52" i="38658"/>
  <c r="F52" i="38659"/>
  <c r="G52" s="1"/>
  <c r="K52" s="1"/>
  <c r="L33" i="38667"/>
  <c r="M33" s="1"/>
  <c r="I33" s="1"/>
  <c r="I33" i="19"/>
  <c r="H33"/>
  <c r="G32" i="7"/>
  <c r="F32"/>
  <c r="H32"/>
  <c r="D32"/>
  <c r="I32"/>
  <c r="G34" i="76"/>
  <c r="F34"/>
  <c r="F38"/>
  <c r="G18" i="20"/>
  <c r="F18"/>
  <c r="L35" i="38667"/>
  <c r="I35" i="19"/>
  <c r="H35"/>
  <c r="F45" i="38659"/>
  <c r="G45" s="1"/>
  <c r="K45" s="1"/>
  <c r="I45" i="38658"/>
  <c r="F43" i="20"/>
  <c r="G43"/>
  <c r="D35" i="18"/>
  <c r="F39" i="7"/>
  <c r="D39"/>
  <c r="G39"/>
  <c r="I16" i="19"/>
  <c r="L16" i="38667"/>
  <c r="H16" i="19"/>
  <c r="G18" i="44"/>
  <c r="E18" i="42" s="1"/>
  <c r="E18" i="45"/>
  <c r="H18" i="42" s="1"/>
  <c r="I18" i="44"/>
  <c r="F18" i="42" s="1"/>
  <c r="G18" i="45"/>
  <c r="G42"/>
  <c r="E42"/>
  <c r="H42" i="42" s="1"/>
  <c r="E42" i="44"/>
  <c r="D42" i="42" s="1"/>
  <c r="I42" i="44"/>
  <c r="F42" i="42" s="1"/>
  <c r="C42" i="45"/>
  <c r="G42" i="42" s="1"/>
  <c r="C42" i="44"/>
  <c r="C42" i="42" s="1"/>
  <c r="G42" i="44"/>
  <c r="E42" i="42" s="1"/>
  <c r="E48" i="43"/>
  <c r="B23"/>
  <c r="F23" s="1"/>
  <c r="H23" s="1"/>
  <c r="I23" i="45" s="1"/>
  <c r="B36" i="43"/>
  <c r="F36" s="1"/>
  <c r="H36" s="1"/>
  <c r="B45"/>
  <c r="F45"/>
  <c r="H45" s="1"/>
  <c r="E24" i="5"/>
  <c r="F24" s="1"/>
  <c r="D24" i="6" s="1"/>
  <c r="E24" s="1"/>
  <c r="C24" i="38648" s="1"/>
  <c r="D44" i="18"/>
  <c r="G22" i="45"/>
  <c r="G24" i="7"/>
  <c r="I24"/>
  <c r="E48"/>
  <c r="D48" s="1"/>
  <c r="G33" i="76"/>
  <c r="F33"/>
  <c r="F31" i="20"/>
  <c r="F20"/>
  <c r="F29" i="8"/>
  <c r="G29" i="38"/>
  <c r="C29" i="8"/>
  <c r="C29" i="7"/>
  <c r="I29" i="10"/>
  <c r="G29" i="34"/>
  <c r="E29" i="82"/>
  <c r="G29" i="25"/>
  <c r="I29"/>
  <c r="E29" i="11"/>
  <c r="G29" i="36"/>
  <c r="F29" i="10"/>
  <c r="C29" i="37"/>
  <c r="C29" i="9"/>
  <c r="C29" i="25"/>
  <c r="F29" i="38655"/>
  <c r="F29" i="18"/>
  <c r="E29" i="37"/>
  <c r="I29" i="20"/>
  <c r="F29" i="26"/>
  <c r="I29" i="9"/>
  <c r="E29" i="35"/>
  <c r="C29" i="36"/>
  <c r="C29" i="10"/>
  <c r="C29" i="18"/>
  <c r="H29" i="19"/>
  <c r="C29" i="20"/>
  <c r="G17"/>
  <c r="E29" i="19"/>
  <c r="F17"/>
  <c r="E41" i="38659"/>
  <c r="B50"/>
  <c r="K48" i="3188"/>
  <c r="L18" i="38667"/>
  <c r="M18"/>
  <c r="I18" s="1"/>
  <c r="I18" i="19"/>
  <c r="H18"/>
  <c r="G28" i="20"/>
  <c r="F28"/>
  <c r="K39" i="38667"/>
  <c r="M39" s="1"/>
  <c r="I39" s="1"/>
  <c r="F39" i="18"/>
  <c r="B48" i="40"/>
  <c r="D48" s="1"/>
  <c r="E50" i="19"/>
  <c r="L31" i="38667"/>
  <c r="I31" i="19"/>
  <c r="D43" i="18"/>
  <c r="C43"/>
  <c r="J43" i="38667"/>
  <c r="M43" s="1"/>
  <c r="I43" s="1"/>
  <c r="F33" i="20"/>
  <c r="C15" i="19"/>
  <c r="G15" i="25"/>
  <c r="F15" i="18"/>
  <c r="F15" i="9"/>
  <c r="C15" i="11"/>
  <c r="I15" i="18"/>
  <c r="I15" i="38655"/>
  <c r="F15" i="54"/>
  <c r="C15" i="34"/>
  <c r="F15" i="8"/>
  <c r="C15" i="38661"/>
  <c r="F15" i="26"/>
  <c r="E15" i="82"/>
  <c r="I15" i="9"/>
  <c r="E15" i="38"/>
  <c r="G15"/>
  <c r="C15" i="35"/>
  <c r="C15" i="26"/>
  <c r="H15" i="19"/>
  <c r="C15" i="36"/>
  <c r="I15" i="10"/>
  <c r="E15" i="11"/>
  <c r="C15" i="38656"/>
  <c r="F15" i="10"/>
  <c r="C15" i="37"/>
  <c r="F15" i="20"/>
  <c r="I15"/>
  <c r="E22" i="15"/>
  <c r="D22" i="8"/>
  <c r="D22" i="18"/>
  <c r="I42" i="38658"/>
  <c r="F42" i="38659"/>
  <c r="G42"/>
  <c r="K42" s="1"/>
  <c r="C33" i="34"/>
  <c r="F33" i="8"/>
  <c r="I33" i="20"/>
  <c r="C33" i="37"/>
  <c r="E33" i="34"/>
  <c r="F33" i="54"/>
  <c r="E33" i="36"/>
  <c r="I33" i="38655"/>
  <c r="C33" i="11"/>
  <c r="C33" i="8"/>
  <c r="C33" i="10"/>
  <c r="G33" i="25"/>
  <c r="I33" i="26"/>
  <c r="G33" i="38"/>
  <c r="E33" i="35"/>
  <c r="C33" i="82"/>
  <c r="E33" i="37"/>
  <c r="C33" i="35"/>
  <c r="G33" i="36"/>
  <c r="C33" i="38655"/>
  <c r="E33" i="19"/>
  <c r="C33" i="27"/>
  <c r="C33" i="76" s="1"/>
  <c r="H33" i="11"/>
  <c r="F33" i="38655"/>
  <c r="I33" i="10"/>
  <c r="F33" i="18"/>
  <c r="C33" i="25"/>
  <c r="F33" i="26"/>
  <c r="C33" i="36"/>
  <c r="G33" i="34"/>
  <c r="E33" i="11"/>
  <c r="I33" i="18"/>
  <c r="E33" i="38"/>
  <c r="C33" i="9"/>
  <c r="F33" i="10"/>
  <c r="I33" i="25"/>
  <c r="E33"/>
  <c r="C33" i="38661"/>
  <c r="F33" i="9"/>
  <c r="C33" i="26"/>
  <c r="F33" i="38656"/>
  <c r="E33" i="82"/>
  <c r="I33" i="9"/>
  <c r="C33" i="38656"/>
  <c r="C33" i="7"/>
  <c r="C33" i="54"/>
  <c r="I33"/>
  <c r="C33" i="20"/>
  <c r="C33" i="18"/>
  <c r="C33" i="38"/>
  <c r="E39" i="15"/>
  <c r="E39" i="16" s="1"/>
  <c r="D39" i="8"/>
  <c r="D39" i="18"/>
  <c r="E38" i="15"/>
  <c r="G38" i="38655" s="1"/>
  <c r="D38" i="8"/>
  <c r="D38" i="18"/>
  <c r="F40" i="39"/>
  <c r="H40"/>
  <c r="D40"/>
  <c r="B48"/>
  <c r="D48" s="1"/>
  <c r="E24" i="45"/>
  <c r="H24" i="42" s="1"/>
  <c r="C24" i="45"/>
  <c r="G24" i="42" s="1"/>
  <c r="I24" i="44"/>
  <c r="F24" i="42" s="1"/>
  <c r="G24" i="44"/>
  <c r="E24" i="42" s="1"/>
  <c r="E24" i="44"/>
  <c r="D24" i="42" s="1"/>
  <c r="E48" i="33"/>
  <c r="D25" i="18"/>
  <c r="B26" i="43"/>
  <c r="F26" s="1"/>
  <c r="H26" s="1"/>
  <c r="I26" i="45" s="1"/>
  <c r="D44" i="8"/>
  <c r="E48" i="52"/>
  <c r="M16" i="38667"/>
  <c r="I16" s="1"/>
  <c r="F15" i="76"/>
  <c r="I37" i="45"/>
  <c r="I39" i="11"/>
  <c r="G39" i="38667"/>
  <c r="J39" i="38655"/>
  <c r="J39" i="10"/>
  <c r="E37" i="45"/>
  <c r="H37" i="42" s="1"/>
  <c r="G37" i="44"/>
  <c r="E37" i="42" s="1"/>
  <c r="C37" i="44"/>
  <c r="C37" i="42" s="1"/>
  <c r="I37" i="44"/>
  <c r="F37" i="42" s="1"/>
  <c r="C37" i="45"/>
  <c r="G37" i="42" s="1"/>
  <c r="E37" i="44"/>
  <c r="D37" i="42" s="1"/>
  <c r="I37" i="43"/>
  <c r="B37" i="42" s="1"/>
  <c r="J37" s="1"/>
  <c r="H48" i="39"/>
  <c r="D38" i="26"/>
  <c r="D38" i="27"/>
  <c r="D38" i="76" s="1"/>
  <c r="G38" i="38656"/>
  <c r="D38" i="20"/>
  <c r="G38"/>
  <c r="E38" i="41"/>
  <c r="F38" i="19"/>
  <c r="G22" i="44"/>
  <c r="E22" i="42" s="1"/>
  <c r="C22" i="45"/>
  <c r="G22" i="42" s="1"/>
  <c r="I22" i="44"/>
  <c r="F22" i="42" s="1"/>
  <c r="E22" i="45"/>
  <c r="H22" i="42" s="1"/>
  <c r="C22" i="44"/>
  <c r="C22" i="42" s="1"/>
  <c r="E22" i="44"/>
  <c r="D22" i="42" s="1"/>
  <c r="I22" i="43"/>
  <c r="B22" i="42" s="1"/>
  <c r="E24" i="38667"/>
  <c r="D13" i="54"/>
  <c r="G13" i="20"/>
  <c r="J13" i="10"/>
  <c r="G13" i="76"/>
  <c r="J13" i="26"/>
  <c r="D13" i="38661"/>
  <c r="D13" i="38655"/>
  <c r="D41" i="26"/>
  <c r="D41" i="10"/>
  <c r="D41" i="38661"/>
  <c r="F41" i="11"/>
  <c r="I41"/>
  <c r="D41" i="38656"/>
  <c r="G41" i="54"/>
  <c r="I41" i="19"/>
  <c r="J41" i="26"/>
  <c r="G41" i="76"/>
  <c r="G41" i="18"/>
  <c r="J41" i="54"/>
  <c r="F39" i="19"/>
  <c r="E22" i="16"/>
  <c r="J22" i="20"/>
  <c r="I22" i="11"/>
  <c r="J22" i="38655"/>
  <c r="G22"/>
  <c r="G22" i="18"/>
  <c r="G22" i="54"/>
  <c r="I22" i="19"/>
  <c r="G22" i="26"/>
  <c r="G22" i="10"/>
  <c r="D22" i="38656"/>
  <c r="G22"/>
  <c r="D22" i="26"/>
  <c r="J22"/>
  <c r="D22" i="38655"/>
  <c r="D22" i="54"/>
  <c r="F22" i="11"/>
  <c r="D22" i="27"/>
  <c r="D22" i="76" s="1"/>
  <c r="J22" i="10"/>
  <c r="G22" i="38667"/>
  <c r="J22" i="54"/>
  <c r="D22" i="20"/>
  <c r="E22" i="41"/>
  <c r="D22" i="38661"/>
  <c r="D22" i="10"/>
  <c r="G22" i="20"/>
  <c r="G22" i="76"/>
  <c r="C22" i="41"/>
  <c r="F22" i="19"/>
  <c r="J41" i="38659"/>
  <c r="E50"/>
  <c r="J50"/>
  <c r="D30" i="6"/>
  <c r="E30" s="1"/>
  <c r="C30" i="38648" s="1"/>
  <c r="B15" i="43"/>
  <c r="B48"/>
  <c r="F48" i="78"/>
  <c r="G37" i="45"/>
  <c r="F15" i="43"/>
  <c r="H15" s="1"/>
  <c r="G26" i="44"/>
  <c r="E26" i="42" s="1"/>
  <c r="C26" i="44"/>
  <c r="C26" i="42" s="1"/>
  <c r="C26" i="45"/>
  <c r="G26" i="42" s="1"/>
  <c r="E26" i="45"/>
  <c r="H26" i="42" s="1"/>
  <c r="I26" i="43"/>
  <c r="B26" i="42" s="1"/>
  <c r="E26" i="44"/>
  <c r="D26" i="42" s="1"/>
  <c r="I26" i="44"/>
  <c r="F26" i="42" s="1"/>
  <c r="G26" i="45"/>
  <c r="I51" i="43"/>
  <c r="B51" i="42" s="1"/>
  <c r="I29" i="45"/>
  <c r="E29" i="44" s="1"/>
  <c r="I31" i="45"/>
  <c r="E46"/>
  <c r="E13" i="38667"/>
  <c r="D13" i="6"/>
  <c r="E13" s="1"/>
  <c r="C13" i="38648" s="1"/>
  <c r="J42" i="42"/>
  <c r="F23" i="54"/>
  <c r="F23" i="26"/>
  <c r="E23" i="82"/>
  <c r="F23" i="38655"/>
  <c r="C23" i="8"/>
  <c r="C23" i="9"/>
  <c r="C23" i="37"/>
  <c r="E23" i="38"/>
  <c r="I23" i="25"/>
  <c r="E23" i="37"/>
  <c r="I23" i="38655"/>
  <c r="C23" i="38656"/>
  <c r="C23" i="34"/>
  <c r="F23" i="76"/>
  <c r="E23" i="35"/>
  <c r="C23" i="7"/>
  <c r="F23" i="10"/>
  <c r="F23" i="38656"/>
  <c r="C23" i="10"/>
  <c r="E23" i="19"/>
  <c r="I23" i="20"/>
  <c r="F23" i="18"/>
  <c r="C23" i="20"/>
  <c r="C23" i="19"/>
  <c r="E23" i="25"/>
  <c r="E23" i="36"/>
  <c r="C23" i="11"/>
  <c r="C23" i="27"/>
  <c r="C23" i="76"/>
  <c r="E23" i="11"/>
  <c r="C23" i="35"/>
  <c r="C23" i="26"/>
  <c r="C23" i="25"/>
  <c r="E23" i="34"/>
  <c r="C23" i="38661"/>
  <c r="I23" i="26"/>
  <c r="C23" i="54"/>
  <c r="C23" i="38"/>
  <c r="C23" i="36"/>
  <c r="I23" i="9"/>
  <c r="I23" i="54"/>
  <c r="G23" i="38"/>
  <c r="H23" i="19"/>
  <c r="I23" i="10"/>
  <c r="F23" i="8"/>
  <c r="G23" i="25"/>
  <c r="C23" i="82"/>
  <c r="F23" i="9"/>
  <c r="G23" i="34"/>
  <c r="C23" i="18"/>
  <c r="F23" i="20"/>
  <c r="I23" i="18"/>
  <c r="I28" i="45"/>
  <c r="I28" i="44" s="1"/>
  <c r="F28" i="42" s="1"/>
  <c r="I41" i="45"/>
  <c r="I41" i="43" s="1"/>
  <c r="B41" i="42" s="1"/>
  <c r="I50" i="45"/>
  <c r="I50" i="43" s="1"/>
  <c r="B50" i="42" s="1"/>
  <c r="I21" i="45"/>
  <c r="I21" i="43" s="1"/>
  <c r="B21" i="42" s="1"/>
  <c r="E18" i="38667"/>
  <c r="D18" i="6"/>
  <c r="E18" s="1"/>
  <c r="C18" i="38648" s="1"/>
  <c r="D45" i="6"/>
  <c r="E45" s="1"/>
  <c r="C45" i="38648" s="1"/>
  <c r="I30" i="45"/>
  <c r="I30" i="43" s="1"/>
  <c r="B30" i="42" s="1"/>
  <c r="I20" i="45"/>
  <c r="I20" i="43"/>
  <c r="B20" i="42" s="1"/>
  <c r="I25" i="45"/>
  <c r="G25" s="1"/>
  <c r="I19"/>
  <c r="I19" i="43" s="1"/>
  <c r="B19" i="42" s="1"/>
  <c r="F29" i="76"/>
  <c r="F17" i="5"/>
  <c r="D17" i="6" s="1"/>
  <c r="C17" i="9"/>
  <c r="I17"/>
  <c r="C17" i="11"/>
  <c r="C17" i="25"/>
  <c r="C17" i="38655"/>
  <c r="E17" i="82"/>
  <c r="F17" i="26"/>
  <c r="C17" i="20"/>
  <c r="C17" i="34"/>
  <c r="C17" i="10"/>
  <c r="C17" i="18"/>
  <c r="C17" i="27"/>
  <c r="C17" i="76" s="1"/>
  <c r="I17" i="10"/>
  <c r="C17" i="8"/>
  <c r="C17" i="37"/>
  <c r="G17" i="25"/>
  <c r="C17" i="26"/>
  <c r="F17" i="8"/>
  <c r="I17" i="38655"/>
  <c r="C17" i="19"/>
  <c r="F17" i="38656"/>
  <c r="G17" i="34"/>
  <c r="C17" i="38656"/>
  <c r="I17" i="26"/>
  <c r="F17" i="9"/>
  <c r="F17" i="10"/>
  <c r="C17" i="7"/>
  <c r="I21" i="54"/>
  <c r="G21" i="25"/>
  <c r="C21" i="19"/>
  <c r="C21" i="54"/>
  <c r="E21" i="25"/>
  <c r="F21" i="9"/>
  <c r="F21" i="8"/>
  <c r="I21" i="26"/>
  <c r="C21" i="82"/>
  <c r="F21" i="54"/>
  <c r="C21" i="38656"/>
  <c r="I21" i="25"/>
  <c r="E21" i="36"/>
  <c r="G21"/>
  <c r="C21" i="18"/>
  <c r="E21" i="35"/>
  <c r="H21" i="11"/>
  <c r="F21" i="26"/>
  <c r="E21" i="82"/>
  <c r="C21" i="35"/>
  <c r="I21" i="38655"/>
  <c r="C21" i="37"/>
  <c r="C21" i="38661"/>
  <c r="C21" i="11"/>
  <c r="C21" i="27"/>
  <c r="C21" i="76"/>
  <c r="C21" i="25"/>
  <c r="C21" i="7"/>
  <c r="C21" i="20"/>
  <c r="C21" i="8"/>
  <c r="F21" i="20"/>
  <c r="I21"/>
  <c r="F21" i="76"/>
  <c r="E21" i="38"/>
  <c r="E21" i="37"/>
  <c r="C21" i="26"/>
  <c r="E21" i="19"/>
  <c r="G21" i="34"/>
  <c r="I21" i="18"/>
  <c r="C21" i="10"/>
  <c r="I21"/>
  <c r="H21" i="19"/>
  <c r="E21" i="11"/>
  <c r="C21" i="34"/>
  <c r="F21" i="5"/>
  <c r="D21" i="6"/>
  <c r="F21" i="10"/>
  <c r="E21" i="34"/>
  <c r="C21" i="9"/>
  <c r="I21"/>
  <c r="C21" i="38"/>
  <c r="C21" i="36"/>
  <c r="F21" i="18"/>
  <c r="G21" i="38"/>
  <c r="C21" i="38655"/>
  <c r="F21" i="38656"/>
  <c r="F21" i="38655"/>
  <c r="H41" i="19"/>
  <c r="C41" i="38656"/>
  <c r="I41" i="20"/>
  <c r="E41" i="36"/>
  <c r="E41" i="34"/>
  <c r="I41" i="25"/>
  <c r="I41" i="54"/>
  <c r="E41" i="25"/>
  <c r="E41" i="19"/>
  <c r="G41" i="25"/>
  <c r="H41" i="11"/>
  <c r="G41" i="38"/>
  <c r="C41" i="7"/>
  <c r="G41" i="34"/>
  <c r="I41" i="18"/>
  <c r="E41" i="82"/>
  <c r="C41" i="18"/>
  <c r="C41" i="38661"/>
  <c r="I41" i="9"/>
  <c r="F41" i="10"/>
  <c r="C41" i="20"/>
  <c r="C41" i="82"/>
  <c r="C41" i="38"/>
  <c r="C41" i="26"/>
  <c r="C41" i="19"/>
  <c r="I41" i="26"/>
  <c r="F41" i="38655"/>
  <c r="I33" i="45"/>
  <c r="C33"/>
  <c r="I35"/>
  <c r="I35" i="43"/>
  <c r="B35" i="42" s="1"/>
  <c r="I38" i="45"/>
  <c r="C40" i="54"/>
  <c r="C40" i="20"/>
  <c r="C40" i="37"/>
  <c r="E40" i="11"/>
  <c r="F40" i="8"/>
  <c r="C40" i="38655"/>
  <c r="C40" i="11"/>
  <c r="I40" i="38655"/>
  <c r="H40" i="11"/>
  <c r="C40" i="34"/>
  <c r="F40" i="26"/>
  <c r="C40"/>
  <c r="C40" i="38"/>
  <c r="C40" i="8"/>
  <c r="F40" i="9"/>
  <c r="G40" i="25"/>
  <c r="C40" i="19"/>
  <c r="C40" i="9"/>
  <c r="C40" i="27"/>
  <c r="C40" i="76" s="1"/>
  <c r="I40" i="54"/>
  <c r="I40" i="25"/>
  <c r="I40" i="26"/>
  <c r="E40" i="35"/>
  <c r="E40" i="34"/>
  <c r="I40" i="20"/>
  <c r="F40" i="76"/>
  <c r="F40" i="18"/>
  <c r="C40"/>
  <c r="H40" i="19"/>
  <c r="C40" i="35"/>
  <c r="G40" i="34"/>
  <c r="E40" i="36"/>
  <c r="E40" i="37"/>
  <c r="E40" i="82"/>
  <c r="E40" i="25"/>
  <c r="C40" i="38661"/>
  <c r="F40" i="38656"/>
  <c r="F40" i="38655"/>
  <c r="C40" i="38656"/>
  <c r="C40" i="82"/>
  <c r="G40" i="36"/>
  <c r="C40"/>
  <c r="G40" i="38"/>
  <c r="C40" i="25"/>
  <c r="C40" i="7"/>
  <c r="F40" i="54"/>
  <c r="E40" i="38"/>
  <c r="I40" i="9"/>
  <c r="I40" i="10"/>
  <c r="F40"/>
  <c r="C40"/>
  <c r="F40" i="20"/>
  <c r="F40" i="5"/>
  <c r="E40" i="38667" s="1"/>
  <c r="I40" i="18"/>
  <c r="E40" i="19"/>
  <c r="I11" i="45"/>
  <c r="I11" i="43" s="1"/>
  <c r="B11" i="42" s="1"/>
  <c r="D14" i="6"/>
  <c r="E14"/>
  <c r="C14" i="38648" s="1"/>
  <c r="E14" i="38667"/>
  <c r="D37" i="6"/>
  <c r="E37" s="1"/>
  <c r="C37" i="38648" s="1"/>
  <c r="E37" i="38667"/>
  <c r="F48" i="52"/>
  <c r="C45" i="18"/>
  <c r="H45" i="19"/>
  <c r="F12" i="9"/>
  <c r="C12" i="36"/>
  <c r="C12" i="27"/>
  <c r="C12" i="76" s="1"/>
  <c r="F12" i="38656"/>
  <c r="E12" i="11"/>
  <c r="C12" i="38"/>
  <c r="G12" i="36"/>
  <c r="C12" i="9"/>
  <c r="E12" i="19"/>
  <c r="F12" i="8"/>
  <c r="C12" i="7"/>
  <c r="C12" i="11"/>
  <c r="E12" i="34"/>
  <c r="F12" i="10"/>
  <c r="I12" i="54"/>
  <c r="G12" i="38"/>
  <c r="E12"/>
  <c r="I12" i="38655"/>
  <c r="I12" i="26"/>
  <c r="C12" i="35"/>
  <c r="F12" i="26"/>
  <c r="G12" i="25"/>
  <c r="C12" i="54"/>
  <c r="E12" i="82"/>
  <c r="F12" i="38655"/>
  <c r="E12" i="35"/>
  <c r="E14" i="34"/>
  <c r="C14" i="38"/>
  <c r="E14" i="37"/>
  <c r="F14" i="38655"/>
  <c r="G14" i="36"/>
  <c r="C14"/>
  <c r="I14" i="38655"/>
  <c r="G14" i="34"/>
  <c r="C14" i="38655"/>
  <c r="I14" i="54"/>
  <c r="C14" i="26"/>
  <c r="C14" i="8"/>
  <c r="F14" i="10"/>
  <c r="C14" i="7"/>
  <c r="G14" i="25"/>
  <c r="F14" i="38656"/>
  <c r="I14" i="10"/>
  <c r="H14" i="11"/>
  <c r="F26" i="18"/>
  <c r="E26" i="35"/>
  <c r="C28" i="8"/>
  <c r="C28" i="37"/>
  <c r="I30" i="26"/>
  <c r="C30" i="35"/>
  <c r="F30" i="26"/>
  <c r="E30" i="36"/>
  <c r="H30" i="11"/>
  <c r="G30" i="38"/>
  <c r="C30" i="11"/>
  <c r="C30" i="38"/>
  <c r="I30" i="9"/>
  <c r="G30" i="36"/>
  <c r="C30" i="38661"/>
  <c r="F30" i="38656"/>
  <c r="C30" i="36"/>
  <c r="F30" i="38655"/>
  <c r="G30" i="25"/>
  <c r="I30" i="54"/>
  <c r="E30" i="11"/>
  <c r="C30" i="26"/>
  <c r="G30" i="34"/>
  <c r="C30" i="38656"/>
  <c r="C13" i="38"/>
  <c r="C13" i="19"/>
  <c r="J25" i="38659"/>
  <c r="G25"/>
  <c r="K25" s="1"/>
  <c r="C19" i="19"/>
  <c r="E19" i="36"/>
  <c r="F19" i="8"/>
  <c r="C19" i="26"/>
  <c r="I19" i="38655"/>
  <c r="C19" i="82"/>
  <c r="F19" i="20"/>
  <c r="C19" i="38661"/>
  <c r="C19" i="25"/>
  <c r="G19" i="36"/>
  <c r="C19"/>
  <c r="C19" i="38"/>
  <c r="E19" i="34"/>
  <c r="I19" i="9"/>
  <c r="I19" i="10"/>
  <c r="I19" i="54"/>
  <c r="E19" i="11"/>
  <c r="C19" i="7"/>
  <c r="F19" i="9"/>
  <c r="E19" i="38"/>
  <c r="E19" i="37"/>
  <c r="E19" i="25"/>
  <c r="F19" i="54"/>
  <c r="C19" i="10"/>
  <c r="C19" i="18"/>
  <c r="I40" i="38658"/>
  <c r="F40" i="38659"/>
  <c r="G40"/>
  <c r="K40" s="1"/>
  <c r="J38"/>
  <c r="K21" i="38667"/>
  <c r="M21" s="1"/>
  <c r="I21" s="1"/>
  <c r="G21" i="18"/>
  <c r="F19"/>
  <c r="K19" i="38667"/>
  <c r="M19" s="1"/>
  <c r="I19" s="1"/>
  <c r="K20"/>
  <c r="M20"/>
  <c r="I20" s="1"/>
  <c r="F20" i="18"/>
  <c r="D21" i="38656"/>
  <c r="D21" i="20"/>
  <c r="I21" i="11"/>
  <c r="D21" i="38661"/>
  <c r="E21" i="41"/>
  <c r="F21" i="19"/>
  <c r="E21" i="16"/>
  <c r="D21" i="10"/>
  <c r="G21" i="54"/>
  <c r="G21" i="10"/>
  <c r="J21" i="26"/>
  <c r="G21" i="20"/>
  <c r="J21"/>
  <c r="D21" i="38655"/>
  <c r="J21"/>
  <c r="G21"/>
  <c r="D21" i="26"/>
  <c r="D21" i="27"/>
  <c r="D21" i="76" s="1"/>
  <c r="G21" i="38656"/>
  <c r="I21" i="19"/>
  <c r="D21" i="54"/>
  <c r="C21" i="41"/>
  <c r="G21" i="26"/>
  <c r="J21" i="10"/>
  <c r="J21" i="54"/>
  <c r="F21" i="11"/>
  <c r="F18" i="38656"/>
  <c r="C18" i="34"/>
  <c r="C18" i="11"/>
  <c r="C18" i="54"/>
  <c r="C18" i="26"/>
  <c r="F18" i="38655"/>
  <c r="H18" i="11"/>
  <c r="G18" i="34"/>
  <c r="F18" i="9"/>
  <c r="I18" i="25"/>
  <c r="C18" i="38661"/>
  <c r="E18" i="11"/>
  <c r="G18" i="38"/>
  <c r="F18" i="54"/>
  <c r="E18" i="82"/>
  <c r="G18" i="25"/>
  <c r="C18" i="36"/>
  <c r="C18" i="20"/>
  <c r="G18" i="36"/>
  <c r="C18" i="37"/>
  <c r="I22" i="20"/>
  <c r="I22" i="25"/>
  <c r="F22" i="10"/>
  <c r="E22" i="35"/>
  <c r="C36" i="11"/>
  <c r="F36" i="76"/>
  <c r="F51" i="10"/>
  <c r="C51" i="18"/>
  <c r="F43"/>
  <c r="F43" i="10"/>
  <c r="C32" i="36"/>
  <c r="C32" i="38"/>
  <c r="C32" i="34"/>
  <c r="G32" i="38"/>
  <c r="F32" i="54"/>
  <c r="G32" i="25"/>
  <c r="I32"/>
  <c r="H32" i="19"/>
  <c r="G32" i="36"/>
  <c r="C32" i="7"/>
  <c r="E32" i="82"/>
  <c r="H32" i="11"/>
  <c r="I32" i="38655"/>
  <c r="F32" i="9"/>
  <c r="F32" i="26"/>
  <c r="C32" i="27"/>
  <c r="C32" i="76"/>
  <c r="C32" i="26"/>
  <c r="C32" i="9"/>
  <c r="C32" i="54"/>
  <c r="F32" i="10"/>
  <c r="E32" i="38"/>
  <c r="G27" i="76"/>
  <c r="E27" i="16"/>
  <c r="E27" i="41"/>
  <c r="F27" i="11"/>
  <c r="D27" i="38661"/>
  <c r="D27" i="38655"/>
  <c r="D27" i="10"/>
  <c r="J27" i="54"/>
  <c r="D27" i="26"/>
  <c r="I27" i="11"/>
  <c r="G27" i="10"/>
  <c r="G27" i="38667"/>
  <c r="J27" i="10"/>
  <c r="I27" i="19"/>
  <c r="D27" i="54"/>
  <c r="J27" i="38655"/>
  <c r="G17" i="38659"/>
  <c r="K17" s="1"/>
  <c r="J17"/>
  <c r="F32" i="39"/>
  <c r="D32"/>
  <c r="H32"/>
  <c r="G19" i="38659"/>
  <c r="K19" s="1"/>
  <c r="J51" i="38655"/>
  <c r="G51" i="38656"/>
  <c r="G51" i="26"/>
  <c r="G51" i="54"/>
  <c r="J51" i="10"/>
  <c r="I51" i="11"/>
  <c r="D51" i="38661"/>
  <c r="D51" i="27"/>
  <c r="D51" i="76"/>
  <c r="F36" i="11"/>
  <c r="D36" i="38661"/>
  <c r="D26"/>
  <c r="D26" i="38656"/>
  <c r="D46" i="39"/>
  <c r="G33" i="54"/>
  <c r="E50" i="70"/>
  <c r="E48" i="9"/>
  <c r="F39" i="45"/>
  <c r="C19" i="38656"/>
  <c r="F27" i="45"/>
  <c r="E42" i="76"/>
  <c r="G36" i="18"/>
  <c r="E44" i="76"/>
  <c r="F44" s="1"/>
  <c r="G14" i="38658"/>
  <c r="I14"/>
  <c r="G22"/>
  <c r="E26" i="5"/>
  <c r="F26" s="1"/>
  <c r="D26" i="40"/>
  <c r="F46" i="39"/>
  <c r="J16" i="54"/>
  <c r="G16" i="10"/>
  <c r="E17" i="41"/>
  <c r="G17" i="38655"/>
  <c r="B43" i="19"/>
  <c r="F34" i="45"/>
  <c r="F48" s="1"/>
  <c r="F14"/>
  <c r="B32" i="20"/>
  <c r="D32" s="1"/>
  <c r="B31" i="19"/>
  <c r="D51" i="26"/>
  <c r="G51" i="18"/>
  <c r="E12" i="76"/>
  <c r="F12" s="1"/>
  <c r="B30" i="18"/>
  <c r="D30" s="1"/>
  <c r="I27" i="54"/>
  <c r="I27" i="18"/>
  <c r="E31" i="38658"/>
  <c r="G31" s="1"/>
  <c r="D18" i="41"/>
  <c r="G44" i="76"/>
  <c r="G12"/>
  <c r="G38" i="45"/>
  <c r="G33" i="42"/>
  <c r="E21" i="38667"/>
  <c r="E21" i="6"/>
  <c r="C21" i="38648" s="1"/>
  <c r="E17" i="38667"/>
  <c r="C19" i="44"/>
  <c r="C19" i="42" s="1"/>
  <c r="E19" i="45"/>
  <c r="H19" i="42" s="1"/>
  <c r="E19" i="44"/>
  <c r="D19" i="42" s="1"/>
  <c r="C19" i="45"/>
  <c r="G19" i="42" s="1"/>
  <c r="I19" i="44"/>
  <c r="F19" i="42" s="1"/>
  <c r="G19" i="44"/>
  <c r="E19" i="42" s="1"/>
  <c r="G19" i="45"/>
  <c r="G30"/>
  <c r="E30" i="44"/>
  <c r="D30" i="42" s="1"/>
  <c r="G30" i="44"/>
  <c r="E30" i="42" s="1"/>
  <c r="I30" i="44"/>
  <c r="F30" i="42" s="1"/>
  <c r="E30" i="45"/>
  <c r="H30" i="42" s="1"/>
  <c r="C30" i="45"/>
  <c r="G30" i="42" s="1"/>
  <c r="C30" i="44"/>
  <c r="C30" i="42" s="1"/>
  <c r="G50" i="44"/>
  <c r="E50" i="42" s="1"/>
  <c r="E50" i="45"/>
  <c r="H50" i="42" s="1"/>
  <c r="C50" i="45"/>
  <c r="G50" i="42" s="1"/>
  <c r="C50" i="44"/>
  <c r="C50" i="42" s="1"/>
  <c r="E50" i="44"/>
  <c r="D50" i="42" s="1"/>
  <c r="I50" i="44"/>
  <c r="F50" i="42" s="1"/>
  <c r="G50" i="45"/>
  <c r="G41" i="44"/>
  <c r="E41" i="42" s="1"/>
  <c r="C41" i="45"/>
  <c r="G41" i="42" s="1"/>
  <c r="E41" i="45"/>
  <c r="H41" i="42" s="1"/>
  <c r="E41" i="44"/>
  <c r="D41" i="42" s="1"/>
  <c r="C41" i="44"/>
  <c r="C41" i="42" s="1"/>
  <c r="I41" i="44"/>
  <c r="F41" i="42" s="1"/>
  <c r="E32" i="45"/>
  <c r="H32" i="42" s="1"/>
  <c r="C32" i="44"/>
  <c r="C32" i="42" s="1"/>
  <c r="G32" i="44"/>
  <c r="E32" i="42" s="1"/>
  <c r="I32" i="44"/>
  <c r="F32" i="42" s="1"/>
  <c r="C32" i="45"/>
  <c r="G32" i="42" s="1"/>
  <c r="G32" i="45"/>
  <c r="G46"/>
  <c r="H46" i="42"/>
  <c r="I39" i="45"/>
  <c r="J30" i="38667"/>
  <c r="M30" s="1"/>
  <c r="I30" s="1"/>
  <c r="C30" i="18"/>
  <c r="B48"/>
  <c r="D48" s="1"/>
  <c r="C31" i="19"/>
  <c r="E31" i="5"/>
  <c r="F31" s="1"/>
  <c r="B48" i="19"/>
  <c r="E43" i="5"/>
  <c r="F43" s="1"/>
  <c r="C43" i="19"/>
  <c r="F22" i="38659"/>
  <c r="G22" s="1"/>
  <c r="K22" s="1"/>
  <c r="I22" i="38658"/>
  <c r="G48" i="9"/>
  <c r="G11" i="44"/>
  <c r="E11" i="42"/>
  <c r="E11" i="45"/>
  <c r="H11" i="42"/>
  <c r="E11" i="44"/>
  <c r="D11" i="42"/>
  <c r="I11" i="44"/>
  <c r="F11" i="42"/>
  <c r="C11" i="44"/>
  <c r="C11" i="42"/>
  <c r="G11" i="45"/>
  <c r="C11"/>
  <c r="G11" i="42" s="1"/>
  <c r="D40" i="6"/>
  <c r="E40" s="1"/>
  <c r="C40" i="38648" s="1"/>
  <c r="C35" i="45"/>
  <c r="G35" i="42" s="1"/>
  <c r="G35" i="44"/>
  <c r="E35" i="42" s="1"/>
  <c r="E35" i="44"/>
  <c r="D35" i="42" s="1"/>
  <c r="I35" i="44"/>
  <c r="F35" i="42" s="1"/>
  <c r="E35" i="45"/>
  <c r="H35" i="42" s="1"/>
  <c r="C35" i="44"/>
  <c r="C35" i="42" s="1"/>
  <c r="G35" i="45"/>
  <c r="C25" i="44"/>
  <c r="C25" i="42" s="1"/>
  <c r="C20" i="45"/>
  <c r="G20" i="42" s="1"/>
  <c r="E20" i="45"/>
  <c r="H20" i="42" s="1"/>
  <c r="C20" i="44"/>
  <c r="C20" i="42" s="1"/>
  <c r="E21" i="45"/>
  <c r="H21" i="42" s="1"/>
  <c r="G21" i="44"/>
  <c r="E21" i="42" s="1"/>
  <c r="G21" i="45"/>
  <c r="G28"/>
  <c r="G23"/>
  <c r="I16" i="44"/>
  <c r="F16" i="42" s="1"/>
  <c r="E16" i="45"/>
  <c r="H16" i="42" s="1"/>
  <c r="G16" i="44"/>
  <c r="E16" i="42" s="1"/>
  <c r="C16" i="45"/>
  <c r="G16" i="42" s="1"/>
  <c r="E16" i="44"/>
  <c r="D16" i="42" s="1"/>
  <c r="C16" i="44"/>
  <c r="C16" i="42" s="1"/>
  <c r="C31" i="45"/>
  <c r="G31" i="42" s="1"/>
  <c r="E31" i="45"/>
  <c r="H31" i="42" s="1"/>
  <c r="G31" i="44"/>
  <c r="E31" i="42" s="1"/>
  <c r="I31" i="44"/>
  <c r="F31" i="42" s="1"/>
  <c r="E31" i="44"/>
  <c r="D31" i="42" s="1"/>
  <c r="C31" i="44"/>
  <c r="C31" i="42" s="1"/>
  <c r="G31" i="45"/>
  <c r="D29" i="42"/>
  <c r="G29" i="45"/>
  <c r="E51" i="44"/>
  <c r="D51" i="42"/>
  <c r="C51" i="44"/>
  <c r="C51" i="42"/>
  <c r="I51" i="44"/>
  <c r="F51" i="42"/>
  <c r="C51" i="45"/>
  <c r="G51" i="42"/>
  <c r="E51" i="45"/>
  <c r="H51" i="42"/>
  <c r="G51" i="44"/>
  <c r="E51" i="42"/>
  <c r="G51" i="45"/>
  <c r="I14"/>
  <c r="I14" i="44" s="1"/>
  <c r="F14" i="42" s="1"/>
  <c r="I27" i="45"/>
  <c r="I27" i="44" s="1"/>
  <c r="F27" i="42" s="1"/>
  <c r="E14" i="44"/>
  <c r="D14" i="42" s="1"/>
  <c r="G14" i="44"/>
  <c r="E14" i="42" s="1"/>
  <c r="C14" i="45"/>
  <c r="G14" i="42" s="1"/>
  <c r="B52" i="22"/>
  <c r="B54"/>
  <c r="E27" i="44"/>
  <c r="D27" i="42" s="1"/>
  <c r="C27" i="45"/>
  <c r="G27" i="42" s="1"/>
  <c r="E27" i="45"/>
  <c r="H27" i="42" s="1"/>
  <c r="I27" i="43"/>
  <c r="B27" i="42" s="1"/>
  <c r="E38" i="44"/>
  <c r="D38" i="42" s="1"/>
  <c r="C38" i="45"/>
  <c r="G38" i="42" s="1"/>
  <c r="G38" i="44"/>
  <c r="E38" i="42" s="1"/>
  <c r="E38" i="45"/>
  <c r="H38" i="42" s="1"/>
  <c r="C38" i="44"/>
  <c r="C38" i="42" s="1"/>
  <c r="I38" i="44"/>
  <c r="F38" i="42" s="1"/>
  <c r="I38" i="43"/>
  <c r="B38" i="42" s="1"/>
  <c r="I45" i="45"/>
  <c r="I45" i="43" s="1"/>
  <c r="B45" i="42" s="1"/>
  <c r="E50" i="38658"/>
  <c r="E39" i="45"/>
  <c r="H39" i="42" s="1"/>
  <c r="G39" i="44"/>
  <c r="E39" i="42" s="1"/>
  <c r="C39" i="44"/>
  <c r="C39" i="42" s="1"/>
  <c r="C39" i="45"/>
  <c r="G39" i="42" s="1"/>
  <c r="E39" i="44"/>
  <c r="D39" i="42" s="1"/>
  <c r="I39" i="44"/>
  <c r="F39" i="42" s="1"/>
  <c r="I39" i="43"/>
  <c r="B39" i="42" s="1"/>
  <c r="C32" i="20"/>
  <c r="B48"/>
  <c r="F14" i="38659"/>
  <c r="E23" i="45"/>
  <c r="H23" i="42"/>
  <c r="I23" i="44"/>
  <c r="F23" i="42"/>
  <c r="G23" i="44"/>
  <c r="E23" i="42"/>
  <c r="E23" i="44"/>
  <c r="D23" i="42"/>
  <c r="C23" i="45"/>
  <c r="G23" i="42"/>
  <c r="C23" i="44"/>
  <c r="C23" i="42"/>
  <c r="I23" i="43"/>
  <c r="B23" i="42"/>
  <c r="J23" s="1"/>
  <c r="D29" i="6"/>
  <c r="E29" s="1"/>
  <c r="C29" i="38648" s="1"/>
  <c r="E29" i="38667"/>
  <c r="E32" i="44"/>
  <c r="D32" i="42" s="1"/>
  <c r="I32" i="43"/>
  <c r="B32" i="42" s="1"/>
  <c r="G16" i="45"/>
  <c r="I16" i="43"/>
  <c r="B16" i="42" s="1"/>
  <c r="J16" s="1"/>
  <c r="G39" i="45"/>
  <c r="J26" i="42"/>
  <c r="I34" i="45"/>
  <c r="G34" s="1"/>
  <c r="D39" i="38661"/>
  <c r="D39" i="26"/>
  <c r="D39" i="38656"/>
  <c r="D39" i="10"/>
  <c r="J39" i="20"/>
  <c r="G39" i="38656"/>
  <c r="D39" i="38655"/>
  <c r="E39" i="41"/>
  <c r="D39" i="54"/>
  <c r="D39" i="20"/>
  <c r="I39" i="19"/>
  <c r="C39" i="41"/>
  <c r="H48" i="7"/>
  <c r="I48"/>
  <c r="I40" i="44"/>
  <c r="F40" i="42" s="1"/>
  <c r="C40" i="45"/>
  <c r="G40" i="42" s="1"/>
  <c r="E40" i="45"/>
  <c r="H40" i="42" s="1"/>
  <c r="E40" i="44"/>
  <c r="D40" i="42" s="1"/>
  <c r="G40" i="44"/>
  <c r="E40" i="42" s="1"/>
  <c r="C40" i="44"/>
  <c r="C40" i="42" s="1"/>
  <c r="I40" i="43"/>
  <c r="B40" i="42" s="1"/>
  <c r="G40" i="45"/>
  <c r="G41" i="38655"/>
  <c r="E41" i="41"/>
  <c r="D41" i="54"/>
  <c r="J13"/>
  <c r="G13" i="10"/>
  <c r="G13" i="38655"/>
  <c r="G13" i="38656"/>
  <c r="E13" i="16"/>
  <c r="E13" i="41"/>
  <c r="D13" i="10"/>
  <c r="I13" i="11"/>
  <c r="D13" i="27"/>
  <c r="D13" i="76" s="1"/>
  <c r="F13" i="19"/>
  <c r="J13" i="38655"/>
  <c r="G13" i="54"/>
  <c r="D13" i="38656"/>
  <c r="J13" i="20"/>
  <c r="I13" i="19"/>
  <c r="I33" i="43"/>
  <c r="B33" i="42" s="1"/>
  <c r="I46" i="43"/>
  <c r="B46" i="42" s="1"/>
  <c r="G29" i="44"/>
  <c r="E29" i="42" s="1"/>
  <c r="C29" i="44"/>
  <c r="C29" i="42" s="1"/>
  <c r="I29" i="44"/>
  <c r="F29" i="42" s="1"/>
  <c r="C29" i="45"/>
  <c r="G29" i="42" s="1"/>
  <c r="E29" i="45"/>
  <c r="H29" i="42" s="1"/>
  <c r="C28" i="44"/>
  <c r="C28" i="42" s="1"/>
  <c r="E28" i="45"/>
  <c r="H28" i="42"/>
  <c r="C28" i="45"/>
  <c r="G28" i="42"/>
  <c r="E28" i="44"/>
  <c r="D28" i="42"/>
  <c r="G28" i="44"/>
  <c r="E28" i="42"/>
  <c r="C21" i="44"/>
  <c r="C21" i="42"/>
  <c r="I21" i="44"/>
  <c r="F21" i="42" s="1"/>
  <c r="C21" i="45"/>
  <c r="G21" i="42" s="1"/>
  <c r="E21" i="44"/>
  <c r="D21" i="42" s="1"/>
  <c r="I20" i="44"/>
  <c r="F20" i="42" s="1"/>
  <c r="E20" i="44"/>
  <c r="D20" i="42" s="1"/>
  <c r="G20" i="44"/>
  <c r="E20" i="42" s="1"/>
  <c r="G20" i="45"/>
  <c r="E25" i="44"/>
  <c r="D25" i="42" s="1"/>
  <c r="E25" i="45"/>
  <c r="H25" i="42" s="1"/>
  <c r="I25" i="44"/>
  <c r="F25" i="42" s="1"/>
  <c r="C25" i="45"/>
  <c r="G25" i="42" s="1"/>
  <c r="G25" i="44"/>
  <c r="E25" i="42" s="1"/>
  <c r="I46" i="44"/>
  <c r="F46" i="42"/>
  <c r="E46" i="44"/>
  <c r="D46" i="42"/>
  <c r="G46" i="44"/>
  <c r="E46" i="42"/>
  <c r="C46" i="45"/>
  <c r="G46" i="42"/>
  <c r="C46" i="44"/>
  <c r="C46" i="42"/>
  <c r="G41" i="45"/>
  <c r="G33"/>
  <c r="E33"/>
  <c r="H33" i="42"/>
  <c r="G33" i="44"/>
  <c r="E33" i="42"/>
  <c r="E33" i="44"/>
  <c r="D33" i="42"/>
  <c r="C33" i="44"/>
  <c r="C33" i="42"/>
  <c r="I33" i="44"/>
  <c r="F33" i="42"/>
  <c r="C41" i="34"/>
  <c r="F41" i="54"/>
  <c r="F41" i="38656"/>
  <c r="F41" i="9"/>
  <c r="C41" i="37"/>
  <c r="F41" i="18"/>
  <c r="C41" i="35"/>
  <c r="C41" i="54"/>
  <c r="F41" i="26"/>
  <c r="E41" i="11"/>
  <c r="E41" i="37"/>
  <c r="G41" i="36"/>
  <c r="I41" i="38655"/>
  <c r="F41" i="20"/>
  <c r="C41" i="36"/>
  <c r="E41" i="38"/>
  <c r="I41" i="10"/>
  <c r="C41" i="38655"/>
  <c r="C41" i="10"/>
  <c r="F41" i="76"/>
  <c r="E41" i="35"/>
  <c r="C41" i="9"/>
  <c r="C41" i="25"/>
  <c r="F41" i="5"/>
  <c r="C41" i="8"/>
  <c r="F41"/>
  <c r="C41" i="27"/>
  <c r="C41" i="76"/>
  <c r="F17" i="20"/>
  <c r="F17" i="18"/>
  <c r="E17" i="11"/>
  <c r="E17" i="38"/>
  <c r="C17" i="36"/>
  <c r="G17"/>
  <c r="C17" i="54"/>
  <c r="F17"/>
  <c r="H17" i="11"/>
  <c r="G17" i="38"/>
  <c r="I17" i="25"/>
  <c r="F17" i="38655"/>
  <c r="E17" i="25"/>
  <c r="F17" i="76"/>
  <c r="E17" i="19"/>
  <c r="H17"/>
  <c r="E17" i="34"/>
  <c r="C17" i="35"/>
  <c r="I17" i="18"/>
  <c r="I17" i="20"/>
  <c r="I17" i="54"/>
  <c r="E17" i="35"/>
  <c r="E17" i="37"/>
  <c r="C17" i="38"/>
  <c r="E17" i="36"/>
  <c r="C17" i="38661"/>
  <c r="F48" i="43"/>
  <c r="I36" i="45"/>
  <c r="G39" i="20"/>
  <c r="G39" i="18"/>
  <c r="G48" i="7"/>
  <c r="F48"/>
  <c r="J39" i="26"/>
  <c r="G39" i="10"/>
  <c r="G39" i="26"/>
  <c r="D39" i="27"/>
  <c r="D39" i="76"/>
  <c r="F39" i="11"/>
  <c r="G39" i="38655"/>
  <c r="J39" i="54"/>
  <c r="G41" i="20"/>
  <c r="J17" i="42"/>
  <c r="J43"/>
  <c r="C18" i="38656"/>
  <c r="C18" i="35"/>
  <c r="I18" i="26"/>
  <c r="F18"/>
  <c r="E18" i="25"/>
  <c r="E18" i="36"/>
  <c r="C18" i="82"/>
  <c r="C18" i="38655"/>
  <c r="E18" i="38"/>
  <c r="C18" i="10"/>
  <c r="C18" i="9"/>
  <c r="C18" i="38"/>
  <c r="F18" i="10"/>
  <c r="C26" i="38656"/>
  <c r="C26" i="38661"/>
  <c r="C26" i="35"/>
  <c r="F26" i="54"/>
  <c r="H26" i="11"/>
  <c r="F26" i="38655"/>
  <c r="G26" i="38"/>
  <c r="C26" i="54"/>
  <c r="G26" i="36"/>
  <c r="F26" i="26"/>
  <c r="E26" i="25"/>
  <c r="C26" i="10"/>
  <c r="C26" i="9"/>
  <c r="E26" i="37"/>
  <c r="C26" i="11"/>
  <c r="F37"/>
  <c r="D37" i="38656"/>
  <c r="J37" i="38655"/>
  <c r="C37" i="41"/>
  <c r="D37" i="38655"/>
  <c r="I37" i="11"/>
  <c r="G37" i="38656"/>
  <c r="J37" i="10"/>
  <c r="E37" i="16"/>
  <c r="E37" i="41"/>
  <c r="J37" i="26"/>
  <c r="J37" i="20"/>
  <c r="G37" i="26"/>
  <c r="I38" i="38658"/>
  <c r="F38" i="38659"/>
  <c r="G38"/>
  <c r="K38" s="1"/>
  <c r="J17" i="54"/>
  <c r="F17" i="11"/>
  <c r="D17" i="26"/>
  <c r="C17" i="41"/>
  <c r="G17" i="10"/>
  <c r="J17" i="20"/>
  <c r="D17" i="54"/>
  <c r="D17" i="38656"/>
  <c r="D17" i="38655"/>
  <c r="J17" i="10"/>
  <c r="D17"/>
  <c r="G17" i="38667"/>
  <c r="D17" i="20"/>
  <c r="I29" i="38655"/>
  <c r="C29" i="38661"/>
  <c r="C29" i="27"/>
  <c r="C29" i="76" s="1"/>
  <c r="C29" i="26"/>
  <c r="F29" i="20"/>
  <c r="F29" i="38656"/>
  <c r="I29" i="18"/>
  <c r="C29" i="38"/>
  <c r="C29" i="82"/>
  <c r="E29" i="38"/>
  <c r="I29" i="54"/>
  <c r="C29" i="38655"/>
  <c r="C29" i="35"/>
  <c r="E29" i="36"/>
  <c r="C29" i="54"/>
  <c r="F29"/>
  <c r="C29" i="38656"/>
  <c r="E29" i="34"/>
  <c r="C29"/>
  <c r="H29" i="11"/>
  <c r="F29" i="9"/>
  <c r="C29" i="11"/>
  <c r="I29" i="26"/>
  <c r="C39" i="18"/>
  <c r="F39" i="5"/>
  <c r="C39" i="27"/>
  <c r="C39" i="76" s="1"/>
  <c r="I39" i="20"/>
  <c r="H39" i="11"/>
  <c r="C39" i="7"/>
  <c r="C39" i="20"/>
  <c r="E39" i="37"/>
  <c r="F39" i="26"/>
  <c r="E39" i="11"/>
  <c r="F39" i="38655"/>
  <c r="C39" i="54"/>
  <c r="C39" i="38655"/>
  <c r="C39" i="38"/>
  <c r="I39" i="9"/>
  <c r="E39" i="36"/>
  <c r="I39" i="18"/>
  <c r="F39" i="38656"/>
  <c r="I39" i="10"/>
  <c r="C39" i="35"/>
  <c r="E39"/>
  <c r="E39" i="34"/>
  <c r="I39" i="54"/>
  <c r="C39" i="36"/>
  <c r="C39" i="26"/>
  <c r="D13" i="18"/>
  <c r="I35"/>
  <c r="G44" i="20"/>
  <c r="E44" i="6"/>
  <c r="C44" i="38648" s="1"/>
  <c r="J44" i="54"/>
  <c r="G44" i="38667"/>
  <c r="D44" i="27"/>
  <c r="D44" i="76" s="1"/>
  <c r="D44" i="38655"/>
  <c r="J44"/>
  <c r="G44" i="38656"/>
  <c r="D44" i="54"/>
  <c r="J44" i="20"/>
  <c r="I44" i="11"/>
  <c r="G44" i="26"/>
  <c r="D44" i="38661"/>
  <c r="D44" i="10"/>
  <c r="C34" i="41"/>
  <c r="E14" i="25"/>
  <c r="I14" i="26"/>
  <c r="C14" i="54"/>
  <c r="C14" i="37"/>
  <c r="C14" i="27"/>
  <c r="C14" i="76" s="1"/>
  <c r="E14" i="36"/>
  <c r="E14" i="38"/>
  <c r="C14" i="11"/>
  <c r="F14" i="9"/>
  <c r="G14" i="38"/>
  <c r="E14" i="19"/>
  <c r="F14" i="20"/>
  <c r="E14" i="11"/>
  <c r="I14" i="9"/>
  <c r="F14" i="26"/>
  <c r="C14" i="34"/>
  <c r="C14" i="9"/>
  <c r="E14" i="82"/>
  <c r="C14" i="38661"/>
  <c r="E14" i="35"/>
  <c r="J35" i="20"/>
  <c r="D35" i="54"/>
  <c r="E35" i="16"/>
  <c r="J35" i="38655"/>
  <c r="D35"/>
  <c r="G35" i="54"/>
  <c r="G35" i="18"/>
  <c r="J35" i="10"/>
  <c r="G35" i="38667"/>
  <c r="G35" i="20"/>
  <c r="D35" i="26"/>
  <c r="D35" i="27"/>
  <c r="D35" i="76" s="1"/>
  <c r="D35" i="38656"/>
  <c r="G35"/>
  <c r="J35" i="26"/>
  <c r="C35" i="41"/>
  <c r="F35" i="19"/>
  <c r="I26" i="38658"/>
  <c r="F26" i="38659"/>
  <c r="G26" s="1"/>
  <c r="K26" s="1"/>
  <c r="J16" i="26"/>
  <c r="D16" i="38655"/>
  <c r="I16" i="11"/>
  <c r="D16" i="54"/>
  <c r="F16" i="11"/>
  <c r="G16" i="38667"/>
  <c r="G16" i="76"/>
  <c r="F16" i="19"/>
  <c r="E16" i="16"/>
  <c r="D16" i="38656"/>
  <c r="D16" i="27"/>
  <c r="D16" i="76" s="1"/>
  <c r="E16" i="41"/>
  <c r="C16"/>
  <c r="J16" i="10"/>
  <c r="D16" i="26"/>
  <c r="G34" i="10"/>
  <c r="G34" i="38667"/>
  <c r="E34" i="41"/>
  <c r="F34" i="11"/>
  <c r="D34" i="27"/>
  <c r="D34" i="76" s="1"/>
  <c r="D34" i="38655"/>
  <c r="D34" i="26"/>
  <c r="G34" i="38655"/>
  <c r="D34" i="10"/>
  <c r="J34" i="54"/>
  <c r="D34"/>
  <c r="G34" i="26"/>
  <c r="G34" i="20"/>
  <c r="D34"/>
  <c r="G34" i="54"/>
  <c r="D34" i="38656"/>
  <c r="J34" i="10"/>
  <c r="I34" i="11"/>
  <c r="G34" i="38656"/>
  <c r="J34" i="26"/>
  <c r="G34" i="18"/>
  <c r="J34" i="38655"/>
  <c r="E34" i="16"/>
  <c r="D34" i="38661"/>
  <c r="J34" i="20"/>
  <c r="F34" i="19"/>
  <c r="D12" i="38654"/>
  <c r="I22" i="38648"/>
  <c r="J21" i="38651"/>
  <c r="C38" i="10"/>
  <c r="F38" i="54"/>
  <c r="I38" i="10"/>
  <c r="C38" i="7"/>
  <c r="F38" i="5"/>
  <c r="E38" i="38667" s="1"/>
  <c r="I38" i="18"/>
  <c r="E38" i="34"/>
  <c r="F38" i="8"/>
  <c r="C38" i="20"/>
  <c r="E38" i="82"/>
  <c r="C38" i="11"/>
  <c r="G38" i="36"/>
  <c r="I38" i="54"/>
  <c r="I38" i="25"/>
  <c r="C38" i="38"/>
  <c r="F38" i="38656"/>
  <c r="C38" i="34"/>
  <c r="C38" i="9"/>
  <c r="G38" i="38"/>
  <c r="C38" i="26"/>
  <c r="C38" i="38661"/>
  <c r="E38" i="11"/>
  <c r="F38" i="38655"/>
  <c r="E26" i="34"/>
  <c r="F26" i="76"/>
  <c r="G26" i="25"/>
  <c r="C26" i="38"/>
  <c r="I26" i="18"/>
  <c r="C26" i="19"/>
  <c r="C26" i="27"/>
  <c r="C26" i="76" s="1"/>
  <c r="C26" i="82"/>
  <c r="E26" i="38"/>
  <c r="F26" i="38656"/>
  <c r="I26" i="25"/>
  <c r="I26" i="10"/>
  <c r="C26" i="36"/>
  <c r="F26" i="8"/>
  <c r="C26"/>
  <c r="E18" i="34"/>
  <c r="I18" i="9"/>
  <c r="C18" i="25"/>
  <c r="D31" i="38661"/>
  <c r="I18" i="38648"/>
  <c r="I26"/>
  <c r="I28"/>
  <c r="F25" i="21"/>
  <c r="J42" i="38651"/>
  <c r="J28"/>
  <c r="J38"/>
  <c r="K19" i="21"/>
  <c r="E14"/>
  <c r="D50" i="22"/>
  <c r="E17" i="21"/>
  <c r="J39" i="23"/>
  <c r="J51"/>
  <c r="J50" i="22"/>
  <c r="D25" i="21"/>
  <c r="K15"/>
  <c r="K17"/>
  <c r="K13"/>
  <c r="C16"/>
  <c r="C25" s="1"/>
  <c r="J21" i="23"/>
  <c r="E16" i="21"/>
  <c r="H50" i="22"/>
  <c r="K14" i="21"/>
  <c r="C36" i="45"/>
  <c r="G36" i="42"/>
  <c r="E36" i="45"/>
  <c r="H36" i="42"/>
  <c r="I36" i="44"/>
  <c r="F36" i="42"/>
  <c r="E36" i="44"/>
  <c r="D36" i="42"/>
  <c r="G36" i="45"/>
  <c r="G36" i="44"/>
  <c r="E36" i="42" s="1"/>
  <c r="C36" i="44"/>
  <c r="C36" i="42" s="1"/>
  <c r="A54"/>
  <c r="G14" i="38659"/>
  <c r="K14" s="1"/>
  <c r="D38" i="6"/>
  <c r="E38" s="1"/>
  <c r="C38" i="38648" s="1"/>
  <c r="D39" i="6"/>
  <c r="E39" s="1"/>
  <c r="C39" i="38648" s="1"/>
  <c r="E39" i="38667"/>
  <c r="E41"/>
  <c r="D41" i="6"/>
  <c r="E41" s="1"/>
  <c r="C41" i="38648" s="1"/>
  <c r="G34" i="44"/>
  <c r="E34" i="42"/>
  <c r="I34" i="44"/>
  <c r="F34" i="42"/>
  <c r="E34" i="45"/>
  <c r="H34" i="42"/>
  <c r="C34" i="45"/>
  <c r="G34" i="42"/>
  <c r="E34" i="44"/>
  <c r="D34" i="42"/>
  <c r="C34" i="44"/>
  <c r="C34" i="42"/>
  <c r="I34" i="43"/>
  <c r="B34" i="42"/>
  <c r="J34" s="1"/>
  <c r="D54" i="23"/>
  <c r="C45" i="44"/>
  <c r="C45" i="42"/>
  <c r="E45" i="45"/>
  <c r="H45" i="42"/>
  <c r="G45" i="44"/>
  <c r="E45" i="42"/>
  <c r="E45" i="44"/>
  <c r="D45" i="42"/>
  <c r="I45" i="44"/>
  <c r="F45" i="42"/>
  <c r="C45" i="45"/>
  <c r="G45" i="42"/>
  <c r="G45" i="45"/>
  <c r="I36" i="43"/>
  <c r="B36" i="42" s="1"/>
  <c r="H54" i="22"/>
  <c r="H52"/>
  <c r="J53" i="23"/>
  <c r="K21" s="1"/>
  <c r="N12" s="1"/>
  <c r="K16" i="21"/>
  <c r="K25" s="1"/>
  <c r="E25"/>
  <c r="K19" i="23"/>
  <c r="G20"/>
  <c r="E29" i="22"/>
  <c r="C32" i="23"/>
  <c r="C22" i="22"/>
  <c r="G35"/>
  <c r="E41" i="23"/>
  <c r="C34"/>
  <c r="E14" i="22"/>
  <c r="C37"/>
  <c r="C29" i="23"/>
  <c r="C18" i="22"/>
  <c r="E18"/>
  <c r="G41" i="23"/>
  <c r="E37" i="22"/>
  <c r="G16"/>
  <c r="G45" i="23"/>
  <c r="G14"/>
  <c r="K48"/>
  <c r="N16" s="1"/>
  <c r="N17" s="1"/>
  <c r="E22"/>
  <c r="C33"/>
  <c r="G26"/>
  <c r="K42" i="22"/>
  <c r="C45"/>
  <c r="K26"/>
  <c r="G18" i="23"/>
  <c r="G14" i="22"/>
  <c r="C36" i="23"/>
  <c r="C24"/>
  <c r="K28"/>
  <c r="C20" i="22"/>
  <c r="G27"/>
  <c r="K41"/>
  <c r="G45"/>
  <c r="E41"/>
  <c r="C36"/>
  <c r="E16"/>
  <c r="I44"/>
  <c r="K36"/>
  <c r="G44"/>
  <c r="G30"/>
  <c r="G36"/>
  <c r="E17"/>
  <c r="C44" i="23"/>
  <c r="E42" i="22"/>
  <c r="G15"/>
  <c r="I37"/>
  <c r="G25"/>
  <c r="C26" i="23"/>
  <c r="I48"/>
  <c r="K44" i="22"/>
  <c r="C18" i="23"/>
  <c r="K27"/>
  <c r="C26" i="22"/>
  <c r="I24"/>
  <c r="C43"/>
  <c r="G24" i="23"/>
  <c r="K29" i="22"/>
  <c r="K35"/>
  <c r="I31"/>
  <c r="K25" i="23"/>
  <c r="C25"/>
  <c r="G17"/>
  <c r="C41" i="22"/>
  <c r="G28"/>
  <c r="E38" i="23"/>
  <c r="E39"/>
  <c r="K45"/>
  <c r="N15" s="1"/>
  <c r="E21"/>
  <c r="G21"/>
  <c r="K20"/>
  <c r="K30"/>
  <c r="K32"/>
  <c r="K26"/>
  <c r="K17"/>
  <c r="G53"/>
  <c r="N30"/>
  <c r="I51"/>
  <c r="G50" i="22"/>
  <c r="N25" i="23" s="1"/>
  <c r="C50" i="22"/>
  <c r="N23" i="23" s="1"/>
  <c r="I53"/>
  <c r="N31" s="1"/>
  <c r="I41" i="22"/>
  <c r="I35"/>
  <c r="E45"/>
  <c r="E34" i="23"/>
  <c r="C25" i="22"/>
  <c r="C39" i="23"/>
  <c r="E44" i="22"/>
  <c r="E26"/>
  <c r="E31" i="23"/>
  <c r="E45"/>
  <c r="I33" i="22"/>
  <c r="E43"/>
  <c r="K28"/>
  <c r="K34"/>
  <c r="C21" i="23"/>
  <c r="E44"/>
  <c r="E24" i="22"/>
  <c r="K22" i="23"/>
  <c r="N13" s="1"/>
  <c r="K38"/>
  <c r="C38"/>
  <c r="G35"/>
  <c r="E36"/>
  <c r="I20" i="22"/>
  <c r="E32"/>
  <c r="E28"/>
  <c r="K15" i="23"/>
  <c r="I50"/>
  <c r="C14"/>
  <c r="E35"/>
  <c r="K43" i="22"/>
  <c r="K21"/>
  <c r="K18"/>
  <c r="C45" i="23"/>
  <c r="G33"/>
  <c r="C30" i="22"/>
  <c r="E17" i="23"/>
  <c r="K16" i="22"/>
  <c r="G34"/>
  <c r="G36" i="23"/>
  <c r="G38" i="22"/>
  <c r="K30"/>
  <c r="G41"/>
  <c r="E30"/>
  <c r="E14" i="23"/>
  <c r="I38" i="22"/>
  <c r="I22"/>
  <c r="C29"/>
  <c r="G28" i="23"/>
  <c r="E25" i="22"/>
  <c r="C24"/>
  <c r="G32"/>
  <c r="C31"/>
  <c r="I30"/>
  <c r="E28" i="23"/>
  <c r="C35"/>
  <c r="C22"/>
  <c r="G39" i="22"/>
  <c r="C21"/>
  <c r="G37"/>
  <c r="C15"/>
  <c r="K44" i="23"/>
  <c r="C35" i="22"/>
  <c r="K45"/>
  <c r="K43" i="23"/>
  <c r="G26" i="22"/>
  <c r="G18"/>
  <c r="E33" i="23"/>
  <c r="E16"/>
  <c r="E32"/>
  <c r="G22"/>
  <c r="G37"/>
  <c r="E19" i="22"/>
  <c r="E25" i="23"/>
  <c r="G22" i="22"/>
  <c r="C28" i="23"/>
  <c r="G16"/>
  <c r="K25" i="22"/>
  <c r="G43" i="23"/>
  <c r="G17" i="22"/>
  <c r="C53" i="23"/>
  <c r="N28" s="1"/>
  <c r="G29"/>
  <c r="C14" i="22"/>
  <c r="I43"/>
  <c r="I14"/>
  <c r="G38" i="23"/>
  <c r="K14" i="22"/>
  <c r="K31"/>
  <c r="C32"/>
  <c r="C28"/>
  <c r="G31"/>
  <c r="K37" i="23"/>
  <c r="I17" i="22"/>
  <c r="C31" i="23"/>
  <c r="E34" i="22"/>
  <c r="E30" i="23"/>
  <c r="K24" i="22"/>
  <c r="C27" i="23"/>
  <c r="C42"/>
  <c r="C17" i="22"/>
  <c r="G20"/>
  <c r="C27"/>
  <c r="E20" i="23"/>
  <c r="K38" i="22"/>
  <c r="K20"/>
  <c r="E31"/>
  <c r="E27" i="23"/>
  <c r="G15"/>
  <c r="E38" i="22"/>
  <c r="G24"/>
  <c r="G27" i="23"/>
  <c r="G43" i="22"/>
  <c r="G42" i="23"/>
  <c r="C43"/>
  <c r="I32" i="22"/>
  <c r="E43" i="23"/>
  <c r="I28" i="22"/>
  <c r="K15"/>
  <c r="C20" i="23"/>
  <c r="I45" i="22"/>
  <c r="K17"/>
  <c r="E21"/>
  <c r="G21"/>
  <c r="K41" i="23"/>
  <c r="I49"/>
  <c r="C39" i="22"/>
  <c r="K35" i="23"/>
  <c r="K31"/>
  <c r="K29"/>
  <c r="K33"/>
  <c r="K14"/>
  <c r="K49"/>
  <c r="E35" i="22"/>
  <c r="G39" i="23"/>
  <c r="I42" i="22"/>
  <c r="G44" i="23"/>
  <c r="C30"/>
  <c r="E53"/>
  <c r="N29" s="1"/>
  <c r="E39" i="22"/>
  <c r="K39"/>
  <c r="K16" i="23"/>
  <c r="K36"/>
  <c r="K50"/>
  <c r="K18"/>
  <c r="K34"/>
  <c r="I21" i="22"/>
  <c r="I39"/>
  <c r="I50"/>
  <c r="N26" i="23"/>
  <c r="K50" i="22"/>
  <c r="N27" i="23"/>
  <c r="K39"/>
  <c r="N14"/>
  <c r="E50" i="22"/>
  <c r="N24" i="23"/>
  <c r="K51"/>
  <c r="E26" i="38667" l="1"/>
  <c r="D26" i="6"/>
  <c r="E26" s="1"/>
  <c r="C26" i="38648" s="1"/>
  <c r="F42" i="18"/>
  <c r="C42" i="25"/>
  <c r="I42" i="54"/>
  <c r="C42" i="36"/>
  <c r="E42"/>
  <c r="G42"/>
  <c r="C42" i="8"/>
  <c r="C42" i="7"/>
  <c r="F42" i="38656"/>
  <c r="C42"/>
  <c r="E42" i="25"/>
  <c r="C42" i="38655"/>
  <c r="F42" i="9"/>
  <c r="C42" i="19"/>
  <c r="F42" i="76"/>
  <c r="F42" i="8"/>
  <c r="E42" i="19"/>
  <c r="E42" i="38"/>
  <c r="E42" i="35"/>
  <c r="F42" i="10"/>
  <c r="C42" i="38"/>
  <c r="C42" i="18"/>
  <c r="C42" i="82"/>
  <c r="E42" i="34"/>
  <c r="F42" i="20"/>
  <c r="E42" i="11"/>
  <c r="C42" i="34"/>
  <c r="F42" i="54"/>
  <c r="F42" i="38655"/>
  <c r="C42" i="9"/>
  <c r="F42" i="26"/>
  <c r="I42" i="25"/>
  <c r="C42" i="11"/>
  <c r="I42" i="20"/>
  <c r="G42" i="38"/>
  <c r="C42" i="35"/>
  <c r="I42" i="9"/>
  <c r="C42" i="54"/>
  <c r="C42" i="38661"/>
  <c r="C42" i="27"/>
  <c r="C42" i="76" s="1"/>
  <c r="C42" i="20"/>
  <c r="H42" i="19"/>
  <c r="F42" i="5"/>
  <c r="I42" i="26"/>
  <c r="C42"/>
  <c r="G42" i="25"/>
  <c r="H42" i="11"/>
  <c r="E42" i="37"/>
  <c r="I42" i="10"/>
  <c r="C42"/>
  <c r="I42" i="18"/>
  <c r="G42" i="34"/>
  <c r="C42" i="37"/>
  <c r="I42" i="38655"/>
  <c r="E42" i="82"/>
  <c r="C25" i="10"/>
  <c r="E25" i="11"/>
  <c r="E25" i="82"/>
  <c r="C25" i="35"/>
  <c r="G25" i="34"/>
  <c r="F25" i="26"/>
  <c r="C25" i="37"/>
  <c r="E25" i="25"/>
  <c r="C25" i="18"/>
  <c r="C25" i="26"/>
  <c r="C25" i="7"/>
  <c r="F25" i="38655"/>
  <c r="H25" i="19"/>
  <c r="F25" i="10"/>
  <c r="C25" i="27"/>
  <c r="C25" i="76" s="1"/>
  <c r="E25" i="36"/>
  <c r="C25" i="8"/>
  <c r="C25" i="25"/>
  <c r="F25" i="38656"/>
  <c r="I25" i="9"/>
  <c r="C25" i="34"/>
  <c r="E25" i="35"/>
  <c r="I25" i="25"/>
  <c r="C25" i="9"/>
  <c r="C25" i="82"/>
  <c r="C25" i="38656"/>
  <c r="F25" i="5"/>
  <c r="F25" i="54"/>
  <c r="I25" i="26"/>
  <c r="I25" i="10"/>
  <c r="F25" i="8"/>
  <c r="E25" i="19"/>
  <c r="G25" i="25"/>
  <c r="F25" i="20"/>
  <c r="I25" i="54"/>
  <c r="I25" i="38655"/>
  <c r="H25" i="11"/>
  <c r="C25" i="38"/>
  <c r="C25" i="38655"/>
  <c r="C25" i="54"/>
  <c r="C25" i="20"/>
  <c r="C25" i="38661"/>
  <c r="E25" i="38"/>
  <c r="I25" i="18"/>
  <c r="E25" i="37"/>
  <c r="C25" i="11"/>
  <c r="F25" i="9"/>
  <c r="C25" i="19"/>
  <c r="G25" i="36"/>
  <c r="G25" i="38"/>
  <c r="E25" i="34"/>
  <c r="F25" i="18"/>
  <c r="I25" i="20"/>
  <c r="C25" i="36"/>
  <c r="F25" i="76"/>
  <c r="J41" i="42"/>
  <c r="C32" i="19"/>
  <c r="E32" i="5"/>
  <c r="F32" s="1"/>
  <c r="E48" i="18"/>
  <c r="K27" i="38667"/>
  <c r="F27" i="18"/>
  <c r="D48" i="19"/>
  <c r="F29"/>
  <c r="D11" i="5"/>
  <c r="C48"/>
  <c r="G48" i="19"/>
  <c r="H31"/>
  <c r="E42" i="23"/>
  <c r="K22" i="22"/>
  <c r="C38"/>
  <c r="G31" i="23"/>
  <c r="E37"/>
  <c r="E24"/>
  <c r="G25"/>
  <c r="I27" i="22"/>
  <c r="K53" i="23"/>
  <c r="K42"/>
  <c r="C16" i="22"/>
  <c r="C16" i="23"/>
  <c r="K27" i="22"/>
  <c r="E15"/>
  <c r="G33"/>
  <c r="K32"/>
  <c r="I36"/>
  <c r="E20"/>
  <c r="C42"/>
  <c r="K24" i="23"/>
  <c r="G30"/>
  <c r="E27" i="22"/>
  <c r="E15" i="23"/>
  <c r="K13"/>
  <c r="E33" i="22"/>
  <c r="K33"/>
  <c r="I16"/>
  <c r="C41" i="23"/>
  <c r="C15"/>
  <c r="K37" i="22"/>
  <c r="G42"/>
  <c r="I15"/>
  <c r="C33"/>
  <c r="E22"/>
  <c r="C17" i="23"/>
  <c r="E29"/>
  <c r="G29" i="22"/>
  <c r="I26"/>
  <c r="G34" i="23"/>
  <c r="I25" i="22"/>
  <c r="I18"/>
  <c r="C44"/>
  <c r="G32" i="23"/>
  <c r="E18"/>
  <c r="E36" i="22"/>
  <c r="C34"/>
  <c r="I29"/>
  <c r="I34"/>
  <c r="E26" i="23"/>
  <c r="C37"/>
  <c r="J36" i="42"/>
  <c r="J33"/>
  <c r="J39"/>
  <c r="G27" i="45"/>
  <c r="J38" i="42"/>
  <c r="G27" i="44"/>
  <c r="E27" i="42" s="1"/>
  <c r="C27" i="44"/>
  <c r="C27" i="42" s="1"/>
  <c r="J48" i="38667"/>
  <c r="G14" i="45"/>
  <c r="I14" i="43"/>
  <c r="B14" i="42" s="1"/>
  <c r="C14" i="44"/>
  <c r="C14" i="42" s="1"/>
  <c r="E14" i="45"/>
  <c r="H14" i="42" s="1"/>
  <c r="J22"/>
  <c r="G38" i="26"/>
  <c r="D38" i="10"/>
  <c r="C38" i="41"/>
  <c r="D38" i="38656"/>
  <c r="J38" i="10"/>
  <c r="I38" i="11"/>
  <c r="F48" i="39"/>
  <c r="M27" i="38667"/>
  <c r="I27" s="1"/>
  <c r="G44" i="10"/>
  <c r="G38"/>
  <c r="F38" i="11"/>
  <c r="J38" i="38655"/>
  <c r="D38" i="38661"/>
  <c r="D38" i="54"/>
  <c r="G38" i="38667"/>
  <c r="D38" i="38655"/>
  <c r="J38" i="54"/>
  <c r="J38" i="20"/>
  <c r="G38" i="18"/>
  <c r="E38" i="16"/>
  <c r="J38" i="26"/>
  <c r="G38" i="54"/>
  <c r="I38" i="19"/>
  <c r="G38" i="76"/>
  <c r="F41" i="38659"/>
  <c r="G41" s="1"/>
  <c r="K41" s="1"/>
  <c r="I41" i="38658"/>
  <c r="I44" i="19"/>
  <c r="D44" i="38656"/>
  <c r="J44" i="26"/>
  <c r="J44" i="10"/>
  <c r="G44" i="18"/>
  <c r="D41" i="38655"/>
  <c r="G41" i="10"/>
  <c r="G41" i="26"/>
  <c r="J41" i="10"/>
  <c r="J41" i="38655"/>
  <c r="G41" i="38656"/>
  <c r="E41" i="16"/>
  <c r="D41" i="27"/>
  <c r="D41" i="76" s="1"/>
  <c r="J41" i="20"/>
  <c r="G41" i="38667"/>
  <c r="F41" i="19"/>
  <c r="D41" i="20"/>
  <c r="C41" i="41"/>
  <c r="D24" i="7"/>
  <c r="F24"/>
  <c r="H24"/>
  <c r="E37" i="19"/>
  <c r="F37"/>
  <c r="C33"/>
  <c r="E33" i="5"/>
  <c r="F33" s="1"/>
  <c r="D42" i="8"/>
  <c r="E42" i="15"/>
  <c r="G13" i="26"/>
  <c r="F13" i="11"/>
  <c r="G13" i="38667"/>
  <c r="C13" i="41"/>
  <c r="D13" i="26"/>
  <c r="G13" i="18"/>
  <c r="D13" i="20"/>
  <c r="B48" i="76"/>
  <c r="E48" s="1"/>
  <c r="E11"/>
  <c r="F23" i="38659"/>
  <c r="G23" s="1"/>
  <c r="K23" s="1"/>
  <c r="I23" i="38658"/>
  <c r="I15" i="26"/>
  <c r="C15" i="9"/>
  <c r="C15" i="82"/>
  <c r="F15" i="5"/>
  <c r="G15" i="34"/>
  <c r="H15" i="11"/>
  <c r="E15" i="25"/>
  <c r="E15" i="36"/>
  <c r="C15" i="25"/>
  <c r="C15" i="54"/>
  <c r="I15"/>
  <c r="G15" i="36"/>
  <c r="C15" i="20"/>
  <c r="I15" i="25"/>
  <c r="E15" i="34"/>
  <c r="C15" i="8"/>
  <c r="F15" i="38656"/>
  <c r="E15" i="19"/>
  <c r="C15" i="7"/>
  <c r="C15" i="38"/>
  <c r="E15" i="37"/>
  <c r="E15" i="35"/>
  <c r="C15" i="27"/>
  <c r="C15" i="76" s="1"/>
  <c r="F15" i="38655"/>
  <c r="C15"/>
  <c r="C15" i="18"/>
  <c r="C15" i="10"/>
  <c r="J35" i="38667"/>
  <c r="M35" s="1"/>
  <c r="I35" s="1"/>
  <c r="C35" i="18"/>
  <c r="H39" i="7"/>
  <c r="I39"/>
  <c r="E18" i="44"/>
  <c r="D18" i="42" s="1"/>
  <c r="C18" i="44"/>
  <c r="C18" i="42" s="1"/>
  <c r="C18" i="45"/>
  <c r="G18" i="42" s="1"/>
  <c r="I18" i="43"/>
  <c r="B18" i="42" s="1"/>
  <c r="J18" s="1"/>
  <c r="I24" i="43"/>
  <c r="B24" i="42" s="1"/>
  <c r="C24" i="44"/>
  <c r="C24" i="42" s="1"/>
  <c r="G24" i="45"/>
  <c r="J46" i="42"/>
  <c r="J45"/>
  <c r="J35"/>
  <c r="M37" i="38667"/>
  <c r="I37" s="1"/>
  <c r="M31"/>
  <c r="I31" s="1"/>
  <c r="I18" i="38655"/>
  <c r="E18" i="37"/>
  <c r="I18" i="10"/>
  <c r="E18" i="19"/>
  <c r="F18" i="76"/>
  <c r="C22" i="10"/>
  <c r="C22" i="35"/>
  <c r="I22" i="9"/>
  <c r="E22" i="37"/>
  <c r="F22" i="38656"/>
  <c r="C22" i="26"/>
  <c r="E22" i="25"/>
  <c r="C22" i="20"/>
  <c r="I22" i="38655"/>
  <c r="G22" i="36"/>
  <c r="I22" i="18"/>
  <c r="G22" i="34"/>
  <c r="G22" i="25"/>
  <c r="H22" i="11"/>
  <c r="C22" i="25"/>
  <c r="I22" i="54"/>
  <c r="H22" i="19"/>
  <c r="E22" i="38"/>
  <c r="E22" i="34"/>
  <c r="C22" i="37"/>
  <c r="F22" i="18"/>
  <c r="F22" i="20"/>
  <c r="F22" i="76"/>
  <c r="F26" i="10"/>
  <c r="C26" i="26"/>
  <c r="E26" i="82"/>
  <c r="I26" i="54"/>
  <c r="G26" i="34"/>
  <c r="I26" i="26"/>
  <c r="E26" i="19"/>
  <c r="I26" i="9"/>
  <c r="C26" i="37"/>
  <c r="E26" i="11"/>
  <c r="C26" i="38655"/>
  <c r="C26" i="34"/>
  <c r="C26" i="25"/>
  <c r="F26" i="20"/>
  <c r="H26" i="19"/>
  <c r="C30" i="20"/>
  <c r="F30" i="18"/>
  <c r="E30" i="19"/>
  <c r="G38" i="25"/>
  <c r="E38" i="37"/>
  <c r="C38" i="54"/>
  <c r="F38" i="26"/>
  <c r="C38" i="27"/>
  <c r="C38" i="76" s="1"/>
  <c r="H38" i="11"/>
  <c r="E38" i="25"/>
  <c r="E38" i="35"/>
  <c r="E38" i="36"/>
  <c r="I38" i="9"/>
  <c r="E38" i="19"/>
  <c r="C38" i="8"/>
  <c r="I38" i="26"/>
  <c r="C38" i="25"/>
  <c r="H38" i="19"/>
  <c r="I46" i="26"/>
  <c r="I46" i="20"/>
  <c r="C46" i="7"/>
  <c r="C46" i="35"/>
  <c r="C46" i="11"/>
  <c r="I46" i="9"/>
  <c r="C46" i="8"/>
  <c r="I46" i="10"/>
  <c r="E46" i="34"/>
  <c r="F46" i="8"/>
  <c r="C46" i="82"/>
  <c r="F46" i="38656"/>
  <c r="I46" i="25"/>
  <c r="H46" i="11"/>
  <c r="F46" i="54"/>
  <c r="F46" i="38655"/>
  <c r="I46"/>
  <c r="E46" i="11"/>
  <c r="C46" i="20"/>
  <c r="C46" i="10"/>
  <c r="C46" i="37"/>
  <c r="C46" i="34"/>
  <c r="I46" i="54"/>
  <c r="C46" i="38661"/>
  <c r="G46" i="36"/>
  <c r="C46" i="26"/>
  <c r="C46" i="36"/>
  <c r="G46" i="34"/>
  <c r="C46" i="9"/>
  <c r="E46" i="19"/>
  <c r="C46" i="27"/>
  <c r="C46" i="76" s="1"/>
  <c r="F46" i="10"/>
  <c r="C46" i="38655"/>
  <c r="C46" i="38"/>
  <c r="C46" i="19"/>
  <c r="C46" i="25"/>
  <c r="E46" i="38"/>
  <c r="E46" i="36"/>
  <c r="G46" i="25"/>
  <c r="E46" i="37"/>
  <c r="F46" i="26"/>
  <c r="G46" i="38"/>
  <c r="E46" i="25"/>
  <c r="E46" i="35"/>
  <c r="H46" i="19"/>
  <c r="E19"/>
  <c r="H19"/>
  <c r="F15" i="38659"/>
  <c r="G15" s="1"/>
  <c r="K15" s="1"/>
  <c r="I15" i="38658"/>
  <c r="F31" i="10"/>
  <c r="I31" i="38655"/>
  <c r="G31" i="34"/>
  <c r="F31" i="38655"/>
  <c r="E31" i="82"/>
  <c r="E31" i="11"/>
  <c r="C31" i="8"/>
  <c r="C31" i="38656"/>
  <c r="C31" i="38661"/>
  <c r="I31" i="26"/>
  <c r="F31" i="8"/>
  <c r="G31" i="25"/>
  <c r="I31" i="18"/>
  <c r="F31" i="9"/>
  <c r="C31" i="34"/>
  <c r="I31" i="25"/>
  <c r="C31" i="82"/>
  <c r="I31" i="54"/>
  <c r="C31" i="37"/>
  <c r="C31" i="11"/>
  <c r="C31" i="25"/>
  <c r="E31"/>
  <c r="E31" i="38"/>
  <c r="H31" i="11"/>
  <c r="C31" i="36"/>
  <c r="F31" i="26"/>
  <c r="C31" i="38655"/>
  <c r="E31" i="35"/>
  <c r="G31" i="38"/>
  <c r="C31" i="9"/>
  <c r="E31" i="34"/>
  <c r="G31" i="36"/>
  <c r="E31"/>
  <c r="F31" i="38656"/>
  <c r="C31" i="35"/>
  <c r="C34" i="7"/>
  <c r="I34" i="20"/>
  <c r="E34" i="19"/>
  <c r="C34" i="20"/>
  <c r="I46" i="38648"/>
  <c r="J45" i="38651"/>
  <c r="I44" i="38648"/>
  <c r="J43" i="38651"/>
  <c r="I38" i="38648"/>
  <c r="J37" i="38651"/>
  <c r="I31" i="38648"/>
  <c r="J30" i="38651"/>
  <c r="J22"/>
  <c r="I23" i="38648"/>
  <c r="I16"/>
  <c r="J15" i="38651"/>
  <c r="I15" i="38648"/>
  <c r="J14" i="38651"/>
  <c r="I13" i="38648"/>
  <c r="J13" i="38651"/>
  <c r="G12"/>
  <c r="F48"/>
  <c r="G48" s="1"/>
  <c r="I48" i="38648" s="1"/>
  <c r="I12" i="45"/>
  <c r="F13" i="76"/>
  <c r="C20" i="82"/>
  <c r="F20" i="10"/>
  <c r="C20" i="25"/>
  <c r="I20" i="18"/>
  <c r="C20" i="8"/>
  <c r="F20" i="54"/>
  <c r="F20" i="8"/>
  <c r="C20" i="38655"/>
  <c r="C20" i="27"/>
  <c r="C20" i="76" s="1"/>
  <c r="C20" i="9"/>
  <c r="E20" i="37"/>
  <c r="C20" i="38656"/>
  <c r="E20" i="36"/>
  <c r="E20" i="19"/>
  <c r="C20" i="38661"/>
  <c r="I20" i="26"/>
  <c r="F20" i="38655"/>
  <c r="C20" i="35"/>
  <c r="F20" i="9"/>
  <c r="G20" i="36"/>
  <c r="E20" i="35"/>
  <c r="C20" i="38"/>
  <c r="F20" i="5"/>
  <c r="C20" i="20"/>
  <c r="E20" i="11"/>
  <c r="E20" i="25"/>
  <c r="G20" i="38"/>
  <c r="I20" i="9"/>
  <c r="C20" i="37"/>
  <c r="G20" i="25"/>
  <c r="F20" i="38656"/>
  <c r="E20" i="38"/>
  <c r="E20" i="34"/>
  <c r="C20" i="26"/>
  <c r="I20" i="10"/>
  <c r="F20" i="26"/>
  <c r="C20" i="11"/>
  <c r="C20" i="36"/>
  <c r="H20" i="19"/>
  <c r="C20" i="10"/>
  <c r="H20" i="11"/>
  <c r="E20" i="82"/>
  <c r="I20" i="38655"/>
  <c r="G20" i="34"/>
  <c r="C20" i="54"/>
  <c r="C20" i="7"/>
  <c r="I20" i="54"/>
  <c r="C20" i="19"/>
  <c r="I24" i="18"/>
  <c r="F24" i="76"/>
  <c r="C44" i="20"/>
  <c r="H44" i="11"/>
  <c r="C44" i="38655"/>
  <c r="E44" i="25"/>
  <c r="C44" i="38661"/>
  <c r="I44" i="18"/>
  <c r="C44" i="54"/>
  <c r="C44" i="34"/>
  <c r="C44" i="35"/>
  <c r="E44" i="82"/>
  <c r="E44" i="11"/>
  <c r="I13" i="20"/>
  <c r="C13" i="26"/>
  <c r="H13" i="11"/>
  <c r="I13" i="54"/>
  <c r="F13" i="26"/>
  <c r="C13" i="7"/>
  <c r="G13" i="25"/>
  <c r="C13" i="34"/>
  <c r="E13" i="11"/>
  <c r="G13" i="38"/>
  <c r="F13" i="38655"/>
  <c r="F13" i="8"/>
  <c r="I13" i="38655"/>
  <c r="C13" i="10"/>
  <c r="I13" i="25"/>
  <c r="E13" i="82"/>
  <c r="F13" i="54"/>
  <c r="I13" i="9"/>
  <c r="E13" i="35"/>
  <c r="F13" i="38656"/>
  <c r="F13" i="20"/>
  <c r="I13" i="10"/>
  <c r="F13" i="18"/>
  <c r="G13" i="36"/>
  <c r="C13" i="35"/>
  <c r="C13" i="37"/>
  <c r="C13" i="11"/>
  <c r="F13" i="10"/>
  <c r="I13" i="26"/>
  <c r="C13" i="9"/>
  <c r="C13" i="38661"/>
  <c r="C13" i="27"/>
  <c r="C13" i="76" s="1"/>
  <c r="E13" i="19"/>
  <c r="C13" i="82"/>
  <c r="E13" i="25"/>
  <c r="I13" i="18"/>
  <c r="C13" i="36"/>
  <c r="E13" i="34"/>
  <c r="C13" i="54"/>
  <c r="E13" i="37"/>
  <c r="E13" i="38"/>
  <c r="E13" i="36"/>
  <c r="F32" i="20"/>
  <c r="I32"/>
  <c r="F32" i="76"/>
  <c r="I42" i="38648"/>
  <c r="J41" i="38651"/>
  <c r="I40" i="38648"/>
  <c r="J39" i="38651"/>
  <c r="I35" i="38648"/>
  <c r="J34" i="38651"/>
  <c r="I34" i="38648"/>
  <c r="J33" i="38651"/>
  <c r="I27" i="38648"/>
  <c r="J26" i="38651"/>
  <c r="I20" i="38648"/>
  <c r="J19" i="38651"/>
  <c r="I19" i="38648"/>
  <c r="J18" i="38651"/>
  <c r="H48" i="18"/>
  <c r="E48" i="20"/>
  <c r="I11" i="19"/>
  <c r="G11" i="18"/>
  <c r="C11" i="41"/>
  <c r="G11" i="38667"/>
  <c r="J11" i="54"/>
  <c r="E11" i="41"/>
  <c r="D11" i="20"/>
  <c r="J11" i="10"/>
  <c r="G11" i="54"/>
  <c r="J11" i="26"/>
  <c r="D11" i="27"/>
  <c r="D11" i="76" s="1"/>
  <c r="G11" i="38655"/>
  <c r="D11" i="38661"/>
  <c r="D11" i="26"/>
  <c r="F22" i="5"/>
  <c r="I14" i="20"/>
  <c r="D26"/>
  <c r="J23" i="38651"/>
  <c r="J24"/>
  <c r="F46" i="5"/>
  <c r="G51" i="76"/>
  <c r="B3" i="39"/>
  <c r="B3" i="76"/>
  <c r="B3" i="82"/>
  <c r="B3" i="38656"/>
  <c r="B3" i="54"/>
  <c r="F34" i="20"/>
  <c r="I18" i="38658"/>
  <c r="F46" i="19"/>
  <c r="E19" i="5"/>
  <c r="G43" i="76"/>
  <c r="B1" i="43"/>
  <c r="C3" i="70"/>
  <c r="B2" i="32"/>
  <c r="B2" i="33" s="1"/>
  <c r="B2" i="38663"/>
  <c r="M47" i="38667"/>
  <c r="I47" s="1"/>
  <c r="A3" i="38648"/>
  <c r="A3" i="38667" s="1"/>
  <c r="I31" i="38658"/>
  <c r="G50"/>
  <c r="I50" s="1"/>
  <c r="F31" i="38659"/>
  <c r="G31" s="1"/>
  <c r="K31" s="1"/>
  <c r="E17" i="6"/>
  <c r="C17" i="38648" s="1"/>
  <c r="I15" i="43"/>
  <c r="B15" i="42" s="1"/>
  <c r="I15" i="45"/>
  <c r="H48" i="43"/>
  <c r="N33" i="23"/>
  <c r="N19"/>
  <c r="J19" i="42"/>
  <c r="J21"/>
  <c r="J50"/>
  <c r="E43" i="38667"/>
  <c r="D43" i="6"/>
  <c r="E43" s="1"/>
  <c r="C43" i="38648" s="1"/>
  <c r="D31" i="6"/>
  <c r="E31" s="1"/>
  <c r="C31" i="38648" s="1"/>
  <c r="E31" i="38667"/>
  <c r="J40" i="42"/>
  <c r="J32"/>
  <c r="J27"/>
  <c r="J11"/>
  <c r="J20"/>
  <c r="J30"/>
  <c r="E33" i="38667"/>
  <c r="D33" i="6"/>
  <c r="E33" s="1"/>
  <c r="C33" i="38648" s="1"/>
  <c r="E35" i="38667"/>
  <c r="D35" i="6"/>
  <c r="E35" s="1"/>
  <c r="C35" i="38648" s="1"/>
  <c r="F52" i="22"/>
  <c r="F54"/>
  <c r="D36" i="6"/>
  <c r="E36" s="1"/>
  <c r="C36" i="38648" s="1"/>
  <c r="E36" i="38667"/>
  <c r="I13" i="45"/>
  <c r="I13" i="43" s="1"/>
  <c r="B13" i="42" s="1"/>
  <c r="D28" i="6"/>
  <c r="E28" s="1"/>
  <c r="C28" i="38648" s="1"/>
  <c r="E28" i="38667"/>
  <c r="I28" i="43"/>
  <c r="B28" i="42" s="1"/>
  <c r="J28" s="1"/>
  <c r="K48" i="38667"/>
  <c r="H23" i="11"/>
  <c r="G23" i="36"/>
  <c r="C23" i="38655"/>
  <c r="F23" i="5"/>
  <c r="I25" i="43"/>
  <c r="B25" i="42" s="1"/>
  <c r="J25" s="1"/>
  <c r="I29" i="43"/>
  <c r="B29" i="42" s="1"/>
  <c r="J29" s="1"/>
  <c r="I31" i="43"/>
  <c r="B31" i="42" s="1"/>
  <c r="J31" s="1"/>
  <c r="F22" i="54"/>
  <c r="F22" i="38655"/>
  <c r="C22" i="9"/>
  <c r="C22" i="34"/>
  <c r="E22" i="11"/>
  <c r="C22" i="19"/>
  <c r="C22" i="11"/>
  <c r="E22" i="82"/>
  <c r="C22" i="38656"/>
  <c r="I22" i="10"/>
  <c r="F22" i="26"/>
  <c r="I22"/>
  <c r="F22" i="9"/>
  <c r="G22" i="38"/>
  <c r="F22" i="8"/>
  <c r="C22" i="38655"/>
  <c r="C22" i="7"/>
  <c r="C22" i="27"/>
  <c r="C22" i="76" s="1"/>
  <c r="E22" i="36"/>
  <c r="C22" i="38661"/>
  <c r="F38" i="9"/>
  <c r="C38" i="82"/>
  <c r="E38" i="38"/>
  <c r="C38" i="35"/>
  <c r="I38" i="38655"/>
  <c r="G38" i="34"/>
  <c r="F38" i="10"/>
  <c r="C38" i="37"/>
  <c r="C38" i="36"/>
  <c r="C38" i="19"/>
  <c r="F38" i="20"/>
  <c r="F38" i="18"/>
  <c r="C38" i="38656"/>
  <c r="C48" i="38662"/>
  <c r="C53" s="1"/>
  <c r="B11" i="38654"/>
  <c r="F29" i="38659"/>
  <c r="I29" i="38658"/>
  <c r="J18" i="20"/>
  <c r="J18" i="10"/>
  <c r="J18" i="26"/>
  <c r="G18" i="38656"/>
  <c r="D18"/>
  <c r="D18" i="10"/>
  <c r="E18" i="41"/>
  <c r="D18" i="38655"/>
  <c r="G18" i="26"/>
  <c r="G18" i="54"/>
  <c r="J18"/>
  <c r="D18" i="27"/>
  <c r="D18" i="76" s="1"/>
  <c r="G18" i="18"/>
  <c r="C18" i="41"/>
  <c r="E18" i="16"/>
  <c r="F18" i="11"/>
  <c r="D18" i="54"/>
  <c r="D18" i="38661"/>
  <c r="D18" i="26"/>
  <c r="I18" i="11"/>
  <c r="G18" i="38667"/>
  <c r="G18" i="10"/>
  <c r="G18" i="38655"/>
  <c r="I30" i="38648"/>
  <c r="J29" i="38651"/>
  <c r="I44" i="43"/>
  <c r="B44" i="42" s="1"/>
  <c r="G44" i="44"/>
  <c r="E44" i="42" s="1"/>
  <c r="C44" i="44"/>
  <c r="C44" i="42" s="1"/>
  <c r="E44" i="44"/>
  <c r="D44" i="42" s="1"/>
  <c r="E44" i="45"/>
  <c r="H44" i="42" s="1"/>
  <c r="I44" i="44"/>
  <c r="F44" i="42" s="1"/>
  <c r="C44" i="45"/>
  <c r="G44" i="42" s="1"/>
  <c r="G39" i="76"/>
  <c r="G39" i="54"/>
  <c r="I34" i="38658"/>
  <c r="E25" i="15"/>
  <c r="D50" i="7"/>
  <c r="C44" i="41"/>
  <c r="E44" i="16"/>
  <c r="F44" i="11"/>
  <c r="D44" i="20"/>
  <c r="E44" i="41"/>
  <c r="G44" i="38655"/>
  <c r="F44" i="19"/>
  <c r="G23" i="20"/>
  <c r="B48" i="38670"/>
  <c r="G36" i="38656"/>
  <c r="B3" i="27"/>
  <c r="B3" i="34"/>
  <c r="B3" i="38"/>
  <c r="E22" i="38667" l="1"/>
  <c r="D22" i="6"/>
  <c r="E22" s="1"/>
  <c r="C22" i="38648" s="1"/>
  <c r="E20" i="38667"/>
  <c r="D20" i="6"/>
  <c r="E20" s="1"/>
  <c r="C20" i="38648" s="1"/>
  <c r="I12" i="43"/>
  <c r="B12" i="42" s="1"/>
  <c r="E12" i="44"/>
  <c r="D12" i="42" s="1"/>
  <c r="C12" i="45"/>
  <c r="G12" i="42" s="1"/>
  <c r="G12" i="44"/>
  <c r="E12" i="42" s="1"/>
  <c r="I12" i="44"/>
  <c r="F12" i="42" s="1"/>
  <c r="E12" i="45"/>
  <c r="H12" i="42" s="1"/>
  <c r="C12" i="44"/>
  <c r="C12" i="42" s="1"/>
  <c r="G12" i="45"/>
  <c r="I12" i="38648"/>
  <c r="J12" i="38651"/>
  <c r="D15" i="6"/>
  <c r="E15" s="1"/>
  <c r="C15" i="38648" s="1"/>
  <c r="E15" i="38667"/>
  <c r="G11" i="76"/>
  <c r="F11"/>
  <c r="L48" i="38667"/>
  <c r="B54" i="23"/>
  <c r="F11" i="20"/>
  <c r="C11" i="54"/>
  <c r="I11" i="38655"/>
  <c r="C11" i="34"/>
  <c r="I11" i="26"/>
  <c r="E11" i="35"/>
  <c r="C11" i="18"/>
  <c r="C11" i="7"/>
  <c r="G11" i="34"/>
  <c r="E11" i="82"/>
  <c r="C11" i="38661"/>
  <c r="G11" i="38"/>
  <c r="I11" i="10"/>
  <c r="E11" i="38"/>
  <c r="C11" i="35"/>
  <c r="C11" i="82"/>
  <c r="C11" i="38"/>
  <c r="E11" i="11"/>
  <c r="C11" i="10"/>
  <c r="F11"/>
  <c r="E11" i="19"/>
  <c r="C11"/>
  <c r="C11" i="37"/>
  <c r="C11" i="25"/>
  <c r="E11" i="37"/>
  <c r="C11" i="20"/>
  <c r="C11" i="9"/>
  <c r="C11" i="11"/>
  <c r="F11" i="38656"/>
  <c r="I11" i="20"/>
  <c r="G11" i="36"/>
  <c r="C11" i="38656"/>
  <c r="G11" i="25"/>
  <c r="F11" i="18"/>
  <c r="H11" i="19"/>
  <c r="C11" i="8"/>
  <c r="F11" i="54"/>
  <c r="E11" i="36"/>
  <c r="I11" i="25"/>
  <c r="C11" i="27"/>
  <c r="C11" i="76" s="1"/>
  <c r="F11" i="38655"/>
  <c r="D48" i="5"/>
  <c r="F11" i="8"/>
  <c r="H11" i="11"/>
  <c r="I11" i="18"/>
  <c r="F11" i="26"/>
  <c r="F11" i="9"/>
  <c r="E11" i="34"/>
  <c r="F11" i="5"/>
  <c r="C11" i="26"/>
  <c r="E11" i="25"/>
  <c r="I11" i="54"/>
  <c r="C11" i="36"/>
  <c r="C11" i="38655"/>
  <c r="I11" i="9"/>
  <c r="J52" i="22"/>
  <c r="E48" i="19"/>
  <c r="J54" i="22"/>
  <c r="D32" i="6"/>
  <c r="E32" s="1"/>
  <c r="C32" i="38648" s="1"/>
  <c r="E32" i="38667"/>
  <c r="D42" i="6"/>
  <c r="E42" s="1"/>
  <c r="C42" i="38648" s="1"/>
  <c r="E42" i="38667"/>
  <c r="M48"/>
  <c r="I48" s="1"/>
  <c r="I48" i="18"/>
  <c r="J24" i="42"/>
  <c r="B2" i="81"/>
  <c r="B2" i="78"/>
  <c r="B2" i="47"/>
  <c r="A2" i="42"/>
  <c r="B2" i="52"/>
  <c r="B2" i="44"/>
  <c r="B2" i="46"/>
  <c r="B2" i="45"/>
  <c r="F19" i="5"/>
  <c r="E48"/>
  <c r="E46" i="38667"/>
  <c r="D46" i="6"/>
  <c r="E46" s="1"/>
  <c r="C46" i="38648" s="1"/>
  <c r="F54" i="23"/>
  <c r="F48" i="20"/>
  <c r="J42" i="26"/>
  <c r="J42" i="54"/>
  <c r="I42" i="11"/>
  <c r="G42" i="38656"/>
  <c r="G42" i="20"/>
  <c r="D42" i="27"/>
  <c r="D42" i="76" s="1"/>
  <c r="G42" i="38667"/>
  <c r="J42" i="38655"/>
  <c r="E42" i="41"/>
  <c r="D42" i="20"/>
  <c r="C42" i="41"/>
  <c r="D42" i="38656"/>
  <c r="I42" i="19"/>
  <c r="G42" i="10"/>
  <c r="F42" i="11"/>
  <c r="D42" i="26"/>
  <c r="D42" i="38655"/>
  <c r="D42" i="54"/>
  <c r="D42" i="38661"/>
  <c r="J42" i="10"/>
  <c r="G42" i="76"/>
  <c r="G42" i="18"/>
  <c r="J42" i="20"/>
  <c r="E42" i="16"/>
  <c r="G42" i="38655"/>
  <c r="G42" i="26"/>
  <c r="G42" i="54"/>
  <c r="D42" i="10"/>
  <c r="F42" i="19"/>
  <c r="F48" i="18"/>
  <c r="D52" i="22"/>
  <c r="D25" i="6"/>
  <c r="E25" i="38667"/>
  <c r="F48" i="76"/>
  <c r="J14" i="42"/>
  <c r="D25" i="10"/>
  <c r="J25" i="20"/>
  <c r="G25" i="38655"/>
  <c r="D25" i="38661"/>
  <c r="G25" i="26"/>
  <c r="D25" i="54"/>
  <c r="E25" i="16"/>
  <c r="D25" i="20"/>
  <c r="G25" i="54"/>
  <c r="D25" i="27"/>
  <c r="D25" i="76" s="1"/>
  <c r="J25" i="26"/>
  <c r="F25" i="19"/>
  <c r="G25" i="10"/>
  <c r="G25" i="76"/>
  <c r="D25" i="38655"/>
  <c r="E48" i="15"/>
  <c r="G25" i="38667"/>
  <c r="C25" i="41"/>
  <c r="I25" i="19"/>
  <c r="J25" i="38655"/>
  <c r="E25" i="41"/>
  <c r="J25" i="54"/>
  <c r="G25" i="38656"/>
  <c r="I25" i="11"/>
  <c r="J25" i="10"/>
  <c r="D25" i="38656"/>
  <c r="D25" i="26"/>
  <c r="F25" i="11"/>
  <c r="G25" i="18"/>
  <c r="G25" i="20"/>
  <c r="E25" i="6"/>
  <c r="C25" i="38648" s="1"/>
  <c r="D11" i="38654"/>
  <c r="D48" s="1"/>
  <c r="B48"/>
  <c r="D23" i="6"/>
  <c r="E23" i="38667"/>
  <c r="F48" i="5"/>
  <c r="I13" i="44"/>
  <c r="F13" i="42" s="1"/>
  <c r="E13" i="44"/>
  <c r="D13" i="42" s="1"/>
  <c r="C13" i="45"/>
  <c r="G13" i="42" s="1"/>
  <c r="G13" i="45"/>
  <c r="C13" i="44"/>
  <c r="C13" i="42" s="1"/>
  <c r="J13" s="1"/>
  <c r="G13" i="44"/>
  <c r="E13" i="42" s="1"/>
  <c r="I48" i="45"/>
  <c r="E13"/>
  <c r="H13" i="42" s="1"/>
  <c r="G15" i="45"/>
  <c r="E15" i="44"/>
  <c r="D15" i="42" s="1"/>
  <c r="G15" i="44"/>
  <c r="E15" i="42" s="1"/>
  <c r="E15" i="45"/>
  <c r="H15" i="42" s="1"/>
  <c r="C15" i="45"/>
  <c r="G15" i="42" s="1"/>
  <c r="I15" i="44"/>
  <c r="F15" i="42" s="1"/>
  <c r="C15" i="44"/>
  <c r="C15" i="42" s="1"/>
  <c r="J15" s="1"/>
  <c r="J44"/>
  <c r="G29" i="38659"/>
  <c r="K29" s="1"/>
  <c r="F50"/>
  <c r="G50" s="1"/>
  <c r="E48" i="16"/>
  <c r="I48" i="43"/>
  <c r="B48" i="42" s="1"/>
  <c r="E19" i="38667" l="1"/>
  <c r="D19" i="6"/>
  <c r="E19" s="1"/>
  <c r="C19" i="38648" s="1"/>
  <c r="G48" i="34"/>
  <c r="I48" i="54"/>
  <c r="C48" i="9"/>
  <c r="C48" i="82"/>
  <c r="F48" i="26"/>
  <c r="F48" i="8"/>
  <c r="F48" i="10"/>
  <c r="F48" i="54"/>
  <c r="I48" i="25"/>
  <c r="E48" i="82"/>
  <c r="F48" i="9"/>
  <c r="C48" i="19"/>
  <c r="I48" i="26"/>
  <c r="C48" i="10"/>
  <c r="C48" i="38"/>
  <c r="E48" i="34"/>
  <c r="C48" i="27"/>
  <c r="C48" i="76" s="1"/>
  <c r="E48" i="25"/>
  <c r="C48" i="8"/>
  <c r="C48" i="35"/>
  <c r="C48" i="11"/>
  <c r="F48" i="38656"/>
  <c r="I48" i="38655"/>
  <c r="C48" i="37"/>
  <c r="C48" i="18"/>
  <c r="H48" i="11"/>
  <c r="E48"/>
  <c r="E48" i="36"/>
  <c r="C48" i="25"/>
  <c r="E48" i="37"/>
  <c r="C48" i="38661"/>
  <c r="G48" i="25"/>
  <c r="F48" i="38655"/>
  <c r="G48" i="36"/>
  <c r="C48"/>
  <c r="C48" i="26"/>
  <c r="I48" i="20"/>
  <c r="C48" i="34"/>
  <c r="C48" i="7"/>
  <c r="C48" i="54"/>
  <c r="I48" i="9"/>
  <c r="C48" i="38656"/>
  <c r="G48" i="38"/>
  <c r="C48" i="38655"/>
  <c r="E48" i="35"/>
  <c r="I48" i="10"/>
  <c r="C48" i="20"/>
  <c r="J54" i="23"/>
  <c r="M25" i="21"/>
  <c r="H48" i="19"/>
  <c r="J12" i="42"/>
  <c r="D11" i="6"/>
  <c r="E11" s="1"/>
  <c r="C11" i="38648" s="1"/>
  <c r="E11" i="38667"/>
  <c r="L11" i="42"/>
  <c r="C48" i="45"/>
  <c r="G48" i="42" s="1"/>
  <c r="L16" s="1"/>
  <c r="E48" i="45"/>
  <c r="H48" i="42" s="1"/>
  <c r="L17" s="1"/>
  <c r="I48" i="44"/>
  <c r="F48" i="42" s="1"/>
  <c r="L15" s="1"/>
  <c r="G48" i="45"/>
  <c r="E48" i="44"/>
  <c r="D48" i="42" s="1"/>
  <c r="L13" s="1"/>
  <c r="G48" i="44"/>
  <c r="E48" i="42" s="1"/>
  <c r="L14" s="1"/>
  <c r="C48" i="44"/>
  <c r="C48" i="42" s="1"/>
  <c r="L12" s="1"/>
  <c r="E48" i="38667"/>
  <c r="E48" i="38"/>
  <c r="E23" i="6"/>
  <c r="C23" i="38648" s="1"/>
  <c r="D48" i="6"/>
  <c r="E48" s="1"/>
  <c r="C48" i="38648" s="1"/>
  <c r="F48" i="19"/>
  <c r="C48" i="41"/>
  <c r="G48" i="54"/>
  <c r="F48" i="11"/>
  <c r="G48" i="38656"/>
  <c r="J48" i="26"/>
  <c r="D48" i="27"/>
  <c r="D48" i="76" s="1"/>
  <c r="G48" i="38655"/>
  <c r="G48" i="10"/>
  <c r="D48"/>
  <c r="D48" i="38656"/>
  <c r="J48" i="54"/>
  <c r="E48" i="41"/>
  <c r="D48" i="38655"/>
  <c r="J48" i="20"/>
  <c r="I48" i="11"/>
  <c r="J48" i="10"/>
  <c r="D48" i="26"/>
  <c r="I48" i="19"/>
  <c r="G48" i="26"/>
  <c r="D48" i="54"/>
  <c r="G48" i="38667"/>
  <c r="J48" i="38655"/>
  <c r="D48" i="38661"/>
  <c r="G48" i="76"/>
  <c r="G48" i="20"/>
  <c r="D48"/>
  <c r="G48" i="18"/>
  <c r="L19" i="42" l="1"/>
  <c r="J48"/>
</calcChain>
</file>

<file path=xl/comments1.xml><?xml version="1.0" encoding="utf-8"?>
<comments xmlns="http://schemas.openxmlformats.org/spreadsheetml/2006/main">
  <authors>
    <author>GPizzaro</author>
  </authors>
  <commentList>
    <comment ref="J8" authorId="0">
      <text>
        <r>
          <rPr>
            <sz val="8"/>
            <color indexed="81"/>
            <rFont val="Tahoma"/>
            <family val="2"/>
          </rPr>
          <t>Portioned assessment come from W:\Edusfb\Total School Assessment\YYYY F assessment.</t>
        </r>
      </text>
    </comment>
    <comment ref="H16" authorId="0">
      <text>
        <r>
          <rPr>
            <sz val="8"/>
            <color indexed="81"/>
            <rFont val="Tahoma"/>
            <family val="2"/>
          </rPr>
          <t xml:space="preserve">
Take it from the folder</t>
        </r>
      </text>
    </comment>
  </commentList>
</comments>
</file>

<file path=xl/comments2.xml><?xml version="1.0" encoding="utf-8"?>
<comments xmlns="http://schemas.openxmlformats.org/spreadsheetml/2006/main">
  <authors>
    <author>GPizzaro</author>
  </authors>
  <commentList>
    <comment ref="U8" authorId="0">
      <text>
        <r>
          <rPr>
            <b/>
            <sz val="8"/>
            <color indexed="81"/>
            <rFont val="Tahoma"/>
            <family val="2"/>
          </rPr>
          <t>GPizzaro:</t>
        </r>
        <r>
          <rPr>
            <sz val="8"/>
            <color indexed="81"/>
            <rFont val="Tahoma"/>
            <family val="2"/>
          </rPr>
          <t xml:space="preserve">
come from Budget page 51</t>
        </r>
      </text>
    </comment>
    <comment ref="T9" authorId="0">
      <text>
        <r>
          <rPr>
            <b/>
            <sz val="8"/>
            <color indexed="81"/>
            <rFont val="Tahoma"/>
            <family val="2"/>
          </rPr>
          <t>GPizzaro:</t>
        </r>
        <r>
          <rPr>
            <sz val="8"/>
            <color indexed="81"/>
            <rFont val="Tahoma"/>
            <family val="2"/>
          </rPr>
          <t xml:space="preserve">
come from Data tab</t>
        </r>
      </text>
    </comment>
  </commentList>
</comments>
</file>

<file path=xl/sharedStrings.xml><?xml version="1.0" encoding="utf-8"?>
<sst xmlns="http://schemas.openxmlformats.org/spreadsheetml/2006/main" count="3558" uniqueCount="765">
  <si>
    <t>REVENUE AND TRANSFERS</t>
  </si>
  <si>
    <t xml:space="preserve"> EXPENSE BY CATEGORY</t>
  </si>
  <si>
    <t xml:space="preserve">  REVENUE BY CATEGORY</t>
  </si>
  <si>
    <t>EXPENSES, REVENUE AND ACCUMULATED SURPLUS</t>
  </si>
  <si>
    <t>TANGIBLE CAPITAL ASSETS</t>
  </si>
  <si>
    <r>
      <t xml:space="preserve">INFORMATION SERVICES </t>
    </r>
    <r>
      <rPr>
        <b/>
        <vertAlign val="superscript"/>
        <sz val="10"/>
        <rFont val="Arial"/>
        <family val="2"/>
      </rPr>
      <t>(2)</t>
    </r>
  </si>
  <si>
    <r>
      <t xml:space="preserve">RESIDENT PUPIL </t>
    </r>
    <r>
      <rPr>
        <b/>
        <vertAlign val="superscript"/>
        <sz val="10"/>
        <rFont val="Arial"/>
        <family val="2"/>
      </rPr>
      <t>(1)</t>
    </r>
  </si>
  <si>
    <r>
      <t xml:space="preserve">SUPPORT </t>
    </r>
    <r>
      <rPr>
        <b/>
        <vertAlign val="superscript"/>
        <sz val="10"/>
        <rFont val="Arial"/>
        <family val="2"/>
      </rPr>
      <t>(1)</t>
    </r>
  </si>
  <si>
    <r>
      <t xml:space="preserve">SUPPORT </t>
    </r>
    <r>
      <rPr>
        <b/>
        <vertAlign val="superscript"/>
        <sz val="10"/>
        <rFont val="Arial"/>
        <family val="2"/>
      </rPr>
      <t>(2)</t>
    </r>
  </si>
  <si>
    <r>
      <t xml:space="preserve">NEEDS </t>
    </r>
    <r>
      <rPr>
        <b/>
        <vertAlign val="superscript"/>
        <sz val="10"/>
        <rFont val="Arial"/>
        <family val="2"/>
      </rPr>
      <t>(2)</t>
    </r>
  </si>
  <si>
    <r>
      <t xml:space="preserve">CATEGORICAL </t>
    </r>
    <r>
      <rPr>
        <b/>
        <vertAlign val="superscript"/>
        <sz val="10"/>
        <rFont val="Arial"/>
        <family val="2"/>
      </rPr>
      <t>(1)</t>
    </r>
  </si>
  <si>
    <t>(5)</t>
  </si>
  <si>
    <r>
      <t xml:space="preserve">FUNCTION 300 </t>
    </r>
    <r>
      <rPr>
        <b/>
        <vertAlign val="superscript"/>
        <sz val="10"/>
        <rFont val="Arial"/>
        <family val="2"/>
      </rPr>
      <t>(1)</t>
    </r>
  </si>
  <si>
    <t>PUPIL / EDUCATOR</t>
  </si>
  <si>
    <t>RATIO</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</si>
  <si>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</si>
  <si>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</si>
  <si>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</si>
  <si>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</si>
  <si>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</si>
  <si>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</si>
  <si>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</si>
  <si>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</si>
  <si>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</si>
  <si>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</si>
  <si>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ADMINISTRATION /</t>
  </si>
  <si>
    <t>CLINICAL AND</t>
  </si>
  <si>
    <t>BUSINESS AND</t>
  </si>
  <si>
    <t xml:space="preserve"> FUNCTION 400: COMMUNITY EDUCATION AND SERVICES</t>
  </si>
  <si>
    <t>INSTRUCTIONAL MGMT.</t>
  </si>
  <si>
    <t>MANAGEMENT</t>
  </si>
  <si>
    <t>PROFESSIONAL AND</t>
  </si>
  <si>
    <t>CURRICULUM CONSULTING</t>
  </si>
  <si>
    <t>COUNSELLING AND</t>
  </si>
  <si>
    <t xml:space="preserve"> FUNCTION 700: TRANSPORTATION OF PUPILS</t>
  </si>
  <si>
    <t xml:space="preserve"> FUNCTION 800: OPERATIONS AND MAINTENANCE</t>
  </si>
  <si>
    <t xml:space="preserve"> FUNCTION 900: FISCAL</t>
  </si>
  <si>
    <t>TECHNOLOGY</t>
  </si>
  <si>
    <t>TRANSPORTATION</t>
  </si>
  <si>
    <t>OPERATIONS AND</t>
  </si>
  <si>
    <t>REGULAR TRANSPORTATION</t>
  </si>
  <si>
    <t>ADMINISTRATION, REGULAR AND OTHER</t>
  </si>
  <si>
    <t>REPAIRS AND</t>
  </si>
  <si>
    <t>LESS</t>
  </si>
  <si>
    <t xml:space="preserve">TOTAL </t>
  </si>
  <si>
    <t>ADMINISTRATION</t>
  </si>
  <si>
    <t>ENGLISH LANGUAGE</t>
  </si>
  <si>
    <t>FRANÇAIS</t>
  </si>
  <si>
    <t>FRENCH IMMERSION</t>
  </si>
  <si>
    <t>COORDINATION</t>
  </si>
  <si>
    <t>RELATED SERVICES</t>
  </si>
  <si>
    <t>SUPPORT SERVICES</t>
  </si>
  <si>
    <t>COMMUNITY SERVICES</t>
  </si>
  <si>
    <t>BOARD OF TRUSTEES</t>
  </si>
  <si>
    <t>AND ADMINISTRATION</t>
  </si>
  <si>
    <t>ADMIN. SERVICES</t>
  </si>
  <si>
    <t>INFORMATION SERVICES</t>
  </si>
  <si>
    <t>STAFF DEVELOPMENT</t>
  </si>
  <si>
    <t>AND DEVELOPMENT</t>
  </si>
  <si>
    <t>OTHER</t>
  </si>
  <si>
    <t>ALLOWANCES IN LIEU</t>
  </si>
  <si>
    <t>BOARDING OF</t>
  </si>
  <si>
    <t>SCHOOL BUILDINGS</t>
  </si>
  <si>
    <t>REGULAR INSTRUCTION</t>
  </si>
  <si>
    <t>EXCEPTIONAL</t>
  </si>
  <si>
    <t>COMMUNITY EDUCATION</t>
  </si>
  <si>
    <t>OF PUPILS</t>
  </si>
  <si>
    <t>MAINTENANCE</t>
  </si>
  <si>
    <t>FISCAL</t>
  </si>
  <si>
    <t>TOTAL</t>
  </si>
  <si>
    <t>(PROGRAM 720)</t>
  </si>
  <si>
    <t>(PROGRAMS 710, 720 AND 790)</t>
  </si>
  <si>
    <t>REPLACEMENTS</t>
  </si>
  <si>
    <t>COMMUNITY</t>
  </si>
  <si>
    <t>EXPENDITURES</t>
  </si>
  <si>
    <t>PER</t>
  </si>
  <si>
    <t>&amp; RECREATION</t>
  </si>
  <si>
    <t>REGULAR</t>
  </si>
  <si>
    <t>OF TRANSPORTATION</t>
  </si>
  <si>
    <t>STUDENTS</t>
  </si>
  <si>
    <t>OTHER BUILDINGS</t>
  </si>
  <si>
    <t>GROUNDS</t>
  </si>
  <si>
    <t>DEBT SERVICES</t>
  </si>
  <si>
    <t>ENGLISH</t>
  </si>
  <si>
    <t>FRENCH</t>
  </si>
  <si>
    <t>NURSERY</t>
  </si>
  <si>
    <t xml:space="preserve">REGULAR </t>
  </si>
  <si>
    <t>TOTAL KM.</t>
  </si>
  <si>
    <t>COST</t>
  </si>
  <si>
    <t>LOADED</t>
  </si>
  <si>
    <t>COST PER</t>
  </si>
  <si>
    <t>EDUCATION</t>
  </si>
  <si>
    <t>FOR PER PUPIL</t>
  </si>
  <si>
    <t xml:space="preserve">    TRANSFERS BY FUNCTION</t>
  </si>
  <si>
    <t>AREA</t>
  </si>
  <si>
    <t xml:space="preserve"> DIVISION / DISTRICT</t>
  </si>
  <si>
    <t>AMOUNT</t>
  </si>
  <si>
    <t>%</t>
  </si>
  <si>
    <t>PUPIL</t>
  </si>
  <si>
    <t>LANGUAGE</t>
  </si>
  <si>
    <t>IMMERSION</t>
  </si>
  <si>
    <t>BILINGUAL</t>
  </si>
  <si>
    <t>PUPILS</t>
  </si>
  <si>
    <t>(ROUTES)</t>
  </si>
  <si>
    <t>PER KM.</t>
  </si>
  <si>
    <t>KM.</t>
  </si>
  <si>
    <t>(LOG BOOK)</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</si>
  <si>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</si>
  <si>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</si>
  <si>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</si>
  <si>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</si>
  <si>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</si>
  <si>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</si>
  <si>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</si>
  <si>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</si>
  <si>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</si>
  <si>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</si>
  <si>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</si>
  <si>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</si>
  <si>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</si>
  <si>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OTHER SCHOOL</t>
  </si>
  <si>
    <t>ORGANIZATIONS</t>
  </si>
  <si>
    <t>NON-PROVINCIAL</t>
  </si>
  <si>
    <t>OPERATING</t>
  </si>
  <si>
    <t>GOVERNMENTS</t>
  </si>
  <si>
    <t>URBAN</t>
  </si>
  <si>
    <t>FARM</t>
  </si>
  <si>
    <t>SPECIAL</t>
  </si>
  <si>
    <t>ASSESSMENT</t>
  </si>
  <si>
    <t>COUNSELLING</t>
  </si>
  <si>
    <t>LIBRARY</t>
  </si>
  <si>
    <t>PROFESSIONAL</t>
  </si>
  <si>
    <t>BASE</t>
  </si>
  <si>
    <t>CATEGORICAL</t>
  </si>
  <si>
    <t>PROGRAM</t>
  </si>
  <si>
    <t>PROVINCIAL</t>
  </si>
  <si>
    <t>FUND</t>
  </si>
  <si>
    <t>GOVERNMENT</t>
  </si>
  <si>
    <t>DIVISIONS</t>
  </si>
  <si>
    <t>FIRST NATIONS</t>
  </si>
  <si>
    <t>&amp; INDIVIDUALS</t>
  </si>
  <si>
    <t>REVENUE</t>
  </si>
  <si>
    <t>SCHOOL</t>
  </si>
  <si>
    <t>FIRST</t>
  </si>
  <si>
    <t>ORG.'S &amp;</t>
  </si>
  <si>
    <t>DEBT</t>
  </si>
  <si>
    <t>CAPITAL</t>
  </si>
  <si>
    <t>AND FARM</t>
  </si>
  <si>
    <t>LAND AND</t>
  </si>
  <si>
    <t>LEVY</t>
  </si>
  <si>
    <t>MINING</t>
  </si>
  <si>
    <t>SUPPORT</t>
  </si>
  <si>
    <t>OCCUPANCY</t>
  </si>
  <si>
    <t>AND GUIDANCE</t>
  </si>
  <si>
    <t>SERVICES</t>
  </si>
  <si>
    <t>DEVELOPMENT</t>
  </si>
  <si>
    <t>NATIONS</t>
  </si>
  <si>
    <t>INDIVIDUALS</t>
  </si>
  <si>
    <t>BUILDINGS</t>
  </si>
  <si>
    <t>EQUIPMENT</t>
  </si>
  <si>
    <t>RESIDENTIAL</t>
  </si>
  <si>
    <t xml:space="preserve">OTHER  </t>
  </si>
  <si>
    <t>SPECIAL LEVY</t>
  </si>
  <si>
    <t>OTHER DIVISIONS</t>
  </si>
  <si>
    <t>OBJECT</t>
  </si>
  <si>
    <t>EMPLOYEE</t>
  </si>
  <si>
    <t>SUPPLIES AND</t>
  </si>
  <si>
    <t>SALARIES</t>
  </si>
  <si>
    <t>BENEFITS</t>
  </si>
  <si>
    <t>MATERIALS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</si>
  <si>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</si>
  <si>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</si>
  <si>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</si>
  <si>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</si>
  <si>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</si>
  <si>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</si>
  <si>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</si>
  <si>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</si>
  <si>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</si>
  <si>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</si>
  <si>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NO. OF</t>
  </si>
  <si>
    <t>%  IN DUAL TRACK SCHOOLS</t>
  </si>
  <si>
    <t>F.T.E.</t>
  </si>
  <si>
    <t>SUPPLEMENTARY DATA FOR FRAME REPORT</t>
  </si>
  <si>
    <t>CHECK</t>
  </si>
  <si>
    <t>ENROLMENTS - HEADCOUNT, FRAME AND ELIGIBLE</t>
  </si>
  <si>
    <t>ENROLMENT</t>
  </si>
  <si>
    <t>PUPIL / TEACHER RATIOS</t>
  </si>
  <si>
    <t>INSURANCE</t>
  </si>
  <si>
    <t>EMPLOYEE BENEFITS</t>
  </si>
  <si>
    <t>SUPPLIES &amp; MATERIALS</t>
  </si>
  <si>
    <t>OPERATIONS &amp; MAINTENANCE</t>
  </si>
  <si>
    <t>INSTRUCTIONAL &amp; PUPIL SUPPORT SERVICES</t>
  </si>
  <si>
    <t>DIVISIONAL</t>
  </si>
  <si>
    <t>DIVISIONAL ADMINISTRATION</t>
  </si>
  <si>
    <t xml:space="preserve"> FUNCTION 500: DIVISIONAL ADMINISTRATION</t>
  </si>
  <si>
    <t>PRE-KINDERGARTEN</t>
  </si>
  <si>
    <t xml:space="preserve">N/A </t>
  </si>
  <si>
    <t>SENIOR YEARS</t>
  </si>
  <si>
    <t>EXPENDITURE</t>
  </si>
  <si>
    <t>(1)</t>
  </si>
  <si>
    <t>- 10 -</t>
  </si>
  <si>
    <t>TRANSPORTED</t>
  </si>
  <si>
    <t>CURRICULAR</t>
  </si>
  <si>
    <t>INFORMATION</t>
  </si>
  <si>
    <t>EARLY</t>
  </si>
  <si>
    <t>INTERVENTION</t>
  </si>
  <si>
    <t>PAGE 1 OF 5</t>
  </si>
  <si>
    <t>PAGE 2 OF 5</t>
  </si>
  <si>
    <t>PAGE 3 OF 5</t>
  </si>
  <si>
    <t>PAGE 4 OF 5</t>
  </si>
  <si>
    <t>PAGE 5 OF 5</t>
  </si>
  <si>
    <t>ABORIGINAL</t>
  </si>
  <si>
    <t>ACADEMIC</t>
  </si>
  <si>
    <t>PROGRAMS</t>
  </si>
  <si>
    <t>LITERACY</t>
  </si>
  <si>
    <t>(Grants-</t>
  </si>
  <si>
    <t>in-Lieu)</t>
  </si>
  <si>
    <t>AND SERVICES</t>
  </si>
  <si>
    <t>ADULT LEARNING</t>
  </si>
  <si>
    <t>ADULT LEARNING CENTRES</t>
  </si>
  <si>
    <t>ACHIEVEMENT</t>
  </si>
  <si>
    <t>AND OTHER</t>
  </si>
  <si>
    <t>- 13 -</t>
  </si>
  <si>
    <t>- 12 -</t>
  </si>
  <si>
    <t>SQ. FT. PER</t>
  </si>
  <si>
    <t>INSTRUCTIONAL</t>
  </si>
  <si>
    <t>SCHOOLS</t>
  </si>
  <si>
    <t>FUNDING OF</t>
  </si>
  <si>
    <t>FUNDING OF SCHOOLS PROGRAM (CONT'D)</t>
  </si>
  <si>
    <t>FUNDING OF SCHOOLS PROGRAM</t>
  </si>
  <si>
    <t>TOTAL FUNDING</t>
  </si>
  <si>
    <t>OF SCHOOLS</t>
  </si>
  <si>
    <t>TECHNOLOGY EDUCATION</t>
  </si>
  <si>
    <t>CONTINUING</t>
  </si>
  <si>
    <t>REPAIRS</t>
  </si>
  <si>
    <t>SPARSITY</t>
  </si>
  <si>
    <t>EQUALIZATION</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</si>
  <si>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</si>
  <si>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</si>
  <si>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</si>
  <si>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</si>
  <si>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</si>
  <si>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</si>
  <si>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</si>
  <si>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</si>
  <si>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</si>
  <si>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</si>
  <si>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</si>
  <si>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</si>
  <si>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</si>
  <si>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</si>
  <si>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</si>
  <si>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</si>
  <si>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</si>
  <si>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</si>
  <si>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</si>
  <si>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</si>
  <si>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</si>
  <si>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</si>
  <si>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</si>
  <si>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</si>
  <si>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</si>
  <si>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</si>
  <si>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</si>
  <si>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</si>
  <si>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</si>
  <si>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</si>
  <si>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</si>
  <si>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</si>
  <si>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</si>
  <si>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</si>
  <si>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</si>
  <si>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</si>
  <si>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</si>
  <si>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WPG. TECHNICAL COLLEGE</t>
  </si>
  <si>
    <t xml:space="preserve"> D.S.F.M.</t>
  </si>
  <si>
    <t>MEDIA CENTRE</t>
  </si>
  <si>
    <t>FIELD TRIPS</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</si>
  <si>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</si>
  <si>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</si>
  <si>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</si>
  <si>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</si>
  <si>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</si>
  <si>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</si>
  <si>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</si>
  <si>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</si>
  <si>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</si>
  <si>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</si>
  <si>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</si>
  <si>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</si>
  <si>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</si>
  <si>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</si>
  <si>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</si>
  <si>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</si>
  <si>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</si>
  <si>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</si>
  <si>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</si>
  <si>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</si>
  <si>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</si>
  <si>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</si>
  <si>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</si>
  <si>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</si>
  <si>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</si>
  <si>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</si>
  <si>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</si>
  <si>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</si>
  <si>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</si>
  <si>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</si>
  <si>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</si>
  <si>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</si>
  <si>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</si>
  <si>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</si>
  <si>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</si>
  <si>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</si>
  <si>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</si>
  <si>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</si>
  <si>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</si>
  <si>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</si>
  <si>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</si>
  <si>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CENTRES</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</si>
  <si>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</si>
  <si>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</si>
  <si>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</si>
  <si>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</si>
  <si>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</si>
  <si>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</si>
  <si>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</si>
  <si>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</si>
  <si>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</si>
  <si>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</si>
  <si>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</si>
  <si>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</si>
  <si>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</si>
  <si>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</si>
  <si>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</si>
  <si>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</si>
  <si>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</si>
  <si>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</si>
  <si>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</si>
  <si>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</si>
  <si>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</si>
  <si>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</si>
  <si>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</si>
  <si>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</si>
  <si>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</si>
  <si>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</si>
  <si>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</si>
  <si>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</si>
  <si>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</si>
  <si>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</si>
  <si>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</si>
  <si>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</si>
  <si>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</si>
  <si>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LIBRARY /</t>
  </si>
  <si>
    <t xml:space="preserve">  TRAVEL AND MEETINGS</t>
  </si>
  <si>
    <t>OPERATING FUND - ACCUMULATED SURPLUS/(DEFICIT)</t>
  </si>
  <si>
    <t>(2)</t>
  </si>
  <si>
    <t>LOCAL TAXATION AND ASSESSMENT PER RESIDENT PUPIL</t>
  </si>
  <si>
    <t xml:space="preserve">  EXECUTIVE, MANAGERIAL &amp; SUPERVISORY</t>
  </si>
  <si>
    <t>ACTUAL</t>
  </si>
  <si>
    <t>Reallocation of administration costs associated with Adult Learning Centre operations from Function 500 to Function 300.</t>
  </si>
  <si>
    <t xml:space="preserve"> DIVISION/DISTRICT TOTAL</t>
  </si>
  <si>
    <t xml:space="preserve"> L.G.D. OF PINAWA</t>
  </si>
  <si>
    <t xml:space="preserve"> NOT IN ANY DIVISION</t>
  </si>
  <si>
    <t>MILL RATE</t>
  </si>
  <si>
    <t>PER RESIDENT</t>
  </si>
  <si>
    <t>STATISTICAL SUMMARY</t>
  </si>
  <si>
    <t>AND DEVELOPMENT ADMIN.</t>
  </si>
  <si>
    <t>LESS:</t>
  </si>
  <si>
    <t>LIABILITY</t>
  </si>
  <si>
    <t>CURRICULUM</t>
  </si>
  <si>
    <t>CONSULTING /</t>
  </si>
  <si>
    <t>OPERATIONS &amp;</t>
  </si>
  <si>
    <t xml:space="preserve"> &amp; ADMIN.</t>
  </si>
  <si>
    <t>PORTION OF</t>
  </si>
  <si>
    <t>FUNCTION 500</t>
  </si>
  <si>
    <t>PROGRAM 605</t>
  </si>
  <si>
    <t>PROGRAM 710</t>
  </si>
  <si>
    <t>PROGRAM 810</t>
  </si>
  <si>
    <t>SELF-FUNDED</t>
  </si>
  <si>
    <t>ADMIN.</t>
  </si>
  <si>
    <t>(3)</t>
  </si>
  <si>
    <t>(4)</t>
  </si>
  <si>
    <t>CALCULATION OF EXPENDITURE BASE AND ADMINISTRATION PERCENTAGE</t>
  </si>
  <si>
    <t>PLUS</t>
  </si>
  <si>
    <t>LESS ADULT</t>
  </si>
  <si>
    <t>TO</t>
  </si>
  <si>
    <t>LEARNING</t>
  </si>
  <si>
    <t>ADJUSTED</t>
  </si>
  <si>
    <t>AS % OF</t>
  </si>
  <si>
    <t>(from page 3)</t>
  </si>
  <si>
    <t>ADMIN. COSTS</t>
  </si>
  <si>
    <r>
      <t xml:space="preserve">EXPENSES </t>
    </r>
    <r>
      <rPr>
        <b/>
        <vertAlign val="superscript"/>
        <sz val="10"/>
        <rFont val="Arial"/>
        <family val="2"/>
      </rPr>
      <t>(1)</t>
    </r>
  </si>
  <si>
    <r>
      <t xml:space="preserve">TRANSFERS </t>
    </r>
    <r>
      <rPr>
        <b/>
        <vertAlign val="superscript"/>
        <sz val="10"/>
        <rFont val="Arial"/>
        <family val="2"/>
      </rPr>
      <t>(2)</t>
    </r>
  </si>
  <si>
    <r>
      <t xml:space="preserve">&amp; SERVICES </t>
    </r>
    <r>
      <rPr>
        <b/>
        <vertAlign val="superscript"/>
        <sz val="10"/>
        <rFont val="Arial"/>
        <family val="2"/>
      </rPr>
      <t>(4)</t>
    </r>
  </si>
  <si>
    <r>
      <t xml:space="preserve">COSTS </t>
    </r>
    <r>
      <rPr>
        <b/>
        <vertAlign val="superscript"/>
        <sz val="10"/>
        <rFont val="Arial"/>
        <family val="2"/>
      </rPr>
      <t>(5)</t>
    </r>
  </si>
  <si>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</si>
  <si>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</si>
  <si>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</si>
  <si>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</si>
  <si>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</si>
  <si>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</si>
  <si>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INSTRUCTION </t>
    </r>
    <r>
      <rPr>
        <b/>
        <vertAlign val="superscript"/>
        <sz val="10"/>
        <rFont val="Arial"/>
        <family val="2"/>
      </rPr>
      <t>(1)</t>
    </r>
  </si>
  <si>
    <r>
      <t xml:space="preserve">EDUCATOR </t>
    </r>
    <r>
      <rPr>
        <b/>
        <vertAlign val="superscript"/>
        <sz val="10"/>
        <rFont val="Arial"/>
        <family val="2"/>
      </rPr>
      <t>(2)</t>
    </r>
  </si>
  <si>
    <r>
      <t>(2)</t>
    </r>
    <r>
      <rPr>
        <sz val="9"/>
        <rFont val="Arial"/>
        <family val="2"/>
      </rPr>
      <t xml:space="preserve">  The total number of pupils enrolled in schools adjusted for full time equivalence (F.T.E.).  Full time equivalent means pupils are counted on the</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</si>
  <si>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</si>
  <si>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</si>
  <si>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</si>
  <si>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GIFTED EDUCATION </t>
    </r>
    <r>
      <rPr>
        <b/>
        <vertAlign val="superscript"/>
        <sz val="10"/>
        <rFont val="Arial"/>
        <family val="2"/>
      </rPr>
      <t>(1)</t>
    </r>
  </si>
  <si>
    <r>
      <t xml:space="preserve">SQ. FT. </t>
    </r>
    <r>
      <rPr>
        <b/>
        <vertAlign val="superscript"/>
        <sz val="10"/>
        <rFont val="Arial"/>
        <family val="2"/>
      </rPr>
      <t>(1)</t>
    </r>
  </si>
  <si>
    <r>
      <t xml:space="preserve">PUPIL </t>
    </r>
    <r>
      <rPr>
        <b/>
        <vertAlign val="superscript"/>
        <sz val="10"/>
        <rFont val="Arial"/>
        <family val="2"/>
      </rPr>
      <t>(2)</t>
    </r>
  </si>
  <si>
    <t xml:space="preserve">      400 (Community Education and Services).</t>
  </si>
  <si>
    <r>
      <t xml:space="preserve">PROVINCIAL </t>
    </r>
    <r>
      <rPr>
        <b/>
        <vertAlign val="superscript"/>
        <sz val="10"/>
        <rFont val="Arial"/>
        <family val="2"/>
      </rPr>
      <t>(1)</t>
    </r>
  </si>
  <si>
    <t>FOR ADULTS</t>
  </si>
  <si>
    <r>
      <t xml:space="preserve">PER PUPIL </t>
    </r>
    <r>
      <rPr>
        <b/>
        <vertAlign val="superscript"/>
        <sz val="10"/>
        <rFont val="Arial"/>
        <family val="2"/>
      </rPr>
      <t>(1)</t>
    </r>
  </si>
  <si>
    <t>PROPERTY</t>
  </si>
  <si>
    <r>
      <t xml:space="preserve">PROGRAM </t>
    </r>
    <r>
      <rPr>
        <b/>
        <vertAlign val="superscript"/>
        <sz val="9"/>
        <rFont val="Arial"/>
        <family val="2"/>
      </rPr>
      <t>(1)</t>
    </r>
  </si>
  <si>
    <r>
      <t xml:space="preserve">TAX CREDIT </t>
    </r>
    <r>
      <rPr>
        <b/>
        <vertAlign val="superscript"/>
        <sz val="9"/>
        <rFont val="Arial"/>
        <family val="2"/>
      </rPr>
      <t>(2)</t>
    </r>
  </si>
  <si>
    <r>
      <t xml:space="preserve">REVENUE </t>
    </r>
    <r>
      <rPr>
        <b/>
        <vertAlign val="superscript"/>
        <sz val="9"/>
        <rFont val="Arial"/>
        <family val="2"/>
      </rPr>
      <t>(4)</t>
    </r>
  </si>
  <si>
    <r>
      <t xml:space="preserve">REVENUE </t>
    </r>
    <r>
      <rPr>
        <b/>
        <vertAlign val="superscript"/>
        <sz val="9"/>
        <rFont val="Arial"/>
        <family val="2"/>
      </rPr>
      <t>(5)</t>
    </r>
  </si>
  <si>
    <t xml:space="preserve"> WPG. TECH. COLLEGE</t>
  </si>
  <si>
    <t xml:space="preserve">      International Baccalaureate and Advanced Placement classes.</t>
  </si>
  <si>
    <t>K-12</t>
  </si>
  <si>
    <t>K-12  F.T.E.</t>
  </si>
  <si>
    <t xml:space="preserve">      costs.  Also excluded are expenditures on educational services not provided to K-12 pupils: Function 300 (Adult Learning Centres) and Function</t>
  </si>
  <si>
    <t>NON K-12</t>
  </si>
  <si>
    <r>
      <t xml:space="preserve">LEVY </t>
    </r>
    <r>
      <rPr>
        <b/>
        <vertAlign val="superscript"/>
        <sz val="10"/>
        <rFont val="Arial"/>
        <family val="2"/>
      </rPr>
      <t>(1)</t>
    </r>
  </si>
  <si>
    <r>
      <t xml:space="preserve">MILL RATE </t>
    </r>
    <r>
      <rPr>
        <b/>
        <vertAlign val="superscript"/>
        <sz val="10"/>
        <rFont val="Arial"/>
        <family val="2"/>
      </rPr>
      <t>(2)</t>
    </r>
  </si>
  <si>
    <t>ADDITIONAL</t>
  </si>
  <si>
    <r>
      <t xml:space="preserve">SUPPORT </t>
    </r>
    <r>
      <rPr>
        <b/>
        <vertAlign val="superscript"/>
        <sz val="9"/>
        <rFont val="Arial"/>
        <family val="2"/>
      </rPr>
      <t>(1)</t>
    </r>
  </si>
  <si>
    <r>
      <t xml:space="preserve">SUPPORT </t>
    </r>
    <r>
      <rPr>
        <b/>
        <vertAlign val="superscript"/>
        <sz val="9"/>
        <rFont val="Arial"/>
        <family val="2"/>
      </rPr>
      <t>(2)</t>
    </r>
  </si>
  <si>
    <t xml:space="preserve">  PROPERTY TAXES</t>
  </si>
  <si>
    <t xml:space="preserve"> FUNCTION 200: STUDENT SUPPORT SERVICES</t>
  </si>
  <si>
    <t>STUDENT SUPPORT</t>
  </si>
  <si>
    <t>INSTRUCTIONAL &amp; OTHER</t>
  </si>
  <si>
    <t xml:space="preserve"> FUNCTION 600: INSTRUCTIONAL &amp; OTHER SUPPORT SERVICES</t>
  </si>
  <si>
    <t>N-12</t>
  </si>
  <si>
    <t>STUDENT</t>
  </si>
  <si>
    <t>CHILDHOOD</t>
  </si>
  <si>
    <t>ENGLISH AS AN</t>
  </si>
  <si>
    <t>PLACEMENT</t>
  </si>
  <si>
    <t>PAGE 6 OF 17</t>
  </si>
  <si>
    <t>PAGE 1 OF 17</t>
  </si>
  <si>
    <t>PAGE 16 OF 17</t>
  </si>
  <si>
    <t>PAGE 15 OF 17</t>
  </si>
  <si>
    <t>PAGE 14 OF 17</t>
  </si>
  <si>
    <t>PAGE 13 OF 17</t>
  </si>
  <si>
    <t>PAGE 12 OF 17</t>
  </si>
  <si>
    <t>PAGE 11 OF 17</t>
  </si>
  <si>
    <t>PAGE 10 OF 17</t>
  </si>
  <si>
    <t>PAGE 9 OF 17</t>
  </si>
  <si>
    <t>PAGE 8 OF 17</t>
  </si>
  <si>
    <t>PAGE 7 OF 17</t>
  </si>
  <si>
    <t>PAGE 5 OF 17</t>
  </si>
  <si>
    <t>PAGE 4 OF 17</t>
  </si>
  <si>
    <t>PAGE 3 OF 17</t>
  </si>
  <si>
    <t>PAGE 2 OF 17</t>
  </si>
  <si>
    <t>PAGE 17 OF 17</t>
  </si>
  <si>
    <t>INTEREST AND</t>
  </si>
  <si>
    <t>BANK CHARGES</t>
  </si>
  <si>
    <t>BAD</t>
  </si>
  <si>
    <t>PORTIONED</t>
  </si>
  <si>
    <t xml:space="preserve"> SUPPORT LEVY</t>
  </si>
  <si>
    <t>TOTAL DEFINED ADMINISTRATION EXPENSES</t>
  </si>
  <si>
    <t>RECONCILIATION  OF  EXPENSES</t>
  </si>
  <si>
    <r>
      <t xml:space="preserve">EXPENSES </t>
    </r>
    <r>
      <rPr>
        <b/>
        <vertAlign val="superscript"/>
        <sz val="10"/>
        <rFont val="Arial"/>
        <family val="2"/>
      </rPr>
      <t>(1)</t>
    </r>
    <r>
      <rPr>
        <sz val="9"/>
        <color indexed="9"/>
        <rFont val="Arial"/>
        <family val="2"/>
      </rPr>
      <t>X</t>
    </r>
  </si>
  <si>
    <t>ACCUMULATED</t>
  </si>
  <si>
    <t>CLOSING</t>
  </si>
  <si>
    <t>SURPLUS /</t>
  </si>
  <si>
    <t>EQUITY</t>
  </si>
  <si>
    <t>PAGE 1 OF 4</t>
  </si>
  <si>
    <t>PAGE 3 OF 4</t>
  </si>
  <si>
    <t>PAGE 2 OF 4</t>
  </si>
  <si>
    <t>PAGE 4 OF 4</t>
  </si>
  <si>
    <t>EXPENSE BY FUNCTION AND OBJECT</t>
  </si>
  <si>
    <t>EXPENSE BY 2ND LEVEL OBJECT</t>
  </si>
  <si>
    <t>AS A PERCENTAGE OF TOTAL OPERATING FUND EXPENSES</t>
  </si>
  <si>
    <t>STUDENT SUPPORT SERVICES</t>
  </si>
  <si>
    <r>
      <t xml:space="preserve">OF TRANFERS </t>
    </r>
    <r>
      <rPr>
        <b/>
        <vertAlign val="superscript"/>
        <sz val="10"/>
        <rFont val="Arial"/>
        <family val="2"/>
      </rPr>
      <t>(3)</t>
    </r>
  </si>
  <si>
    <t>EXPENSES NET</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</si>
  <si>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</si>
  <si>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</si>
  <si>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</si>
  <si>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</si>
  <si>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</si>
  <si>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</si>
  <si>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</si>
  <si>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RESERVE</t>
  </si>
  <si>
    <t>COMPRISED OF:</t>
  </si>
  <si>
    <t>EQUITY IN</t>
  </si>
  <si>
    <t>TANGIBLE</t>
  </si>
  <si>
    <t>GENERATED</t>
  </si>
  <si>
    <t>FUNDS</t>
  </si>
  <si>
    <t>BAD DEBT</t>
  </si>
  <si>
    <t>EXPENSE</t>
  </si>
  <si>
    <r>
      <t xml:space="preserve">  RECHARGE </t>
    </r>
    <r>
      <rPr>
        <vertAlign val="superscript"/>
        <sz val="9"/>
        <rFont val="Arial"/>
        <family val="2"/>
      </rPr>
      <t>(1)</t>
    </r>
  </si>
  <si>
    <t xml:space="preserve">  BAD DEBT EXPENSE</t>
  </si>
  <si>
    <r>
      <t xml:space="preserve">GOVERNMENT </t>
    </r>
    <r>
      <rPr>
        <b/>
        <vertAlign val="superscript"/>
        <sz val="10"/>
        <rFont val="Arial"/>
        <family val="2"/>
      </rPr>
      <t>(1)</t>
    </r>
  </si>
  <si>
    <r>
      <t xml:space="preserve">SOURCES </t>
    </r>
    <r>
      <rPr>
        <b/>
        <vertAlign val="superscript"/>
        <sz val="10"/>
        <rFont val="Arial"/>
        <family val="2"/>
      </rPr>
      <t>(2)</t>
    </r>
  </si>
  <si>
    <r>
      <t xml:space="preserve">LAND </t>
    </r>
    <r>
      <rPr>
        <b/>
        <vertAlign val="superscript"/>
        <sz val="10"/>
        <rFont val="Arial"/>
        <family val="2"/>
      </rPr>
      <t>(1)</t>
    </r>
  </si>
  <si>
    <r>
      <t xml:space="preserve">ASSETS </t>
    </r>
    <r>
      <rPr>
        <b/>
        <vertAlign val="superscript"/>
        <sz val="10"/>
        <rFont val="Arial"/>
        <family val="2"/>
      </rPr>
      <t>(1)</t>
    </r>
  </si>
  <si>
    <r>
      <t xml:space="preserve">ACCOUNTS </t>
    </r>
    <r>
      <rPr>
        <b/>
        <vertAlign val="superscript"/>
        <sz val="10"/>
        <rFont val="Arial"/>
        <family val="2"/>
      </rPr>
      <t>(2)</t>
    </r>
  </si>
  <si>
    <t xml:space="preserve">  ACCUMULATED SURPLUS / EQUITY</t>
  </si>
  <si>
    <r>
      <t xml:space="preserve">AMORTIZATION </t>
    </r>
    <r>
      <rPr>
        <b/>
        <vertAlign val="superscript"/>
        <sz val="9"/>
        <rFont val="Arial"/>
        <family val="2"/>
      </rPr>
      <t>(1)</t>
    </r>
  </si>
  <si>
    <r>
      <t xml:space="preserve">INTEREST </t>
    </r>
    <r>
      <rPr>
        <b/>
        <vertAlign val="superscript"/>
        <sz val="9"/>
        <rFont val="Arial"/>
        <family val="2"/>
      </rPr>
      <t>(2)</t>
    </r>
  </si>
  <si>
    <r>
      <t>GOVERNMENT</t>
    </r>
    <r>
      <rPr>
        <b/>
        <vertAlign val="superscript"/>
        <sz val="9"/>
        <rFont val="Arial"/>
        <family val="2"/>
      </rPr>
      <t xml:space="preserve"> (1)</t>
    </r>
  </si>
  <si>
    <t xml:space="preserve">      and liabilities.</t>
  </si>
  <si>
    <t>HEALTH AND</t>
  </si>
  <si>
    <t>EDUCATION LEVY</t>
  </si>
  <si>
    <r>
      <t>EQUIPMENT</t>
    </r>
    <r>
      <rPr>
        <b/>
        <vertAlign val="superscript"/>
        <sz val="10"/>
        <rFont val="Arial"/>
        <family val="2"/>
      </rPr>
      <t xml:space="preserve"> (2)</t>
    </r>
  </si>
  <si>
    <t>NET TRANSFERS</t>
  </si>
  <si>
    <t>FURNITURE /</t>
  </si>
  <si>
    <t>COMPUTER</t>
  </si>
  <si>
    <t>FIXTURES &amp;</t>
  </si>
  <si>
    <t>HARDWARE &amp;</t>
  </si>
  <si>
    <t>TO / (FROM)</t>
  </si>
  <si>
    <t xml:space="preserve">  FISCAL YEAR ADDITIONS TO TANGIBLE CAPITAL ASSETS</t>
  </si>
  <si>
    <t xml:space="preserve">TAX  </t>
  </si>
  <si>
    <t>INCENTIVE</t>
  </si>
  <si>
    <r>
      <t xml:space="preserve">REVENUE </t>
    </r>
    <r>
      <rPr>
        <b/>
        <vertAlign val="superscript"/>
        <sz val="9"/>
        <rFont val="Arial"/>
        <family val="2"/>
      </rPr>
      <t>(6)</t>
    </r>
  </si>
  <si>
    <t>UNDESIGNATED</t>
  </si>
  <si>
    <t>Health and Education Levy</t>
  </si>
  <si>
    <t>GUIDANCE</t>
  </si>
  <si>
    <t>Dates</t>
  </si>
  <si>
    <t>September 30,</t>
  </si>
  <si>
    <r>
      <t xml:space="preserve">ADMINISTRATION EXPENSES </t>
    </r>
    <r>
      <rPr>
        <b/>
        <vertAlign val="superscript"/>
        <sz val="10"/>
        <rFont val="Arial"/>
        <family val="2"/>
      </rPr>
      <t>(1)</t>
    </r>
    <r>
      <rPr>
        <b/>
        <sz val="9"/>
        <rFont val="Arial"/>
        <family val="2"/>
      </rPr>
      <t xml:space="preserve"> </t>
    </r>
  </si>
  <si>
    <t>ADDITIONAL LANGUAGE</t>
  </si>
  <si>
    <r>
      <t xml:space="preserve">OTHER  </t>
    </r>
    <r>
      <rPr>
        <b/>
        <vertAlign val="superscript"/>
        <sz val="9"/>
        <rFont val="Arial"/>
        <family val="2"/>
      </rPr>
      <t>(1)</t>
    </r>
  </si>
  <si>
    <t xml:space="preserve">       leasehold improvements and assets under construction.</t>
  </si>
  <si>
    <r>
      <t>SERVICES</t>
    </r>
    <r>
      <rPr>
        <b/>
        <vertAlign val="superscript"/>
        <sz val="9"/>
        <rFont val="Arial"/>
        <family val="2"/>
      </rPr>
      <t xml:space="preserve"> (1)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</si>
  <si>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</si>
  <si>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</si>
  <si>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</si>
  <si>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ITEMS</t>
  </si>
  <si>
    <t>(1)  Support for Function 200 Student Support Services expenses less Counselling and Guidance and Categorical support for Special Needs.</t>
  </si>
  <si>
    <t>FORMULA</t>
  </si>
  <si>
    <t xml:space="preserve"> RESOURCE</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</si>
  <si>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</si>
  <si>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</si>
  <si>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</si>
  <si>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</si>
  <si>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</si>
  <si>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</si>
  <si>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</si>
  <si>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</si>
  <si>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</si>
  <si>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</si>
  <si>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</si>
  <si>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</si>
  <si>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</si>
  <si>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</si>
  <si>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</si>
  <si>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</si>
  <si>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</si>
  <si>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</si>
  <si>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</si>
  <si>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</si>
  <si>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</si>
  <si>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</si>
  <si>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</si>
  <si>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</si>
  <si>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</si>
  <si>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</si>
  <si>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</si>
  <si>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</si>
  <si>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</si>
  <si>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</si>
  <si>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</si>
  <si>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</si>
  <si>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</si>
  <si>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</si>
  <si>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</si>
  <si>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</si>
  <si>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</si>
  <si>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</si>
  <si>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</si>
  <si>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</si>
  <si>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</si>
  <si>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W.T.C.</t>
  </si>
  <si>
    <t>DIRECT SUPPORT TO PUPILS</t>
  </si>
  <si>
    <t>DIRECT SUPPORT</t>
  </si>
  <si>
    <t>TO PUPILS</t>
  </si>
  <si>
    <t>PER PUPIL</t>
  </si>
  <si>
    <t>(1) Total of Regular Instruction, Student Support Services and Instructional and Other Support Services. See pages 15 and 16</t>
  </si>
  <si>
    <r>
      <t xml:space="preserve"> </t>
    </r>
    <r>
      <rPr>
        <sz val="9"/>
        <rFont val="Arial"/>
        <family val="2"/>
      </rPr>
      <t xml:space="preserve">      for details.</t>
    </r>
  </si>
  <si>
    <t>(3)  Information Technology.</t>
  </si>
  <si>
    <t xml:space="preserve">      to the school divisions' financial statements.</t>
  </si>
  <si>
    <t xml:space="preserve">      page 3 for Total Expenses.</t>
  </si>
  <si>
    <t>NET SPECIAL LEVY</t>
  </si>
  <si>
    <t>GROSS SPECIAL</t>
  </si>
  <si>
    <t>TAX INCENTIVE</t>
  </si>
  <si>
    <t>NET SPECIAL</t>
  </si>
  <si>
    <r>
      <t>GRANT</t>
    </r>
    <r>
      <rPr>
        <b/>
        <vertAlign val="superscript"/>
        <sz val="9"/>
        <rFont val="Arial"/>
        <family val="2"/>
      </rPr>
      <t xml:space="preserve"> (1)</t>
    </r>
  </si>
  <si>
    <t xml:space="preserve">      </t>
  </si>
  <si>
    <t>CurrY</t>
  </si>
  <si>
    <t>PrevY</t>
  </si>
  <si>
    <r>
      <t xml:space="preserve">REGULAR INSTRUCTION </t>
    </r>
    <r>
      <rPr>
        <b/>
        <vertAlign val="superscript"/>
        <sz val="9"/>
        <rFont val="Arial"/>
        <family val="2"/>
      </rPr>
      <t>(1)</t>
    </r>
  </si>
  <si>
    <t xml:space="preserve">       information.</t>
  </si>
  <si>
    <t xml:space="preserve">       Learning Centres on page 15 owing to the inclusion of operating transfers for the purpose of calculating administration costs.</t>
  </si>
  <si>
    <t>SEPT. 30, 2009</t>
  </si>
  <si>
    <t xml:space="preserve">       per pupil costs.</t>
  </si>
  <si>
    <t xml:space="preserve">       page 42 for EPTC revenue.</t>
  </si>
  <si>
    <t xml:space="preserve">      division for more information. Does not include costs related to generalized enrichment activities undertaken by school divisions, or</t>
  </si>
  <si>
    <t>(1)  Equalization is provided to recognize the varying ability of school divisions to meet the cost of unsupported program requirements through the</t>
  </si>
  <si>
    <t>(2)  Additional Equalization is provided to specifically assist school divisions or districts that have both higher than average tax effort and lower than</t>
  </si>
  <si>
    <t xml:space="preserve">       property tax base of the school division.</t>
  </si>
  <si>
    <t xml:space="preserve">       average assessment per pupil.</t>
  </si>
  <si>
    <t>(1)  For a definition of Adult Learning Centres, see expense definitions, page iii.  Expenses shown here may differ from those shown for Adult</t>
  </si>
  <si>
    <t>(1)  From page 4 (for more information, see page 4).</t>
  </si>
  <si>
    <t>(2)  From page 9 (for more information, see page 9).</t>
  </si>
  <si>
    <t>(1)  School divisions are required to limit the proportion of the budget spent on administration expenditures in defined categories to 4% (urban school</t>
  </si>
  <si>
    <t>(3)  Administration, supervision and coordination of Curriculum Consulting and Development (Function 600, Program 605).</t>
  </si>
  <si>
    <t>(1)  90% or more of Regular Instruction enrolment is in one language program.</t>
  </si>
  <si>
    <t>(2)  No one language program comprises 90% or more of Regular Instruction enrolment.</t>
  </si>
  <si>
    <t>(1)  Operating fund transfers (i.e. payments to other school divisions, organizations and individuals) are excluded to provide more accurate per pupil</t>
  </si>
  <si>
    <t>(1)  Total operating expenses as reported on the Schedule of Revenue, Expenses and Accumulated Surplus by each school division.</t>
  </si>
  <si>
    <t>(2)  Operating fund transfers are payments to other school divisions, organizations and individuals.  These are removed to provide more accurate</t>
  </si>
  <si>
    <t>(3)  As reported on pages 10 and 13 (on a provincial basis).</t>
  </si>
  <si>
    <t>(4)  Expenses for Adult Learning Centres and Community Education and Services (Functions 300 and 400).</t>
  </si>
  <si>
    <t>(5)  As reported on page 4.</t>
  </si>
  <si>
    <t>(1)  Based on object code 330 instructional-teaching personnel and F.T.E. students in Function 100.  Included are teachers in physical education,</t>
  </si>
  <si>
    <t>(2)  Based on total instructional-teaching (excluding Community Education and Adult Learning Centres) as well as school-based administrative</t>
  </si>
  <si>
    <t>(1)  Reallocation of administration costs associated with Adult Learning Centre operations from Function 500 to Function 300.</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</si>
  <si>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</si>
  <si>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</si>
  <si>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</si>
  <si>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</si>
  <si>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</si>
  <si>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Function 400 (Community Education and Services)</t>
  </si>
  <si>
    <t>(2)  Capitalized Information Technology equipment is reported on page 49.</t>
  </si>
  <si>
    <t>(1)  Excludes information technology expenses in Function 300 (Adult Learning Centres) and Function 400 (Community Education and Services).</t>
  </si>
  <si>
    <t>(2)  Total Management Information Services expenses in Function 500 (from page 27).</t>
  </si>
  <si>
    <t>(1)  The portion shown here is comprised of operating support only. The total provincial contribution to K-12 public school education, which also</t>
  </si>
  <si>
    <t>(1)  See appendix for more detail.</t>
  </si>
  <si>
    <t>(5)  Includes revenue from other provincial government departments.</t>
  </si>
  <si>
    <t>(1)  Includes amortization of capital assets over their useful lives as defined in section 8 of the FRAME Manual - available on the Internet at:</t>
  </si>
  <si>
    <t>(2)  Includes debenture interest payments.</t>
  </si>
  <si>
    <t>(1)  Comprised of principal and interest payments for debentures issued to finance asset additions.</t>
  </si>
  <si>
    <t>(2)  Includes other governments, investment income, donations and gain/(loss) on disposal of capital assets. .</t>
  </si>
  <si>
    <t>(1)  Residual interest (accounting value) in all tangible capital assets (i.e. land, buildings, vehicles and equipment) net of accumulated amortization</t>
  </si>
  <si>
    <t>(2)  Internally restricted and held for future capital expense purposes.</t>
  </si>
  <si>
    <t>(1)  Land and improvements.</t>
  </si>
  <si>
    <t>(3)  For information technology equipment purchased in Operating Fund, see page 38.</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</si>
  <si>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</si>
  <si>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</si>
  <si>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</si>
  <si>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</si>
  <si>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(1)  All other categorical support not shown elsewhere (eg. Heritage Language, Northern Allowance, etc.).</t>
  </si>
  <si>
    <t xml:space="preserve">       transfers for the purpose of calculating administration costs.</t>
  </si>
  <si>
    <t xml:space="preserve">       level (Function 100 - Regular Instruction, Program 110) and special needs administration (Function 200 - Exceptional, Program 210).  This appendix</t>
  </si>
  <si>
    <t xml:space="preserve">       are exempt from these limits and are not reflected in the above totals. The defined administration categories exclude administration at the school</t>
  </si>
  <si>
    <t xml:space="preserve">(2)  Comprised of school and other building new construction and betterments financed primarily through debenture debt. Includes </t>
  </si>
  <si>
    <t xml:space="preserve"> DSFM</t>
  </si>
  <si>
    <t>(1)  Assessment per resident pupil is based on total portioned assessment adjusted for allocations to the DSFM and corresponds to data provided</t>
  </si>
  <si>
    <t xml:space="preserve">      mining properties. DSFM assessment per resident pupil is derived on a pro rata basis according to enrolment within DSFM boundaries.</t>
  </si>
  <si>
    <t xml:space="preserve">       divisions), 4.5% (rural school divisions) and 5.0% (northern school divisions).  Frontier School Division, DSFM and the Winnipeg Technical College</t>
  </si>
  <si>
    <t>DSFM</t>
  </si>
  <si>
    <t xml:space="preserve">       basis of time attending school - eg. Kindergarten as 1/2.  This total is the same as reported on page 7.</t>
  </si>
  <si>
    <t xml:space="preserve">       Revenue District includes out-of-district pupils.</t>
  </si>
  <si>
    <t xml:space="preserve">       and form part of Total Information Technology Expenses.</t>
  </si>
  <si>
    <t>(2)  Effective with the 2005 tax year, the Resident Homeowner Advance portion of the Manitoba Education Property Tax Credit (EPTC) is provided directly to</t>
  </si>
  <si>
    <t xml:space="preserve">       school divisions as revenue from the Province of Manitoba to more accurately reflect the amount of provincial funding provided in support of education. </t>
  </si>
  <si>
    <t xml:space="preserve">       Amounts shown here do not include the income tax portion of the EPTC nor the Pensioner’s School Tax Assistance (PSTA) because these are not </t>
  </si>
  <si>
    <t>PHYSICAL</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</si>
  <si>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</si>
  <si>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</si>
  <si>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t>(4)  Administration of Pupil Transportation.  For a definition of Transportation of Pupils, see expense definitions, page iii.</t>
  </si>
  <si>
    <t>(5)  Administration of Operations and Maintenance.  For a definition of Operations and Maintenance, see expense definitions, page iii.</t>
  </si>
  <si>
    <t xml:space="preserve">       provides an analysis of the defined administration expenditures as a percentage of the adjusted operating expenditure base.  Expenditures shown</t>
  </si>
  <si>
    <t>(1)  Includes all personnel in all functions. See FRAME Manual at  http://www.edu.gov.mb.ca/k12/finance/frame_manual/index.html  for definitions.</t>
  </si>
  <si>
    <r>
      <t xml:space="preserve">PLACEMENT </t>
    </r>
    <r>
      <rPr>
        <b/>
        <vertAlign val="superscript"/>
        <sz val="9"/>
        <rFont val="Arial"/>
        <family val="2"/>
      </rPr>
      <t>(1)</t>
    </r>
  </si>
  <si>
    <r>
      <t xml:space="preserve">GRANT </t>
    </r>
    <r>
      <rPr>
        <b/>
        <vertAlign val="superscript"/>
        <sz val="9"/>
        <rFont val="Arial"/>
        <family val="2"/>
      </rPr>
      <t>(3)</t>
    </r>
  </si>
  <si>
    <r>
      <t>SOFTWARE</t>
    </r>
    <r>
      <rPr>
        <b/>
        <vertAlign val="superscript"/>
        <sz val="10"/>
        <rFont val="Arial"/>
        <family val="2"/>
      </rPr>
      <t xml:space="preserve"> (3)</t>
    </r>
  </si>
  <si>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</si>
  <si>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</si>
  <si>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</si>
  <si>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</si>
  <si>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</si>
  <si>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</si>
  <si>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FUNCTIONS 100 + 200 + 600</t>
    </r>
    <r>
      <rPr>
        <b/>
        <vertAlign val="superscript"/>
        <sz val="9"/>
        <rFont val="Arial"/>
        <family val="2"/>
      </rPr>
      <t xml:space="preserve"> (1)</t>
    </r>
  </si>
  <si>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</si>
  <si>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</si>
  <si>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</si>
  <si>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</si>
  <si>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</si>
  <si>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</si>
  <si>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 xml:space="preserve">      the school has authority to make decisions as to when, how, and on what the funds are to be spent (e.g. Parent council and student</t>
  </si>
  <si>
    <t>(1) The Special Purpose Fund reports school generated funds and controlled charitable foundations. School generated funds are those funds which</t>
  </si>
  <si>
    <t xml:space="preserve">      council funds are not included).  </t>
  </si>
  <si>
    <t>SCHOOL GENERATED FUNDS</t>
  </si>
  <si>
    <t>TOTAL SCHOOL</t>
  </si>
  <si>
    <r>
      <t xml:space="preserve">LIABILITY </t>
    </r>
    <r>
      <rPr>
        <b/>
        <vertAlign val="superscript"/>
        <sz val="10"/>
        <rFont val="Arial"/>
        <family val="2"/>
      </rPr>
      <t>(2)</t>
    </r>
  </si>
  <si>
    <t>GENERATED FUNDS</t>
  </si>
  <si>
    <r>
      <t xml:space="preserve">ACCUMULATED SURPLUS </t>
    </r>
    <r>
      <rPr>
        <b/>
        <vertAlign val="superscript"/>
        <sz val="10"/>
        <rFont val="Arial"/>
        <family val="2"/>
      </rPr>
      <t>(1)</t>
    </r>
  </si>
  <si>
    <t>(DESIGNATED FUNDS)</t>
  </si>
  <si>
    <t xml:space="preserve">(2)  The liability is money held for designated projects in school bank accounts for which schools do not have authority to make decisions as to </t>
  </si>
  <si>
    <t xml:space="preserve">       when, how, and on what the funds are to be spent  (e.g. Parent council and student council funds).</t>
  </si>
  <si>
    <t xml:space="preserve">       music, EAL, etc. in addition to regular classroom teachers.  School-based administrative personnel  and Special Placement classroom</t>
  </si>
  <si>
    <t xml:space="preserve">       teachers are excluded.</t>
  </si>
  <si>
    <t xml:space="preserve">       staff - eg. department heads, coordinators, principals and vice-principals - and K-12 F.T.E. enrolment.  Division administrators (Function 500)</t>
  </si>
  <si>
    <t xml:space="preserve">       are excluded.  While this definition is consistent with Statistics Canada's, the provincial ratio may not agree exactly due to different data sources.</t>
  </si>
  <si>
    <t>(1)  From page 50. School Generated Funds Accumulated surplus is money for which schools have authority to make decisions  as to when,</t>
  </si>
  <si>
    <t xml:space="preserve">       how, and on what the funds are to be spent. </t>
  </si>
  <si>
    <t>(2)  Includes clinicians contracted/outsourced/private or employed by other divisions on a full time equivalent basis.</t>
  </si>
  <si>
    <t>2010/11</t>
  </si>
  <si>
    <t>2010/2011 ACTUAL</t>
  </si>
  <si>
    <t>SEPT. 30, 2010</t>
  </si>
  <si>
    <t>(1)  All expenses related to gifted programming may not be included due to the difficulty of costing certain programming. Contact your school</t>
  </si>
  <si>
    <t xml:space="preserve">       and Management Information Services in Function 500. Total expenses for Management Information Services are included on page 39</t>
  </si>
  <si>
    <t xml:space="preserve">      in the calculation of support to school divisions. Assessment per resident pupil for Flin Flon, Frontier and Mystery Lake reflects non-assessed</t>
  </si>
  <si>
    <t>(from page 63)</t>
  </si>
  <si>
    <t xml:space="preserve">       page 59 and Special Needs).</t>
  </si>
  <si>
    <t>(3)  From page 56 (for more information, see page 56).</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</si>
  <si>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</si>
  <si>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</si>
  <si>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</si>
  <si>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t xml:space="preserve">      in Regular Instruction is equal to Total K-12 F.T.E. enrolment.</t>
  </si>
  <si>
    <t>(1) Special Placement students are no longer reported separately. They are included in Regular Instruction Enrolment. As a result, total enrolment</t>
  </si>
  <si>
    <t>2011/12</t>
  </si>
  <si>
    <t>SEPT. 30, 2011</t>
  </si>
  <si>
    <r>
      <t xml:space="preserve">2011/12 </t>
    </r>
    <r>
      <rPr>
        <b/>
        <vertAlign val="superscript"/>
        <sz val="10"/>
        <rFont val="Arial"/>
        <family val="2"/>
      </rPr>
      <t>(2)</t>
    </r>
  </si>
  <si>
    <r>
      <t xml:space="preserve">2011 </t>
    </r>
    <r>
      <rPr>
        <b/>
        <vertAlign val="superscript"/>
        <sz val="10"/>
        <rFont val="Arial"/>
        <family val="2"/>
      </rPr>
      <t>(3)</t>
    </r>
  </si>
  <si>
    <r>
      <t xml:space="preserve">2011 </t>
    </r>
    <r>
      <rPr>
        <b/>
        <vertAlign val="superscript"/>
        <sz val="10"/>
        <rFont val="Arial"/>
        <family val="2"/>
      </rPr>
      <t>(4)</t>
    </r>
  </si>
  <si>
    <t xml:space="preserve">(3)  Provincially supported pupils (actual September 30, 2010 for 2011/12 and actual September 30, 2009 for 2010/11). The Whiteshell Special </t>
  </si>
  <si>
    <t>W:\Edusfb\Frame.fin\[Final12.xls]Scdatabase - Column AD</t>
  </si>
  <si>
    <t>2011 TSA</t>
  </si>
  <si>
    <t xml:space="preserve">FOR THE 2011 TAXATION YEAR </t>
  </si>
  <si>
    <t xml:space="preserve">(4)  From page 54 (for more information, see page 54). </t>
  </si>
  <si>
    <t>(2) Designated Surplus is the amount that school divisions have set aside for specific purposes. For further information, please refer</t>
  </si>
  <si>
    <t xml:space="preserve">(3) Operating expenses include transfers to other school divisions, organizations and individuals but not net transfers to capital. See </t>
  </si>
  <si>
    <r>
      <t xml:space="preserve">DESIGNATED </t>
    </r>
    <r>
      <rPr>
        <b/>
        <vertAlign val="superscript"/>
        <sz val="9"/>
        <rFont val="Arial"/>
        <family val="2"/>
      </rPr>
      <t>(2)</t>
    </r>
  </si>
  <si>
    <r>
      <t xml:space="preserve">EXPENSES </t>
    </r>
    <r>
      <rPr>
        <b/>
        <vertAlign val="superscript"/>
        <sz val="10"/>
        <rFont val="Arial"/>
        <family val="2"/>
      </rPr>
      <t>(3)</t>
    </r>
  </si>
  <si>
    <t>8*</t>
  </si>
  <si>
    <t>Coming from Budget.</t>
  </si>
  <si>
    <t>2011/2012 ACTUAL</t>
  </si>
  <si>
    <t>(1) Effective 2006, the Education Support Levy is no longer raised on residential property. The mill rate for other property in 2011 is 12.33.</t>
  </si>
  <si>
    <t>(1)  Accumulated Surplus / (Deficit) at Year End is gross of estimated non-vested accumulated sick leave.</t>
  </si>
  <si>
    <t>(4)  Includes other miscellaneous support (Institutional Programs, Nursing Supports, General Support Grant, etc.).</t>
  </si>
  <si>
    <t>Sept. 30 / 11</t>
  </si>
  <si>
    <t>W:\Edusfb\Age and Area</t>
  </si>
  <si>
    <t xml:space="preserve">        for Function 500 or Program 710 may differ from corresponding amounts shown elsewhere in this report owing to the inclusion of operating</t>
  </si>
  <si>
    <t>(1)  Based on area (square footage) of active school buildings as at September 30, 2011. Includes rented and leased space.</t>
  </si>
  <si>
    <r>
      <t xml:space="preserve">ACCUMULATED SURPLUS / (DEFICIT) AT YEAR END </t>
    </r>
    <r>
      <rPr>
        <b/>
        <vertAlign val="superscript"/>
        <sz val="9"/>
        <rFont val="Arial"/>
        <family val="2"/>
      </rPr>
      <t xml:space="preserve"> (1)</t>
    </r>
  </si>
  <si>
    <t xml:space="preserve">(1)  Special levy net of the Tax Incentive Grant (page 55) requisitioned by school divisions for the 2011 tax year. Actual remittance to </t>
  </si>
  <si>
    <t xml:space="preserve">       school divisions by municipalities is reduced by the EducationProperty Tax Credit. See pages 42 and 43 for more detail.</t>
  </si>
  <si>
    <t xml:space="preserve">       the 2011 and 2012 calendar year grants that are applicable to 2011/12 revenue.</t>
  </si>
  <si>
    <t xml:space="preserve">       quantifiable on a school division basis.  For the income tax portion of the EPTC and the PSTA, see page i.</t>
  </si>
  <si>
    <t xml:space="preserve">(3)  Although the TIG was discontinued in 2012, the funding provided in 2011 continues to be provided in 2012. Amounts shown here are the portions of </t>
  </si>
  <si>
    <t xml:space="preserve">(1) For 2011 a Tax Incentive Grant (TIG) was offered to school divisions that maintained their prior year Special Levy amount adjusted for real growth in </t>
  </si>
  <si>
    <r>
      <t>GUARANTEE</t>
    </r>
    <r>
      <rPr>
        <b/>
        <vertAlign val="superscript"/>
        <sz val="9"/>
        <rFont val="Arial"/>
        <family val="2"/>
      </rPr>
      <t xml:space="preserve"> (3)</t>
    </r>
  </si>
  <si>
    <r>
      <t xml:space="preserve">SUPPORT </t>
    </r>
    <r>
      <rPr>
        <b/>
        <vertAlign val="superscript"/>
        <sz val="9"/>
        <rFont val="Arial"/>
        <family val="2"/>
      </rPr>
      <t>(4)</t>
    </r>
  </si>
  <si>
    <r>
      <t xml:space="preserve">PROGRAM </t>
    </r>
    <r>
      <rPr>
        <b/>
        <vertAlign val="superscript"/>
        <sz val="10"/>
        <rFont val="Arial"/>
        <family val="2"/>
      </rPr>
      <t>(5)</t>
    </r>
  </si>
  <si>
    <t>(3)  Formula Guarantee is provided to ensure that every school division will receive at least a 2.2% increase in funding.</t>
  </si>
  <si>
    <t>(4)  Includes School Buildings "D" Support, Technology Education Equipment and other minor capital support.</t>
  </si>
  <si>
    <t>(5)  Includes adjustment for days schools are closed (not shown).</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</si>
  <si>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</si>
  <si>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</si>
  <si>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</si>
  <si>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</si>
  <si>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</si>
  <si>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2011/12 Actual</t>
  </si>
  <si>
    <t>(6) Total provincial contribution to public education is 77.6%. See page i for more details.</t>
  </si>
  <si>
    <t xml:space="preserve">      property assessment. Divisions that received a TIG in 2010 and declined the 2011 TIG continued to receive the 2010 TIG amount. Amounts shown </t>
  </si>
  <si>
    <t xml:space="preserve">      here are the portions by division before the allocation to the DSFM.</t>
  </si>
</sst>
</file>

<file path=xl/styles.xml><?xml version="1.0" encoding="utf-8"?>
<styleSheet xmlns="http://schemas.openxmlformats.org/spreadsheetml/2006/main">
  <numFmts count="15">
    <numFmt numFmtId="43" formatCode="_-* #,##0.00_-;\-* #,##0.00_-;_-* &quot;-&quot;??_-;_-@_-"/>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
    <numFmt numFmtId="173" formatCode="#,##0.0000;\-#,##0.0000"/>
    <numFmt numFmtId="174" formatCode="#,##0.0_ ;\(#,##0.0\)"/>
    <numFmt numFmtId="175" formatCode="#,##0.0_);[Red]\(#,##0.0\)"/>
    <numFmt numFmtId="176" formatCode="#,##0.00_ ;\(#,##0.00\)"/>
    <numFmt numFmtId="177" formatCode="dd\-mmm\-yy_)"/>
  </numFmts>
  <fonts count="29">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s>
  <fills count="14">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s>
  <borders count="53">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double">
        <color indexed="8"/>
      </left>
      <right/>
      <top/>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9">
    <xf numFmtId="37" fontId="0" fillId="0" borderId="0"/>
    <xf numFmtId="0" fontId="2" fillId="2" borderId="1"/>
    <xf numFmtId="43" fontId="1"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5" fillId="0" borderId="0"/>
    <xf numFmtId="9" fontId="1" fillId="0" borderId="0" applyFont="0" applyFill="0" applyBorder="0" applyAlignment="0" applyProtection="0"/>
  </cellStyleXfs>
  <cellXfs count="726">
    <xf numFmtId="37" fontId="0" fillId="0" borderId="0" xfId="0"/>
    <xf numFmtId="37" fontId="7" fillId="0" borderId="0" xfId="0" applyFont="1"/>
    <xf numFmtId="37" fontId="8" fillId="0" borderId="0" xfId="0" applyFont="1"/>
    <xf numFmtId="37" fontId="7" fillId="0" borderId="0" xfId="0" applyFont="1" applyAlignment="1">
      <alignment horizontal="right"/>
    </xf>
    <xf numFmtId="167" fontId="7" fillId="0" borderId="0" xfId="0" applyNumberFormat="1" applyFont="1"/>
    <xf numFmtId="37" fontId="4" fillId="0" borderId="0" xfId="0" applyFont="1"/>
    <xf numFmtId="165"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4" xfId="0" applyFont="1" applyFill="1" applyBorder="1" applyAlignment="1">
      <alignment horizontal="center"/>
    </xf>
    <xf numFmtId="0" fontId="4" fillId="3" borderId="5" xfId="0" applyNumberFormat="1" applyFont="1" applyFill="1" applyBorder="1" applyAlignment="1">
      <alignment horizontal="center"/>
    </xf>
    <xf numFmtId="37" fontId="4" fillId="3" borderId="5" xfId="0" applyFont="1" applyFill="1" applyBorder="1" applyAlignment="1">
      <alignment horizontal="center"/>
    </xf>
    <xf numFmtId="37" fontId="4" fillId="3" borderId="1" xfId="0" applyFont="1" applyFill="1" applyBorder="1" applyAlignment="1">
      <alignment horizontal="center"/>
    </xf>
    <xf numFmtId="0" fontId="4" fillId="3" borderId="6" xfId="0" applyNumberFormat="1" applyFont="1" applyFill="1" applyBorder="1" applyAlignment="1">
      <alignment horizontal="center"/>
    </xf>
    <xf numFmtId="37" fontId="4" fillId="3" borderId="6" xfId="0" applyFont="1" applyFill="1" applyBorder="1" applyAlignment="1">
      <alignment horizontal="center"/>
    </xf>
    <xf numFmtId="49" fontId="4" fillId="0" borderId="7" xfId="0" applyNumberFormat="1" applyFont="1" applyBorder="1"/>
    <xf numFmtId="37" fontId="4" fillId="3" borderId="2" xfId="0" applyFont="1" applyFill="1" applyBorder="1" applyAlignment="1">
      <alignment horizontal="center"/>
    </xf>
    <xf numFmtId="49" fontId="4" fillId="0" borderId="8" xfId="0" applyNumberFormat="1" applyFont="1" applyBorder="1"/>
    <xf numFmtId="37" fontId="4" fillId="3" borderId="9" xfId="0" applyFont="1" applyFill="1" applyBorder="1" applyAlignment="1">
      <alignment horizontal="center" vertical="top"/>
    </xf>
    <xf numFmtId="37" fontId="4" fillId="3" borderId="10" xfId="0" applyFont="1" applyFill="1" applyBorder="1" applyAlignment="1">
      <alignment horizontal="center" vertical="top"/>
    </xf>
    <xf numFmtId="49" fontId="4" fillId="0" borderId="0" xfId="0" applyNumberFormat="1" applyFont="1"/>
    <xf numFmtId="49" fontId="7" fillId="0" borderId="1" xfId="0" applyNumberFormat="1" applyFont="1" applyBorder="1" applyAlignment="1">
      <alignment vertical="center"/>
    </xf>
    <xf numFmtId="170" fontId="7" fillId="0" borderId="1" xfId="0" applyNumberFormat="1" applyFont="1" applyBorder="1" applyAlignment="1">
      <alignment vertical="center"/>
    </xf>
    <xf numFmtId="49" fontId="7" fillId="0" borderId="0" xfId="0" applyNumberFormat="1" applyFont="1" applyAlignment="1">
      <alignment vertical="center"/>
    </xf>
    <xf numFmtId="171"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5"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0"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0" borderId="10" xfId="0" applyFont="1" applyBorder="1" applyAlignment="1">
      <alignment horizontal="center"/>
    </xf>
    <xf numFmtId="37" fontId="4" fillId="3" borderId="9" xfId="0" applyFont="1" applyFill="1" applyBorder="1" applyAlignment="1">
      <alignment horizontal="centerContinuous"/>
    </xf>
    <xf numFmtId="37" fontId="4" fillId="0" borderId="15" xfId="0" applyFont="1" applyBorder="1"/>
    <xf numFmtId="170" fontId="7" fillId="0" borderId="1" xfId="0" applyNumberFormat="1" applyFont="1" applyBorder="1" applyProtection="1"/>
    <xf numFmtId="170" fontId="7" fillId="0" borderId="6" xfId="0" applyNumberFormat="1" applyFont="1" applyBorder="1" applyProtection="1"/>
    <xf numFmtId="37" fontId="7" fillId="0" borderId="6" xfId="0" applyFont="1" applyBorder="1"/>
    <xf numFmtId="170"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0" fontId="4" fillId="0" borderId="19" xfId="0" applyNumberFormat="1" applyFont="1" applyBorder="1" applyProtection="1"/>
    <xf numFmtId="170" fontId="4" fillId="0" borderId="18" xfId="0" applyNumberFormat="1" applyFont="1" applyBorder="1" applyProtection="1"/>
    <xf numFmtId="170" fontId="7" fillId="0" borderId="13" xfId="0" applyNumberFormat="1" applyFont="1" applyBorder="1"/>
    <xf numFmtId="165" fontId="7" fillId="0" borderId="2" xfId="0" applyNumberFormat="1" applyFont="1" applyBorder="1" applyProtection="1"/>
    <xf numFmtId="37" fontId="7" fillId="3" borderId="2" xfId="0" applyFont="1" applyFill="1" applyBorder="1" applyAlignment="1">
      <alignment horizontal="center"/>
    </xf>
    <xf numFmtId="165"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0" xfId="0" applyFont="1" applyFill="1" applyBorder="1" applyAlignment="1">
      <alignment horizontal="right"/>
    </xf>
    <xf numFmtId="37" fontId="4" fillId="3" borderId="1" xfId="0" applyFont="1" applyFill="1" applyBorder="1"/>
    <xf numFmtId="37" fontId="4" fillId="3" borderId="0" xfId="0" applyFont="1" applyFill="1"/>
    <xf numFmtId="174" fontId="7" fillId="0" borderId="1" xfId="0" applyNumberFormat="1" applyFont="1" applyBorder="1" applyAlignment="1">
      <alignment vertical="center"/>
    </xf>
    <xf numFmtId="174"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4" xfId="0" applyFont="1" applyFill="1" applyBorder="1" applyAlignment="1">
      <alignment horizontal="centerContinuous"/>
    </xf>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7" fontId="7" fillId="0" borderId="11" xfId="0" applyNumberFormat="1" applyFont="1" applyBorder="1" applyProtection="1"/>
    <xf numFmtId="37" fontId="7" fillId="0" borderId="0" xfId="0" applyFont="1" applyAlignment="1">
      <alignment horizontal="centerContinuous"/>
    </xf>
    <xf numFmtId="167" fontId="7" fillId="0" borderId="0" xfId="0" applyNumberFormat="1" applyFont="1" applyAlignment="1" applyProtection="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7" fontId="7" fillId="5" borderId="0" xfId="0" applyNumberFormat="1" applyFont="1" applyFill="1" applyBorder="1" applyProtection="1"/>
    <xf numFmtId="167"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69"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0" xfId="0" applyFont="1" applyBorder="1" applyAlignment="1" applyProtection="1">
      <alignment horizontal="center" vertical="center"/>
    </xf>
    <xf numFmtId="37" fontId="4" fillId="0" borderId="16" xfId="0" applyFont="1" applyBorder="1" applyAlignment="1" applyProtection="1">
      <alignment vertical="center"/>
    </xf>
    <xf numFmtId="37" fontId="4" fillId="0" borderId="16" xfId="0" applyFont="1" applyBorder="1" applyAlignment="1" applyProtection="1">
      <alignment horizontal="center" vertical="center"/>
    </xf>
    <xf numFmtId="37" fontId="4" fillId="0" borderId="22" xfId="0" applyFont="1" applyBorder="1" applyAlignment="1" applyProtection="1">
      <alignment horizontal="center" vertical="center"/>
    </xf>
    <xf numFmtId="37" fontId="4" fillId="0" borderId="1" xfId="0" applyFont="1" applyBorder="1" applyAlignment="1" applyProtection="1">
      <alignment horizontal="center" vertical="center"/>
    </xf>
    <xf numFmtId="37" fontId="4" fillId="0" borderId="8" xfId="0" applyFont="1" applyBorder="1" applyAlignment="1">
      <alignment vertical="center"/>
    </xf>
    <xf numFmtId="37" fontId="4" fillId="0" borderId="3" xfId="0" applyFont="1" applyBorder="1" applyAlignment="1" applyProtection="1">
      <alignment horizontal="center" vertical="center"/>
    </xf>
    <xf numFmtId="37" fontId="4" fillId="0" borderId="20" xfId="0" applyFont="1" applyBorder="1" applyAlignment="1" applyProtection="1">
      <alignment horizontal="center" vertical="center"/>
    </xf>
    <xf numFmtId="37" fontId="4" fillId="0" borderId="21" xfId="0" applyFont="1" applyBorder="1" applyAlignment="1" applyProtection="1">
      <alignment horizontal="center" vertical="center"/>
    </xf>
    <xf numFmtId="37" fontId="4" fillId="0" borderId="9" xfId="0" applyFont="1" applyBorder="1" applyAlignment="1" applyProtection="1">
      <alignment horizontal="center" vertical="center"/>
    </xf>
    <xf numFmtId="174" fontId="7" fillId="0" borderId="23" xfId="0" applyNumberFormat="1" applyFont="1" applyBorder="1" applyAlignment="1">
      <alignment vertical="center"/>
    </xf>
    <xf numFmtId="174"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4"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0" fontId="7" fillId="3" borderId="7" xfId="0" applyNumberFormat="1" applyFont="1" applyFill="1" applyBorder="1" applyProtection="1"/>
    <xf numFmtId="166" fontId="7" fillId="3" borderId="7" xfId="0" applyNumberFormat="1" applyFont="1" applyFill="1" applyBorder="1" applyProtection="1"/>
    <xf numFmtId="37" fontId="7" fillId="3" borderId="25" xfId="0" applyFont="1" applyFill="1" applyBorder="1"/>
    <xf numFmtId="170" fontId="7" fillId="3" borderId="25" xfId="0" applyNumberFormat="1" applyFont="1" applyFill="1" applyBorder="1" applyProtection="1"/>
    <xf numFmtId="37" fontId="7" fillId="0" borderId="25" xfId="0" applyFont="1" applyBorder="1"/>
    <xf numFmtId="170" fontId="7" fillId="0" borderId="25" xfId="0" applyNumberFormat="1" applyFont="1" applyBorder="1" applyProtection="1"/>
    <xf numFmtId="170" fontId="7" fillId="0" borderId="25" xfId="0" applyNumberFormat="1" applyFont="1" applyBorder="1"/>
    <xf numFmtId="37" fontId="7" fillId="0" borderId="8" xfId="0" applyFont="1" applyBorder="1" applyAlignment="1">
      <alignment horizontal="left"/>
    </xf>
    <xf numFmtId="37" fontId="4" fillId="0" borderId="24" xfId="0" applyFont="1" applyFill="1" applyBorder="1"/>
    <xf numFmtId="37" fontId="7" fillId="0" borderId="25" xfId="0" quotePrefix="1" applyFont="1" applyBorder="1" applyAlignment="1">
      <alignment horizontal="left"/>
    </xf>
    <xf numFmtId="37" fontId="7" fillId="0" borderId="8" xfId="0" applyFont="1" applyBorder="1"/>
    <xf numFmtId="37" fontId="4" fillId="0" borderId="7" xfId="0" applyFont="1" applyFill="1" applyBorder="1"/>
    <xf numFmtId="166" fontId="7" fillId="0" borderId="0" xfId="0" applyNumberFormat="1" applyFont="1" applyProtection="1"/>
    <xf numFmtId="49" fontId="7" fillId="0" borderId="0" xfId="0" applyNumberFormat="1" applyFont="1"/>
    <xf numFmtId="166" fontId="7" fillId="0" borderId="0" xfId="8" applyNumberFormat="1" applyFont="1"/>
    <xf numFmtId="49" fontId="8" fillId="0" borderId="0" xfId="0" applyNumberFormat="1" applyFont="1"/>
    <xf numFmtId="37" fontId="7" fillId="0" borderId="0" xfId="0" quotePrefix="1" applyFont="1" applyAlignment="1">
      <alignment horizontal="left"/>
    </xf>
    <xf numFmtId="165"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5"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6" fontId="7" fillId="0" borderId="1" xfId="8" applyNumberFormat="1" applyFont="1" applyBorder="1"/>
    <xf numFmtId="165"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5"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centerContinuous"/>
    </xf>
    <xf numFmtId="37" fontId="4" fillId="0" borderId="27" xfId="0" applyFont="1" applyFill="1" applyBorder="1" applyAlignment="1">
      <alignment horizontal="centerContinuous"/>
    </xf>
    <xf numFmtId="37" fontId="4" fillId="0" borderId="28" xfId="0" applyFont="1" applyFill="1" applyBorder="1" applyAlignment="1">
      <alignment horizontal="left"/>
    </xf>
    <xf numFmtId="37" fontId="7" fillId="0" borderId="26" xfId="0" applyFont="1" applyFill="1" applyBorder="1" applyAlignment="1"/>
    <xf numFmtId="37" fontId="7" fillId="0" borderId="29" xfId="0" applyFont="1" applyFill="1" applyBorder="1" applyAlignment="1"/>
    <xf numFmtId="170" fontId="7" fillId="0" borderId="1" xfId="0" applyNumberFormat="1" applyFont="1" applyBorder="1"/>
    <xf numFmtId="170"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7" fontId="4" fillId="0" borderId="5" xfId="0" applyFont="1" applyBorder="1" applyAlignment="1">
      <alignment horizontal="centerContinuous"/>
    </xf>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5"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6" xfId="0" applyFont="1" applyFill="1" applyBorder="1" applyAlignment="1" applyProtection="1">
      <alignment horizontal="center"/>
    </xf>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quotePrefix="1" applyFont="1" applyFill="1" applyBorder="1" applyAlignment="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4" fillId="3" borderId="30" xfId="0" applyFont="1" applyFill="1" applyBorder="1" applyAlignment="1" applyProtection="1">
      <alignment horizontal="center"/>
    </xf>
    <xf numFmtId="37" fontId="4" fillId="3" borderId="3" xfId="0" applyFont="1" applyFill="1" applyBorder="1" applyAlignment="1" applyProtection="1">
      <alignment horizontal="centerContinuous"/>
    </xf>
    <xf numFmtId="37" fontId="4" fillId="3" borderId="10" xfId="0" applyFont="1" applyFill="1" applyBorder="1" applyAlignment="1" applyProtection="1">
      <alignment horizontal="centerContinuous"/>
    </xf>
    <xf numFmtId="37" fontId="7" fillId="0" borderId="6" xfId="0" applyFont="1" applyBorder="1" applyProtection="1"/>
    <xf numFmtId="37" fontId="4" fillId="0" borderId="30" xfId="0" applyFont="1" applyBorder="1" applyAlignment="1" applyProtection="1">
      <alignment horizontal="center"/>
    </xf>
    <xf numFmtId="37" fontId="7" fillId="0" borderId="4" xfId="0" applyFont="1" applyBorder="1" applyProtection="1"/>
    <xf numFmtId="37" fontId="4" fillId="0" borderId="6" xfId="0" applyFont="1" applyBorder="1" applyAlignment="1" applyProtection="1">
      <alignment horizontal="center"/>
    </xf>
    <xf numFmtId="37" fontId="4" fillId="0" borderId="31" xfId="0" applyFont="1" applyBorder="1" applyAlignment="1" applyProtection="1">
      <alignment horizontal="centerContinuous"/>
    </xf>
    <xf numFmtId="37" fontId="4" fillId="0" borderId="9" xfId="0" applyFont="1" applyBorder="1" applyAlignment="1" applyProtection="1">
      <alignment horizontal="center"/>
    </xf>
    <xf numFmtId="170" fontId="7" fillId="0" borderId="16" xfId="0" applyNumberFormat="1" applyFont="1" applyBorder="1" applyAlignment="1">
      <alignment vertical="center"/>
    </xf>
    <xf numFmtId="175" fontId="7" fillId="0" borderId="30" xfId="0" applyNumberFormat="1" applyFont="1" applyBorder="1" applyAlignment="1">
      <alignment vertical="center"/>
    </xf>
    <xf numFmtId="175"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5" fontId="7" fillId="0" borderId="0" xfId="0" applyNumberFormat="1" applyFont="1" applyBorder="1" applyProtection="1"/>
    <xf numFmtId="37" fontId="4" fillId="3" borderId="17" xfId="0" applyFont="1" applyFill="1" applyBorder="1" applyAlignment="1">
      <alignment horizontal="centerContinuous"/>
    </xf>
    <xf numFmtId="165"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5"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Continuous"/>
    </xf>
    <xf numFmtId="37" fontId="4" fillId="0" borderId="4" xfId="0" applyFont="1" applyBorder="1" applyAlignment="1">
      <alignment horizontal="center"/>
    </xf>
    <xf numFmtId="37" fontId="4" fillId="0" borderId="1" xfId="0" applyFont="1" applyBorder="1" applyAlignment="1">
      <alignment horizontal="centerContinuous"/>
    </xf>
    <xf numFmtId="37" fontId="4" fillId="0" borderId="1" xfId="0" applyFont="1" applyBorder="1" applyAlignment="1">
      <alignment horizontal="center"/>
    </xf>
    <xf numFmtId="37" fontId="7" fillId="0" borderId="0" xfId="0" applyFont="1" applyAlignment="1">
      <alignment wrapText="1"/>
    </xf>
    <xf numFmtId="165" fontId="7" fillId="0" borderId="0" xfId="0" applyNumberFormat="1" applyFont="1"/>
    <xf numFmtId="37" fontId="7" fillId="0" borderId="32"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5"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165" fontId="7" fillId="0" borderId="11" xfId="0" applyNumberFormat="1" applyFont="1" applyBorder="1" applyAlignment="1" applyProtection="1">
      <alignment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4" fontId="7" fillId="0" borderId="1" xfId="0" applyNumberFormat="1" applyFont="1" applyBorder="1"/>
    <xf numFmtId="173" fontId="7" fillId="0" borderId="0" xfId="0" applyNumberFormat="1" applyFont="1"/>
    <xf numFmtId="174" fontId="7" fillId="0" borderId="0" xfId="0" applyNumberFormat="1" applyFont="1"/>
    <xf numFmtId="170" fontId="7" fillId="0" borderId="0" xfId="0" applyNumberFormat="1" applyFont="1" applyProtection="1"/>
    <xf numFmtId="37" fontId="4" fillId="0" borderId="25" xfId="0" applyFont="1" applyBorder="1" applyAlignment="1">
      <alignment horizontal="center" vertical="center"/>
    </xf>
    <xf numFmtId="43"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4" fillId="3" borderId="11" xfId="0" applyFont="1" applyFill="1" applyBorder="1" applyAlignment="1" applyProtection="1">
      <alignment horizontal="centerContinuous" vertical="top"/>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3" xfId="0" applyFont="1" applyBorder="1" applyAlignment="1">
      <alignment horizontal="center"/>
    </xf>
    <xf numFmtId="37" fontId="7" fillId="0" borderId="7" xfId="0" applyFont="1" applyBorder="1"/>
    <xf numFmtId="37" fontId="4" fillId="0" borderId="25" xfId="0" applyFont="1" applyBorder="1" applyAlignment="1">
      <alignment horizontal="center"/>
    </xf>
    <xf numFmtId="37" fontId="4" fillId="6" borderId="25" xfId="0" applyFont="1" applyFill="1" applyBorder="1" applyAlignment="1">
      <alignment horizontal="center"/>
    </xf>
    <xf numFmtId="37" fontId="4" fillId="6" borderId="8" xfId="0" applyFont="1" applyFill="1" applyBorder="1" applyAlignment="1">
      <alignment horizontal="center"/>
    </xf>
    <xf numFmtId="49" fontId="7" fillId="0" borderId="0" xfId="0" applyNumberFormat="1" applyFont="1" applyBorder="1" applyAlignment="1">
      <alignment horizontal="left"/>
    </xf>
    <xf numFmtId="37" fontId="7" fillId="0" borderId="0" xfId="0" applyFont="1" applyBorder="1" applyAlignment="1"/>
    <xf numFmtId="37" fontId="7" fillId="3" borderId="0" xfId="0" applyFont="1" applyFill="1" applyBorder="1" applyAlignment="1">
      <alignment horizontal="right"/>
    </xf>
    <xf numFmtId="37" fontId="4" fillId="3" borderId="33" xfId="0" applyFont="1" applyFill="1" applyBorder="1" applyAlignment="1">
      <alignment horizontal="centerContinuous" vertical="center"/>
    </xf>
    <xf numFmtId="37" fontId="4" fillId="0" borderId="33" xfId="0" applyFont="1" applyBorder="1" applyAlignment="1">
      <alignment horizontal="center" vertical="center"/>
    </xf>
    <xf numFmtId="37" fontId="7" fillId="0" borderId="0" xfId="0" applyFont="1" applyBorder="1" applyAlignment="1">
      <alignment horizontal="left"/>
    </xf>
    <xf numFmtId="165" fontId="7" fillId="0" borderId="13" xfId="0" applyNumberFormat="1" applyFont="1" applyBorder="1" applyProtection="1"/>
    <xf numFmtId="37" fontId="7" fillId="0" borderId="13" xfId="0" applyFont="1" applyBorder="1" applyAlignment="1">
      <alignment horizontal="centerContinuous" vertical="center"/>
    </xf>
    <xf numFmtId="165" fontId="7" fillId="0" borderId="0" xfId="0" applyNumberFormat="1" applyFont="1" applyAlignment="1" applyProtection="1">
      <alignment horizontal="centerContinuous"/>
    </xf>
    <xf numFmtId="37" fontId="4" fillId="0" borderId="17" xfId="0" applyFont="1" applyBorder="1" applyAlignment="1">
      <alignment horizontal="centerContinuous" vertical="center"/>
    </xf>
    <xf numFmtId="37" fontId="4" fillId="0" borderId="6" xfId="0" applyFont="1" applyBorder="1" applyAlignment="1">
      <alignment horizontal="center"/>
    </xf>
    <xf numFmtId="37" fontId="10" fillId="0" borderId="13" xfId="0" applyFont="1" applyBorder="1" applyAlignment="1" applyProtection="1">
      <alignment horizontal="centerContinuous" vertical="center"/>
      <protection locked="0"/>
    </xf>
    <xf numFmtId="43" fontId="7" fillId="0" borderId="0" xfId="2" applyFont="1" applyAlignment="1"/>
    <xf numFmtId="37" fontId="7" fillId="0" borderId="0" xfId="0" quotePrefix="1" applyFont="1" applyAlignment="1"/>
    <xf numFmtId="37" fontId="4" fillId="0" borderId="26" xfId="0" applyFont="1" applyBorder="1" applyAlignment="1">
      <alignment horizontal="centerContinuous" vertical="center"/>
    </xf>
    <xf numFmtId="37" fontId="7" fillId="0" borderId="26"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37" fontId="7" fillId="0" borderId="10" xfId="0" applyFont="1" applyBorder="1" applyAlignment="1">
      <alignment horizontal="centerContinuous"/>
    </xf>
    <xf numFmtId="49" fontId="12" fillId="0" borderId="10" xfId="0" applyNumberFormat="1" applyFont="1" applyBorder="1" applyAlignment="1">
      <alignment horizontal="center"/>
    </xf>
    <xf numFmtId="49" fontId="12" fillId="0" borderId="8" xfId="0" applyNumberFormat="1" applyFont="1" applyBorder="1" applyAlignment="1">
      <alignment horizontal="center" vertical="top"/>
    </xf>
    <xf numFmtId="165" fontId="7" fillId="0" borderId="0" xfId="0" applyNumberFormat="1" applyFont="1" applyAlignment="1" applyProtection="1">
      <alignment horizontal="right"/>
    </xf>
    <xf numFmtId="37" fontId="7" fillId="0" borderId="34" xfId="0" applyFont="1" applyBorder="1"/>
    <xf numFmtId="37" fontId="7" fillId="0" borderId="26" xfId="0" applyFont="1" applyBorder="1"/>
    <xf numFmtId="37" fontId="7" fillId="0" borderId="29"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10" fontId="7" fillId="0" borderId="0" xfId="8" applyNumberFormat="1" applyFont="1"/>
    <xf numFmtId="37" fontId="9" fillId="3" borderId="0" xfId="0" applyFont="1" applyFill="1" applyAlignment="1">
      <alignment horizontal="centerContinuous"/>
    </xf>
    <xf numFmtId="37" fontId="9" fillId="0" borderId="0" xfId="0" applyFont="1" applyAlignment="1">
      <alignment horizontal="centerContinuous"/>
    </xf>
    <xf numFmtId="37" fontId="4" fillId="7" borderId="17" xfId="0" applyFont="1" applyFill="1" applyBorder="1" applyAlignment="1">
      <alignment horizontal="centerContinuous"/>
    </xf>
    <xf numFmtId="37" fontId="4" fillId="7" borderId="18" xfId="0" applyFont="1" applyFill="1" applyBorder="1" applyAlignment="1">
      <alignment horizontal="centerContinuous"/>
    </xf>
    <xf numFmtId="37" fontId="4" fillId="7" borderId="18" xfId="0" applyFont="1" applyFill="1" applyBorder="1" applyAlignment="1">
      <alignment horizontal="centerContinuous" vertical="center"/>
    </xf>
    <xf numFmtId="49" fontId="7" fillId="7" borderId="1" xfId="0" applyNumberFormat="1" applyFont="1" applyFill="1" applyBorder="1" applyAlignment="1">
      <alignment vertical="center"/>
    </xf>
    <xf numFmtId="170" fontId="7" fillId="7" borderId="1" xfId="0" applyNumberFormat="1" applyFont="1" applyFill="1" applyBorder="1" applyAlignment="1">
      <alignment vertical="center"/>
    </xf>
    <xf numFmtId="49" fontId="4" fillId="7" borderId="19" xfId="2" applyNumberFormat="1" applyFont="1" applyFill="1" applyBorder="1" applyAlignment="1">
      <alignment vertical="center"/>
    </xf>
    <xf numFmtId="170" fontId="4" fillId="7" borderId="19" xfId="0" applyNumberFormat="1" applyFont="1" applyFill="1" applyBorder="1" applyAlignment="1">
      <alignment vertical="center"/>
    </xf>
    <xf numFmtId="37" fontId="4" fillId="7" borderId="17" xfId="0" applyFont="1" applyFill="1" applyBorder="1" applyAlignment="1" applyProtection="1">
      <alignment horizontal="centerContinuous" vertical="center"/>
    </xf>
    <xf numFmtId="37" fontId="4" fillId="7" borderId="13" xfId="0" applyFont="1" applyFill="1" applyBorder="1" applyAlignment="1" applyProtection="1">
      <alignment horizontal="centerContinuous"/>
    </xf>
    <xf numFmtId="37" fontId="4" fillId="7" borderId="18" xfId="0" applyFont="1" applyFill="1" applyBorder="1" applyAlignment="1" applyProtection="1">
      <alignment horizontal="centerContinuous"/>
    </xf>
    <xf numFmtId="174" fontId="7" fillId="7" borderId="1" xfId="0" applyNumberFormat="1" applyFont="1" applyFill="1" applyBorder="1" applyAlignment="1">
      <alignment vertical="center"/>
    </xf>
    <xf numFmtId="174" fontId="7" fillId="7" borderId="23" xfId="0" applyNumberFormat="1" applyFont="1" applyFill="1" applyBorder="1" applyAlignment="1">
      <alignment vertical="center"/>
    </xf>
    <xf numFmtId="174" fontId="7" fillId="7" borderId="6" xfId="0" applyNumberFormat="1" applyFont="1" applyFill="1" applyBorder="1" applyAlignment="1">
      <alignment vertical="center"/>
    </xf>
    <xf numFmtId="174" fontId="4" fillId="7" borderId="19" xfId="0" applyNumberFormat="1" applyFont="1" applyFill="1" applyBorder="1" applyAlignment="1">
      <alignment vertical="center"/>
    </xf>
    <xf numFmtId="174" fontId="4" fillId="7" borderId="35" xfId="0" applyNumberFormat="1" applyFont="1" applyFill="1" applyBorder="1" applyAlignment="1">
      <alignment vertical="center"/>
    </xf>
    <xf numFmtId="174" fontId="4" fillId="7" borderId="18" xfId="0" applyNumberFormat="1" applyFont="1" applyFill="1" applyBorder="1" applyAlignment="1">
      <alignment vertical="center"/>
    </xf>
    <xf numFmtId="37" fontId="4" fillId="7" borderId="17" xfId="0" applyFont="1" applyFill="1" applyBorder="1" applyAlignment="1" applyProtection="1">
      <alignment horizontal="centerContinuous"/>
    </xf>
    <xf numFmtId="37" fontId="4" fillId="7" borderId="20" xfId="0" applyFont="1" applyFill="1" applyBorder="1" applyAlignment="1">
      <alignment horizontal="centerContinuous"/>
    </xf>
    <xf numFmtId="37" fontId="4" fillId="7" borderId="3" xfId="0" applyFont="1" applyFill="1" applyBorder="1" applyAlignment="1">
      <alignment horizontal="centerContinuous"/>
    </xf>
    <xf numFmtId="37" fontId="4" fillId="7" borderId="10" xfId="0" applyFont="1" applyFill="1" applyBorder="1" applyAlignment="1">
      <alignment horizontal="centerContinuous"/>
    </xf>
    <xf numFmtId="37" fontId="4" fillId="7" borderId="9" xfId="0" applyFont="1" applyFill="1" applyBorder="1" applyAlignment="1">
      <alignment horizontal="center"/>
    </xf>
    <xf numFmtId="37" fontId="4" fillId="7" borderId="19" xfId="0" applyFont="1" applyFill="1" applyBorder="1" applyAlignment="1">
      <alignment horizontal="center"/>
    </xf>
    <xf numFmtId="37" fontId="4" fillId="7" borderId="17" xfId="0" applyFont="1" applyFill="1" applyBorder="1" applyAlignment="1">
      <alignment horizontal="centerContinuous" vertical="center"/>
    </xf>
    <xf numFmtId="37" fontId="7" fillId="7" borderId="13" xfId="0" applyFont="1" applyFill="1" applyBorder="1" applyAlignment="1">
      <alignment horizontal="centerContinuous"/>
    </xf>
    <xf numFmtId="37" fontId="7" fillId="7" borderId="18" xfId="0" applyFont="1" applyFill="1" applyBorder="1" applyAlignment="1">
      <alignment horizontal="centerContinuous"/>
    </xf>
    <xf numFmtId="37" fontId="4" fillId="7" borderId="4" xfId="0" applyFont="1" applyFill="1" applyBorder="1" applyAlignment="1">
      <alignment horizontal="centerContinuous"/>
    </xf>
    <xf numFmtId="37" fontId="4" fillId="7" borderId="5" xfId="0" applyFont="1" applyFill="1" applyBorder="1" applyAlignment="1">
      <alignment horizontal="center"/>
    </xf>
    <xf numFmtId="37" fontId="4" fillId="7" borderId="2" xfId="0" applyFont="1" applyFill="1" applyBorder="1" applyAlignment="1">
      <alignment horizontal="center"/>
    </xf>
    <xf numFmtId="37" fontId="7" fillId="7" borderId="5" xfId="0" applyFont="1" applyFill="1" applyBorder="1" applyAlignment="1">
      <alignment horizontal="centerContinuous"/>
    </xf>
    <xf numFmtId="37" fontId="4" fillId="7" borderId="9" xfId="0" applyFont="1" applyFill="1" applyBorder="1" applyAlignment="1">
      <alignment horizontal="centerContinuous"/>
    </xf>
    <xf numFmtId="37" fontId="7" fillId="7" borderId="3" xfId="0" applyFont="1" applyFill="1" applyBorder="1" applyAlignment="1">
      <alignment horizontal="centerContinuous"/>
    </xf>
    <xf numFmtId="37" fontId="4" fillId="7" borderId="14" xfId="0" applyFont="1" applyFill="1" applyBorder="1" applyAlignment="1">
      <alignment horizontal="centerContinuous"/>
    </xf>
    <xf numFmtId="37" fontId="4" fillId="7" borderId="5" xfId="0" applyFont="1" applyFill="1" applyBorder="1" applyAlignment="1">
      <alignment horizontal="centerContinuous"/>
    </xf>
    <xf numFmtId="37" fontId="4" fillId="7" borderId="2" xfId="0" applyFont="1" applyFill="1" applyBorder="1"/>
    <xf numFmtId="37" fontId="4" fillId="7" borderId="2" xfId="0" applyFont="1" applyFill="1" applyBorder="1" applyAlignment="1">
      <alignment horizontal="centerContinuous"/>
    </xf>
    <xf numFmtId="37" fontId="4" fillId="8" borderId="24" xfId="0" applyFont="1" applyFill="1" applyBorder="1"/>
    <xf numFmtId="37" fontId="4" fillId="9" borderId="24" xfId="0" applyFont="1" applyFill="1" applyBorder="1"/>
    <xf numFmtId="37" fontId="4" fillId="8" borderId="36" xfId="0" applyFont="1" applyFill="1" applyBorder="1"/>
    <xf numFmtId="37" fontId="7" fillId="7" borderId="2" xfId="0" applyFont="1" applyFill="1" applyBorder="1" applyAlignment="1">
      <alignment horizontal="centerContinuous"/>
    </xf>
    <xf numFmtId="37" fontId="7" fillId="7" borderId="10" xfId="0" applyFont="1" applyFill="1" applyBorder="1" applyAlignment="1">
      <alignment horizontal="centerContinuous"/>
    </xf>
    <xf numFmtId="37" fontId="7" fillId="7" borderId="14" xfId="0" applyFont="1" applyFill="1" applyBorder="1"/>
    <xf numFmtId="37" fontId="4" fillId="7" borderId="14" xfId="0" applyFont="1" applyFill="1" applyBorder="1" applyAlignment="1">
      <alignment horizontal="left"/>
    </xf>
    <xf numFmtId="37" fontId="4" fillId="7" borderId="2" xfId="0" applyFont="1" applyFill="1" applyBorder="1" applyAlignment="1">
      <alignment horizontal="left"/>
    </xf>
    <xf numFmtId="37" fontId="4" fillId="7" borderId="5" xfId="0" applyFont="1" applyFill="1" applyBorder="1" applyAlignment="1">
      <alignment horizontal="left"/>
    </xf>
    <xf numFmtId="37" fontId="4" fillId="7" borderId="37" xfId="0" applyFont="1" applyFill="1" applyBorder="1" applyAlignment="1">
      <alignment horizontal="centerContinuous"/>
    </xf>
    <xf numFmtId="37" fontId="4" fillId="7" borderId="12" xfId="0" applyFont="1" applyFill="1" applyBorder="1" applyAlignment="1">
      <alignment horizontal="centerContinuous"/>
    </xf>
    <xf numFmtId="37" fontId="4" fillId="7" borderId="38" xfId="0" applyFont="1" applyFill="1" applyBorder="1" applyAlignment="1">
      <alignment horizontal="centerContinuous"/>
    </xf>
    <xf numFmtId="37" fontId="4" fillId="7" borderId="37" xfId="0" applyFont="1" applyFill="1" applyBorder="1" applyAlignment="1">
      <alignment horizontal="left"/>
    </xf>
    <xf numFmtId="37" fontId="4" fillId="7" borderId="12" xfId="0" applyFont="1" applyFill="1" applyBorder="1" applyAlignment="1">
      <alignment horizontal="left"/>
    </xf>
    <xf numFmtId="37" fontId="4" fillId="7" borderId="38" xfId="0" applyFont="1" applyFill="1" applyBorder="1" applyAlignment="1">
      <alignment horizontal="left"/>
    </xf>
    <xf numFmtId="37" fontId="4" fillId="7" borderId="39" xfId="0" applyFont="1" applyFill="1" applyBorder="1" applyAlignment="1">
      <alignment horizontal="centerContinuous"/>
    </xf>
    <xf numFmtId="37" fontId="4" fillId="7" borderId="11" xfId="0" applyFont="1" applyFill="1" applyBorder="1" applyAlignment="1">
      <alignment horizontal="centerContinuous"/>
    </xf>
    <xf numFmtId="37" fontId="4" fillId="7" borderId="40" xfId="0" applyFont="1" applyFill="1" applyBorder="1" applyAlignment="1">
      <alignment horizontal="centerContinuous"/>
    </xf>
    <xf numFmtId="37" fontId="4" fillId="7" borderId="41" xfId="0" applyFont="1" applyFill="1" applyBorder="1" applyAlignment="1" applyProtection="1">
      <alignment horizontal="centerContinuous"/>
    </xf>
    <xf numFmtId="37" fontId="7" fillId="7" borderId="0" xfId="0" applyFont="1" applyFill="1" applyAlignment="1" applyProtection="1">
      <alignment horizontal="centerContinuous"/>
    </xf>
    <xf numFmtId="37" fontId="7" fillId="7" borderId="6" xfId="0" applyFont="1" applyFill="1" applyBorder="1" applyAlignment="1" applyProtection="1">
      <alignment horizontal="centerContinuous"/>
    </xf>
    <xf numFmtId="37" fontId="4" fillId="7" borderId="16" xfId="0" applyFont="1" applyFill="1" applyBorder="1" applyAlignment="1" applyProtection="1">
      <alignment horizontal="centerContinuous"/>
    </xf>
    <xf numFmtId="37" fontId="4" fillId="7" borderId="20" xfId="0" applyFont="1" applyFill="1" applyBorder="1" applyAlignment="1" applyProtection="1">
      <alignment horizontal="centerContinuous"/>
    </xf>
    <xf numFmtId="37" fontId="4" fillId="7" borderId="3" xfId="0" applyFont="1" applyFill="1" applyBorder="1" applyAlignment="1" applyProtection="1">
      <alignment horizontal="centerContinuous"/>
    </xf>
    <xf numFmtId="37" fontId="4" fillId="7" borderId="10" xfId="0" applyFont="1" applyFill="1" applyBorder="1" applyAlignment="1" applyProtection="1">
      <alignment horizontal="centerContinuous"/>
    </xf>
    <xf numFmtId="49" fontId="7" fillId="10" borderId="1" xfId="0" applyNumberFormat="1" applyFont="1" applyFill="1" applyBorder="1" applyAlignment="1">
      <alignment vertical="center"/>
    </xf>
    <xf numFmtId="170" fontId="7" fillId="10" borderId="16" xfId="0" applyNumberFormat="1" applyFont="1" applyFill="1" applyBorder="1" applyAlignment="1">
      <alignment vertical="center"/>
    </xf>
    <xf numFmtId="175" fontId="7" fillId="10" borderId="30" xfId="0" applyNumberFormat="1" applyFont="1" applyFill="1" applyBorder="1" applyAlignment="1">
      <alignment vertical="center"/>
    </xf>
    <xf numFmtId="170" fontId="4" fillId="7" borderId="17" xfId="0" applyNumberFormat="1" applyFont="1" applyFill="1" applyBorder="1" applyAlignment="1">
      <alignment vertical="center"/>
    </xf>
    <xf numFmtId="175" fontId="4" fillId="7" borderId="42" xfId="0" applyNumberFormat="1" applyFont="1" applyFill="1" applyBorder="1" applyAlignment="1">
      <alignment vertical="center"/>
    </xf>
    <xf numFmtId="37" fontId="4" fillId="7" borderId="14" xfId="0" applyFont="1" applyFill="1" applyBorder="1" applyAlignment="1"/>
    <xf numFmtId="37" fontId="4" fillId="7" borderId="5" xfId="0" applyFont="1" applyFill="1" applyBorder="1" applyAlignment="1"/>
    <xf numFmtId="37" fontId="4" fillId="7" borderId="16" xfId="0" applyFont="1" applyFill="1" applyBorder="1" applyAlignment="1">
      <alignment horizontal="centerContinuous"/>
    </xf>
    <xf numFmtId="37" fontId="4" fillId="7" borderId="6" xfId="0" applyFont="1" applyFill="1" applyBorder="1" applyAlignment="1">
      <alignment horizontal="centerContinuous"/>
    </xf>
    <xf numFmtId="168" fontId="7" fillId="3" borderId="25" xfId="0" applyNumberFormat="1" applyFont="1" applyFill="1" applyBorder="1" applyProtection="1"/>
    <xf numFmtId="168" fontId="7" fillId="0" borderId="25" xfId="0" applyNumberFormat="1" applyFont="1" applyBorder="1" applyProtection="1"/>
    <xf numFmtId="168" fontId="4" fillId="0" borderId="7" xfId="8" applyNumberFormat="1" applyFont="1" applyFill="1" applyBorder="1"/>
    <xf numFmtId="170" fontId="4" fillId="0" borderId="24" xfId="0" applyNumberFormat="1" applyFont="1" applyBorder="1" applyProtection="1"/>
    <xf numFmtId="168" fontId="4" fillId="0" borderId="24" xfId="0" applyNumberFormat="1" applyFont="1" applyBorder="1" applyProtection="1"/>
    <xf numFmtId="170" fontId="4" fillId="9" borderId="24" xfId="0" applyNumberFormat="1" applyFont="1" applyFill="1" applyBorder="1" applyProtection="1"/>
    <xf numFmtId="168" fontId="4" fillId="9" borderId="24" xfId="0" applyNumberFormat="1" applyFont="1" applyFill="1" applyBorder="1" applyProtection="1"/>
    <xf numFmtId="37" fontId="4" fillId="7" borderId="4" xfId="0" applyNumberFormat="1" applyFont="1" applyFill="1" applyBorder="1" applyAlignment="1" applyProtection="1">
      <alignment horizontal="centerContinuous"/>
    </xf>
    <xf numFmtId="37" fontId="4" fillId="7" borderId="4" xfId="0" applyNumberFormat="1" applyFont="1" applyFill="1" applyBorder="1" applyAlignment="1" applyProtection="1">
      <alignment horizontal="center"/>
    </xf>
    <xf numFmtId="37" fontId="4" fillId="7" borderId="4" xfId="0" applyFont="1" applyFill="1" applyBorder="1"/>
    <xf numFmtId="37" fontId="4" fillId="7" borderId="1" xfId="0" applyNumberFormat="1" applyFont="1" applyFill="1" applyBorder="1" applyAlignment="1" applyProtection="1">
      <alignment horizontal="centerContinuous"/>
    </xf>
    <xf numFmtId="37" fontId="4" fillId="7" borderId="1" xfId="0" applyNumberFormat="1" applyFont="1" applyFill="1" applyBorder="1" applyAlignment="1" applyProtection="1"/>
    <xf numFmtId="37" fontId="4" fillId="7" borderId="1" xfId="0" applyFont="1" applyFill="1" applyBorder="1" applyAlignment="1"/>
    <xf numFmtId="37" fontId="4" fillId="7" borderId="1" xfId="0" applyFont="1" applyFill="1" applyBorder="1" applyAlignment="1">
      <alignment horizontal="centerContinuous"/>
    </xf>
    <xf numFmtId="37" fontId="4" fillId="7" borderId="9" xfId="0" applyNumberFormat="1" applyFont="1" applyFill="1" applyBorder="1" applyAlignment="1" applyProtection="1">
      <alignment horizontal="centerContinuous"/>
    </xf>
    <xf numFmtId="170" fontId="7" fillId="7" borderId="1" xfId="0" applyNumberFormat="1" applyFont="1" applyFill="1" applyBorder="1"/>
    <xf numFmtId="174" fontId="7" fillId="7" borderId="1" xfId="0" applyNumberFormat="1" applyFont="1" applyFill="1" applyBorder="1"/>
    <xf numFmtId="49" fontId="7" fillId="7" borderId="1" xfId="0" applyNumberFormat="1" applyFont="1" applyFill="1" applyBorder="1"/>
    <xf numFmtId="49" fontId="4" fillId="7" borderId="19" xfId="0" applyNumberFormat="1" applyFont="1" applyFill="1" applyBorder="1"/>
    <xf numFmtId="170" fontId="4" fillId="7" borderId="19" xfId="0" applyNumberFormat="1" applyFont="1" applyFill="1" applyBorder="1"/>
    <xf numFmtId="174" fontId="4" fillId="7" borderId="19" xfId="0" applyNumberFormat="1" applyFont="1" applyFill="1" applyBorder="1" applyProtection="1"/>
    <xf numFmtId="37" fontId="4" fillId="7" borderId="4" xfId="0" applyFont="1" applyFill="1" applyBorder="1" applyAlignment="1">
      <alignment horizontal="center"/>
    </xf>
    <xf numFmtId="37" fontId="4" fillId="7" borderId="1" xfId="0" applyFont="1" applyFill="1" applyBorder="1" applyAlignment="1">
      <alignment horizontal="center"/>
    </xf>
    <xf numFmtId="37" fontId="4" fillId="10" borderId="10" xfId="0" applyFont="1" applyFill="1" applyBorder="1" applyAlignment="1">
      <alignment horizontal="centerContinuous"/>
    </xf>
    <xf numFmtId="37" fontId="4" fillId="7" borderId="14" xfId="0" applyFont="1" applyFill="1" applyBorder="1"/>
    <xf numFmtId="176" fontId="7" fillId="7" borderId="1" xfId="0" applyNumberFormat="1" applyFont="1" applyFill="1" applyBorder="1" applyAlignment="1">
      <alignment vertical="center"/>
    </xf>
    <xf numFmtId="176" fontId="7" fillId="0" borderId="1" xfId="0" applyNumberFormat="1" applyFont="1" applyBorder="1" applyAlignment="1">
      <alignment vertical="center"/>
    </xf>
    <xf numFmtId="176" fontId="7" fillId="7" borderId="1" xfId="0" applyNumberFormat="1" applyFont="1" applyFill="1" applyBorder="1" applyAlignment="1">
      <alignment horizontal="right" vertical="center"/>
    </xf>
    <xf numFmtId="176" fontId="0" fillId="0" borderId="0" xfId="0" applyNumberFormat="1"/>
    <xf numFmtId="176" fontId="4" fillId="7" borderId="19" xfId="0" applyNumberFormat="1" applyFont="1" applyFill="1" applyBorder="1" applyAlignment="1">
      <alignment vertical="center"/>
    </xf>
    <xf numFmtId="170" fontId="7" fillId="7" borderId="1" xfId="0" applyNumberFormat="1" applyFont="1" applyFill="1" applyBorder="1" applyAlignment="1">
      <alignment horizontal="right" vertical="center"/>
    </xf>
    <xf numFmtId="170" fontId="0" fillId="0" borderId="0" xfId="0" applyNumberFormat="1"/>
    <xf numFmtId="37" fontId="7" fillId="10" borderId="14" xfId="0" applyFont="1" applyFill="1" applyBorder="1"/>
    <xf numFmtId="37" fontId="7" fillId="10" borderId="2" xfId="0" applyFont="1" applyFill="1" applyBorder="1"/>
    <xf numFmtId="37" fontId="7" fillId="10" borderId="2" xfId="0" applyFont="1" applyFill="1" applyBorder="1" applyAlignment="1">
      <alignment horizontal="centerContinuous"/>
    </xf>
    <xf numFmtId="37" fontId="7" fillId="10" borderId="5" xfId="0" applyFont="1" applyFill="1" applyBorder="1" applyAlignment="1">
      <alignment horizontal="centerContinuous"/>
    </xf>
    <xf numFmtId="37" fontId="4" fillId="10" borderId="2" xfId="0" applyFont="1" applyFill="1" applyBorder="1" applyAlignment="1">
      <alignment horizontal="centerContinuous"/>
    </xf>
    <xf numFmtId="37" fontId="4" fillId="10" borderId="5" xfId="0" applyFont="1" applyFill="1" applyBorder="1" applyAlignment="1">
      <alignment horizontal="centerContinuous"/>
    </xf>
    <xf numFmtId="37" fontId="4" fillId="10" borderId="20" xfId="0" applyFont="1" applyFill="1" applyBorder="1" applyAlignment="1">
      <alignment horizontal="centerContinuous"/>
    </xf>
    <xf numFmtId="37" fontId="4" fillId="10" borderId="3" xfId="0" applyFont="1" applyFill="1" applyBorder="1" applyAlignment="1">
      <alignment horizontal="centerContinuous"/>
    </xf>
    <xf numFmtId="37" fontId="7" fillId="7" borderId="0" xfId="0" applyFont="1" applyFill="1" applyAlignment="1">
      <alignment horizontal="centerContinuous"/>
    </xf>
    <xf numFmtId="37" fontId="4" fillId="7" borderId="0" xfId="0" applyFont="1" applyFill="1"/>
    <xf numFmtId="37" fontId="4" fillId="7" borderId="1" xfId="0" applyFont="1" applyFill="1" applyBorder="1"/>
    <xf numFmtId="37" fontId="4" fillId="7" borderId="0" xfId="0" applyFont="1" applyFill="1" applyBorder="1" applyAlignment="1">
      <alignment horizontal="centerContinuous"/>
    </xf>
    <xf numFmtId="37" fontId="4" fillId="7" borderId="14" xfId="0" applyFont="1" applyFill="1" applyBorder="1" applyAlignment="1">
      <alignment horizontal="centerContinuous" vertical="center"/>
    </xf>
    <xf numFmtId="37" fontId="4" fillId="7" borderId="16" xfId="0" applyFont="1" applyFill="1" applyBorder="1" applyAlignment="1">
      <alignment horizontal="centerContinuous" vertical="center"/>
    </xf>
    <xf numFmtId="37" fontId="7" fillId="7" borderId="6" xfId="0" applyFont="1" applyFill="1" applyBorder="1" applyAlignment="1">
      <alignment horizontal="centerContinuous"/>
    </xf>
    <xf numFmtId="37" fontId="4" fillId="7" borderId="2" xfId="0" applyFont="1" applyFill="1" applyBorder="1" applyAlignment="1">
      <alignment horizontal="centerContinuous" vertical="center"/>
    </xf>
    <xf numFmtId="37" fontId="4" fillId="7" borderId="0" xfId="0" applyFont="1" applyFill="1" applyBorder="1" applyAlignment="1">
      <alignment horizontal="centerContinuous" vertical="center"/>
    </xf>
    <xf numFmtId="37" fontId="4" fillId="7" borderId="34" xfId="8" applyNumberFormat="1" applyFont="1" applyFill="1" applyBorder="1" applyAlignment="1">
      <alignment horizontal="centerContinuous" vertical="center"/>
    </xf>
    <xf numFmtId="37" fontId="7" fillId="7" borderId="26" xfId="8" applyNumberFormat="1" applyFont="1" applyFill="1" applyBorder="1" applyAlignment="1">
      <alignment horizontal="centerContinuous"/>
    </xf>
    <xf numFmtId="37" fontId="7" fillId="7" borderId="29" xfId="8" applyNumberFormat="1" applyFont="1" applyFill="1" applyBorder="1" applyAlignment="1">
      <alignment horizontal="centerContinuous"/>
    </xf>
    <xf numFmtId="37" fontId="4" fillId="8" borderId="24" xfId="0" applyFont="1" applyFill="1" applyBorder="1" applyAlignment="1">
      <alignment horizontal="centerContinuous" vertical="center"/>
    </xf>
    <xf numFmtId="37" fontId="7" fillId="8" borderId="26" xfId="0" applyFont="1" applyFill="1" applyBorder="1" applyAlignment="1">
      <alignment horizontal="centerContinuous"/>
    </xf>
    <xf numFmtId="37" fontId="7" fillId="8" borderId="29" xfId="0" applyFont="1" applyFill="1" applyBorder="1" applyAlignment="1">
      <alignment horizontal="centerContinuous"/>
    </xf>
    <xf numFmtId="174" fontId="7" fillId="0" borderId="1" xfId="0" applyNumberFormat="1" applyFont="1" applyBorder="1" applyAlignment="1">
      <alignment horizontal="right" vertical="center"/>
    </xf>
    <xf numFmtId="37" fontId="4" fillId="8" borderId="14" xfId="0" applyFont="1" applyFill="1" applyBorder="1" applyAlignment="1">
      <alignment horizontal="centerContinuous"/>
    </xf>
    <xf numFmtId="37" fontId="4" fillId="8" borderId="5" xfId="0" applyFont="1" applyFill="1" applyBorder="1" applyAlignment="1">
      <alignment horizontal="centerContinuous"/>
    </xf>
    <xf numFmtId="37" fontId="4" fillId="8" borderId="14" xfId="0" applyFont="1" applyFill="1" applyBorder="1" applyAlignment="1"/>
    <xf numFmtId="37" fontId="4" fillId="8" borderId="5" xfId="0" applyFont="1" applyFill="1" applyBorder="1" applyAlignment="1"/>
    <xf numFmtId="37" fontId="4" fillId="8" borderId="16" xfId="0" applyFont="1" applyFill="1" applyBorder="1" applyAlignment="1">
      <alignment horizontal="centerContinuous"/>
    </xf>
    <xf numFmtId="37" fontId="4" fillId="8" borderId="6" xfId="0" applyFont="1" applyFill="1" applyBorder="1" applyAlignment="1">
      <alignment horizontal="centerContinuous"/>
    </xf>
    <xf numFmtId="37" fontId="4" fillId="8" borderId="20" xfId="0" applyFont="1" applyFill="1" applyBorder="1" applyAlignment="1">
      <alignment horizontal="centerContinuous"/>
    </xf>
    <xf numFmtId="37" fontId="4" fillId="8" borderId="10" xfId="0" applyFont="1" applyFill="1" applyBorder="1" applyAlignment="1">
      <alignment horizontal="centerContinuous"/>
    </xf>
    <xf numFmtId="174" fontId="0" fillId="0" borderId="0" xfId="0" applyNumberFormat="1"/>
    <xf numFmtId="174" fontId="4" fillId="7" borderId="19" xfId="0" applyNumberFormat="1" applyFont="1" applyFill="1" applyBorder="1"/>
    <xf numFmtId="37" fontId="4" fillId="8" borderId="14" xfId="0" applyFont="1" applyFill="1" applyBorder="1" applyAlignment="1">
      <alignment horizontal="left"/>
    </xf>
    <xf numFmtId="37" fontId="4" fillId="8" borderId="5" xfId="0" applyFont="1" applyFill="1" applyBorder="1" applyAlignment="1">
      <alignment horizontal="left"/>
    </xf>
    <xf numFmtId="37" fontId="7" fillId="7" borderId="13" xfId="0" applyFont="1" applyFill="1" applyBorder="1" applyAlignment="1">
      <alignment horizontal="centerContinuous" vertical="center"/>
    </xf>
    <xf numFmtId="37" fontId="7" fillId="7" borderId="18" xfId="0" applyFont="1" applyFill="1" applyBorder="1" applyAlignment="1">
      <alignment horizontal="centerContinuous" vertical="center"/>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5" xfId="0" applyFont="1" applyFill="1" applyBorder="1" applyAlignment="1">
      <alignment horizontal="centerContinuous"/>
    </xf>
    <xf numFmtId="37" fontId="4" fillId="0" borderId="25" xfId="0" applyFont="1" applyFill="1" applyBorder="1" applyAlignment="1"/>
    <xf numFmtId="37" fontId="4" fillId="0" borderId="25" xfId="0" applyFont="1" applyFill="1" applyBorder="1" applyAlignment="1">
      <alignment horizontal="center"/>
    </xf>
    <xf numFmtId="37" fontId="4" fillId="0" borderId="8" xfId="0" applyFont="1" applyFill="1" applyBorder="1" applyAlignment="1">
      <alignment horizontal="centerContinuous"/>
    </xf>
    <xf numFmtId="37" fontId="4" fillId="7" borderId="13" xfId="0" applyFont="1" applyFill="1" applyBorder="1" applyAlignment="1">
      <alignment horizontal="centerContinuous" vertical="center"/>
    </xf>
    <xf numFmtId="37" fontId="7" fillId="3" borderId="13" xfId="0" quotePrefix="1" applyFont="1" applyFill="1" applyBorder="1" applyAlignment="1">
      <alignment horizontal="right" vertical="center"/>
    </xf>
    <xf numFmtId="0" fontId="4" fillId="7" borderId="14" xfId="0" applyNumberFormat="1" applyFont="1" applyFill="1" applyBorder="1" applyAlignment="1"/>
    <xf numFmtId="0" fontId="4" fillId="7" borderId="2" xfId="0" applyNumberFormat="1" applyFont="1" applyFill="1" applyBorder="1" applyAlignment="1"/>
    <xf numFmtId="0" fontId="4" fillId="7"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5" xfId="0" quotePrefix="1" applyNumberFormat="1" applyFont="1" applyBorder="1" applyAlignment="1" applyProtection="1">
      <alignment horizontal="left"/>
    </xf>
    <xf numFmtId="37" fontId="4" fillId="3" borderId="17" xfId="0" quotePrefix="1" applyFont="1" applyFill="1" applyBorder="1" applyAlignment="1">
      <alignment horizontal="left"/>
    </xf>
    <xf numFmtId="37" fontId="4" fillId="3" borderId="5" xfId="0" quotePrefix="1" applyFont="1" applyFill="1" applyBorder="1" applyAlignment="1">
      <alignment horizontal="center"/>
    </xf>
    <xf numFmtId="49" fontId="4" fillId="0" borderId="24" xfId="0" quotePrefix="1" applyNumberFormat="1" applyFont="1" applyBorder="1" applyAlignment="1">
      <alignment horizontal="center" vertical="center"/>
    </xf>
    <xf numFmtId="37" fontId="4" fillId="0" borderId="6" xfId="0" quotePrefix="1" applyFont="1" applyBorder="1" applyAlignment="1">
      <alignment horizontal="center"/>
    </xf>
    <xf numFmtId="37" fontId="4" fillId="0" borderId="10" xfId="0" quotePrefix="1" applyFont="1" applyBorder="1" applyAlignment="1">
      <alignment horizontal="center"/>
    </xf>
    <xf numFmtId="37" fontId="4" fillId="11" borderId="14" xfId="0" applyFont="1" applyFill="1" applyBorder="1" applyAlignment="1">
      <alignment horizontal="centerContinuous"/>
    </xf>
    <xf numFmtId="37" fontId="4" fillId="11" borderId="2" xfId="0" applyFont="1" applyFill="1" applyBorder="1" applyAlignment="1">
      <alignment horizontal="centerContinuous"/>
    </xf>
    <xf numFmtId="37" fontId="4" fillId="11" borderId="5" xfId="0" applyFont="1" applyFill="1" applyBorder="1" applyAlignment="1">
      <alignment horizontal="centerContinuous"/>
    </xf>
    <xf numFmtId="37" fontId="4" fillId="11" borderId="20" xfId="0" applyFont="1" applyFill="1" applyBorder="1" applyAlignment="1">
      <alignment horizontal="centerContinuous"/>
    </xf>
    <xf numFmtId="37" fontId="4" fillId="11" borderId="3" xfId="0" applyFont="1" applyFill="1" applyBorder="1" applyAlignment="1">
      <alignment horizontal="centerContinuous"/>
    </xf>
    <xf numFmtId="37" fontId="4" fillId="11" borderId="10" xfId="0" applyFont="1" applyFill="1" applyBorder="1" applyAlignment="1">
      <alignment horizontal="centerContinuous"/>
    </xf>
    <xf numFmtId="37" fontId="7" fillId="3" borderId="2" xfId="0" quotePrefix="1" applyFont="1" applyFill="1" applyBorder="1" applyAlignment="1">
      <alignment horizontal="right" vertical="center"/>
    </xf>
    <xf numFmtId="37" fontId="4" fillId="11" borderId="4" xfId="0" applyNumberFormat="1" applyFont="1" applyFill="1" applyBorder="1" applyAlignment="1" applyProtection="1">
      <alignment horizontal="center"/>
    </xf>
    <xf numFmtId="37" fontId="4" fillId="11" borderId="1" xfId="0" applyNumberFormat="1" applyFont="1" applyFill="1" applyBorder="1" applyAlignment="1" applyProtection="1">
      <alignment horizontal="center"/>
    </xf>
    <xf numFmtId="37" fontId="4" fillId="11" borderId="9" xfId="0" applyNumberFormat="1" applyFont="1" applyFill="1" applyBorder="1" applyAlignment="1" applyProtection="1">
      <alignment horizontal="centerContinuous"/>
    </xf>
    <xf numFmtId="49" fontId="4" fillId="11" borderId="19" xfId="2" applyNumberFormat="1" applyFont="1" applyFill="1" applyBorder="1" applyAlignment="1">
      <alignment vertical="center"/>
    </xf>
    <xf numFmtId="170" fontId="4" fillId="11" borderId="19" xfId="0" applyNumberFormat="1" applyFont="1" applyFill="1" applyBorder="1" applyAlignment="1">
      <alignment vertical="center"/>
    </xf>
    <xf numFmtId="0" fontId="4" fillId="0" borderId="3" xfId="0" applyNumberFormat="1" applyFont="1" applyBorder="1" applyAlignment="1">
      <alignment vertical="center"/>
    </xf>
    <xf numFmtId="165" fontId="7" fillId="0" borderId="2" xfId="0" applyNumberFormat="1" applyFont="1" applyBorder="1" applyAlignment="1" applyProtection="1">
      <alignment horizontal="left"/>
    </xf>
    <xf numFmtId="166" fontId="7" fillId="7" borderId="1" xfId="8" applyNumberFormat="1" applyFont="1" applyFill="1" applyBorder="1"/>
    <xf numFmtId="166" fontId="4" fillId="7" borderId="19" xfId="8" applyNumberFormat="1" applyFont="1" applyFill="1" applyBorder="1"/>
    <xf numFmtId="37" fontId="4" fillId="0" borderId="8" xfId="0" quotePrefix="1" applyFont="1" applyBorder="1" applyAlignment="1">
      <alignment horizontal="center"/>
    </xf>
    <xf numFmtId="37" fontId="4" fillId="6" borderId="25" xfId="0" quotePrefix="1" applyFont="1" applyFill="1" applyBorder="1" applyAlignment="1">
      <alignment horizontal="center"/>
    </xf>
    <xf numFmtId="37" fontId="4" fillId="3" borderId="10" xfId="0" quotePrefix="1" applyFont="1" applyFill="1" applyBorder="1" applyAlignment="1">
      <alignment horizontal="center" vertical="top"/>
    </xf>
    <xf numFmtId="37" fontId="4" fillId="3" borderId="6" xfId="0" quotePrefix="1" applyFont="1" applyFill="1" applyBorder="1" applyAlignment="1">
      <alignment horizontal="center"/>
    </xf>
    <xf numFmtId="37" fontId="4" fillId="0" borderId="10" xfId="0" quotePrefix="1" applyFont="1" applyBorder="1" applyAlignment="1">
      <alignment horizontal="right" vertical="center"/>
    </xf>
    <xf numFmtId="37" fontId="4" fillId="0" borderId="37" xfId="0" applyFont="1" applyBorder="1"/>
    <xf numFmtId="37" fontId="4" fillId="0" borderId="39" xfId="0" applyFont="1" applyBorder="1"/>
    <xf numFmtId="37" fontId="4" fillId="3" borderId="14" xfId="0" applyFont="1" applyFill="1" applyBorder="1" applyAlignment="1">
      <alignment horizontal="left"/>
    </xf>
    <xf numFmtId="37" fontId="4" fillId="7" borderId="7" xfId="0" applyFont="1" applyFill="1" applyBorder="1" applyAlignment="1">
      <alignment horizontal="center"/>
    </xf>
    <xf numFmtId="37" fontId="4" fillId="7" borderId="25" xfId="0" applyFont="1" applyFill="1" applyBorder="1" applyAlignment="1">
      <alignment horizontal="center"/>
    </xf>
    <xf numFmtId="37" fontId="4" fillId="7" borderId="8" xfId="0" applyFont="1" applyFill="1" applyBorder="1" applyAlignment="1">
      <alignment horizontal="center"/>
    </xf>
    <xf numFmtId="37" fontId="4" fillId="10" borderId="1" xfId="0" applyFont="1" applyFill="1" applyBorder="1" applyAlignment="1">
      <alignment horizontal="center"/>
    </xf>
    <xf numFmtId="37" fontId="4" fillId="10" borderId="9" xfId="0" quotePrefix="1" applyFont="1" applyFill="1" applyBorder="1" applyAlignment="1">
      <alignment horizontal="center"/>
    </xf>
    <xf numFmtId="37" fontId="4" fillId="3" borderId="34" xfId="0" applyFont="1" applyFill="1" applyBorder="1" applyAlignment="1">
      <alignment horizontal="left"/>
    </xf>
    <xf numFmtId="37" fontId="4" fillId="7" borderId="5" xfId="0" applyFont="1" applyFill="1" applyBorder="1"/>
    <xf numFmtId="37" fontId="4" fillId="7" borderId="6" xfId="0" applyFont="1" applyFill="1" applyBorder="1"/>
    <xf numFmtId="37" fontId="4" fillId="7" borderId="4" xfId="0" applyFont="1" applyFill="1" applyBorder="1" applyAlignment="1" applyProtection="1">
      <alignment horizontal="center"/>
    </xf>
    <xf numFmtId="37" fontId="4" fillId="7"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37" fontId="4" fillId="10" borderId="9" xfId="0" applyFont="1" applyFill="1" applyBorder="1" applyAlignment="1">
      <alignment horizontal="center"/>
    </xf>
    <xf numFmtId="37" fontId="4" fillId="10" borderId="6" xfId="0" applyFont="1" applyFill="1" applyBorder="1" applyAlignment="1">
      <alignment horizontal="center"/>
    </xf>
    <xf numFmtId="37" fontId="4" fillId="8" borderId="43" xfId="0" applyFont="1" applyFill="1" applyBorder="1" applyAlignment="1">
      <alignment horizontal="center"/>
    </xf>
    <xf numFmtId="37" fontId="4" fillId="10" borderId="23" xfId="0" applyFont="1" applyFill="1" applyBorder="1" applyAlignment="1">
      <alignment horizontal="center"/>
    </xf>
    <xf numFmtId="37" fontId="4" fillId="10" borderId="44" xfId="0" quotePrefix="1" applyFont="1" applyFill="1" applyBorder="1" applyAlignment="1">
      <alignment horizontal="center"/>
    </xf>
    <xf numFmtId="170" fontId="7" fillId="7" borderId="6" xfId="0" applyNumberFormat="1" applyFont="1" applyFill="1" applyBorder="1" applyAlignment="1">
      <alignment vertical="center"/>
    </xf>
    <xf numFmtId="170" fontId="7" fillId="0" borderId="6" xfId="0" applyNumberFormat="1" applyFont="1" applyBorder="1" applyAlignment="1">
      <alignment vertical="center"/>
    </xf>
    <xf numFmtId="170" fontId="7" fillId="7" borderId="23" xfId="0" applyNumberFormat="1" applyFont="1" applyFill="1" applyBorder="1" applyAlignment="1">
      <alignment vertical="center"/>
    </xf>
    <xf numFmtId="170" fontId="7" fillId="0" borderId="23" xfId="0" applyNumberFormat="1" applyFont="1" applyBorder="1" applyAlignment="1">
      <alignment vertical="center"/>
    </xf>
    <xf numFmtId="170" fontId="4" fillId="7" borderId="18" xfId="0" applyNumberFormat="1" applyFont="1" applyFill="1" applyBorder="1" applyAlignment="1">
      <alignment vertical="center"/>
    </xf>
    <xf numFmtId="170" fontId="4" fillId="7" borderId="35" xfId="0" applyNumberFormat="1" applyFont="1" applyFill="1" applyBorder="1" applyAlignment="1">
      <alignment vertical="center"/>
    </xf>
    <xf numFmtId="37" fontId="4" fillId="7" borderId="7" xfId="0" applyFont="1" applyFill="1" applyBorder="1" applyAlignment="1">
      <alignment vertical="center"/>
    </xf>
    <xf numFmtId="37" fontId="4" fillId="7" borderId="25" xfId="0" applyFont="1" applyFill="1" applyBorder="1" applyAlignment="1">
      <alignment vertical="center"/>
    </xf>
    <xf numFmtId="37" fontId="4" fillId="7" borderId="8" xfId="0" applyFont="1" applyFill="1" applyBorder="1" applyAlignment="1">
      <alignment horizontal="centerContinuous"/>
    </xf>
    <xf numFmtId="37" fontId="4" fillId="7" borderId="7" xfId="0" applyFont="1" applyFill="1" applyBorder="1" applyAlignment="1">
      <alignment horizontal="centerContinuous"/>
    </xf>
    <xf numFmtId="37" fontId="4" fillId="0" borderId="25" xfId="0" applyFont="1" applyFill="1" applyBorder="1"/>
    <xf numFmtId="168" fontId="4" fillId="0" borderId="25"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10" borderId="10" xfId="0" quotePrefix="1" applyFont="1" applyFill="1" applyBorder="1" applyAlignment="1">
      <alignment horizontal="center"/>
    </xf>
    <xf numFmtId="37" fontId="4" fillId="0" borderId="28" xfId="0" applyNumberFormat="1" applyFont="1" applyBorder="1" applyProtection="1"/>
    <xf numFmtId="0" fontId="4" fillId="7" borderId="8" xfId="5" quotePrefix="1" applyFont="1" applyFill="1" applyBorder="1" applyAlignment="1">
      <alignment horizontal="center"/>
    </xf>
    <xf numFmtId="0" fontId="4" fillId="10" borderId="1" xfId="5" applyFont="1" applyFill="1" applyBorder="1" applyAlignment="1">
      <alignment horizontal="center"/>
    </xf>
    <xf numFmtId="0" fontId="4" fillId="10" borderId="9" xfId="5" quotePrefix="1" applyFont="1" applyFill="1" applyBorder="1" applyAlignment="1">
      <alignment horizontal="center"/>
    </xf>
    <xf numFmtId="0" fontId="4" fillId="10" borderId="9" xfId="5" applyFont="1" applyFill="1" applyBorder="1" applyAlignment="1">
      <alignment horizontal="center"/>
    </xf>
    <xf numFmtId="37" fontId="4" fillId="8" borderId="4" xfId="0" applyFont="1" applyFill="1" applyBorder="1" applyAlignment="1">
      <alignment horizontal="center"/>
    </xf>
    <xf numFmtId="37" fontId="0" fillId="0" borderId="11" xfId="0" applyBorder="1"/>
    <xf numFmtId="0" fontId="7" fillId="0" borderId="0" xfId="5" quotePrefix="1" applyFont="1" applyAlignment="1">
      <alignment horizontal="left"/>
    </xf>
    <xf numFmtId="49" fontId="7" fillId="0" borderId="0" xfId="5" quotePrefix="1" applyNumberFormat="1" applyFont="1" applyAlignment="1">
      <alignment horizontal="left"/>
    </xf>
    <xf numFmtId="37" fontId="7" fillId="3" borderId="26" xfId="0" applyFont="1" applyFill="1" applyBorder="1" applyAlignment="1">
      <alignment horizontal="centerContinuous"/>
    </xf>
    <xf numFmtId="37" fontId="7" fillId="3" borderId="29" xfId="0" applyFont="1" applyFill="1" applyBorder="1" applyAlignment="1">
      <alignment horizontal="centerContinuous"/>
    </xf>
    <xf numFmtId="37" fontId="4" fillId="7" borderId="7"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8" xfId="0" quotePrefix="1" applyFont="1" applyFill="1" applyBorder="1" applyAlignment="1">
      <alignment horizontal="center"/>
    </xf>
    <xf numFmtId="37" fontId="4" fillId="3" borderId="24"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43" fontId="0" fillId="0" borderId="0" xfId="2" applyFont="1"/>
    <xf numFmtId="37" fontId="4" fillId="0" borderId="10" xfId="0" applyFont="1" applyFill="1" applyBorder="1" applyAlignment="1">
      <alignment horizontal="centerContinuous"/>
    </xf>
    <xf numFmtId="37" fontId="4" fillId="0" borderId="9" xfId="0" applyFont="1" applyFill="1" applyBorder="1" applyAlignment="1">
      <alignment horizontal="centerContinuous"/>
    </xf>
    <xf numFmtId="39" fontId="7" fillId="0" borderId="0" xfId="0" applyNumberFormat="1" applyFont="1"/>
    <xf numFmtId="37" fontId="4" fillId="0" borderId="8" xfId="0" applyFont="1" applyFill="1" applyBorder="1" applyAlignment="1">
      <alignment horizontal="center"/>
    </xf>
    <xf numFmtId="37" fontId="7" fillId="0" borderId="13" xfId="0" applyFont="1" applyFill="1" applyBorder="1" applyAlignment="1">
      <alignment horizontal="center"/>
    </xf>
    <xf numFmtId="37" fontId="4" fillId="7" borderId="45"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4"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0" fontId="7" fillId="0" borderId="0" xfId="2" quotePrefix="1" applyNumberFormat="1" applyFont="1" applyAlignment="1">
      <alignment horizontal="left"/>
    </xf>
    <xf numFmtId="37" fontId="4" fillId="7" borderId="37" xfId="0" applyFont="1" applyFill="1" applyBorder="1" applyAlignment="1">
      <alignment horizontal="center"/>
    </xf>
    <xf numFmtId="49" fontId="4" fillId="0" borderId="24" xfId="0" quotePrefix="1" applyNumberFormat="1" applyFont="1" applyFill="1" applyBorder="1" applyAlignment="1">
      <alignment horizontal="center" vertical="center"/>
    </xf>
    <xf numFmtId="165"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37" fontId="4" fillId="3" borderId="3" xfId="6" quotePrefix="1" applyNumberFormat="1" applyFont="1" applyFill="1" applyBorder="1" applyAlignment="1" applyProtection="1">
      <alignment horizontal="centerContinuous" vertical="center"/>
    </xf>
    <xf numFmtId="0" fontId="7" fillId="3" borderId="3" xfId="6" applyFont="1" applyFill="1" applyBorder="1" applyAlignment="1">
      <alignment horizontal="centerContinuous"/>
    </xf>
    <xf numFmtId="0" fontId="4" fillId="0" borderId="7" xfId="6" applyFont="1" applyBorder="1"/>
    <xf numFmtId="0" fontId="4" fillId="0" borderId="8" xfId="6" applyFont="1" applyBorder="1"/>
    <xf numFmtId="49" fontId="4" fillId="5" borderId="19" xfId="6" applyNumberFormat="1" applyFont="1" applyFill="1" applyBorder="1" applyAlignment="1">
      <alignment horizontal="center"/>
    </xf>
    <xf numFmtId="0" fontId="4" fillId="0" borderId="0" xfId="6" applyFont="1"/>
    <xf numFmtId="165" fontId="10" fillId="0" borderId="0" xfId="6" applyNumberFormat="1" applyFont="1" applyProtection="1">
      <protection locked="0"/>
    </xf>
    <xf numFmtId="170" fontId="7" fillId="0" borderId="0" xfId="6" applyNumberFormat="1" applyFont="1"/>
    <xf numFmtId="49" fontId="7" fillId="0" borderId="1" xfId="6" applyNumberFormat="1" applyFont="1" applyBorder="1" applyAlignment="1">
      <alignment vertical="center"/>
    </xf>
    <xf numFmtId="170" fontId="7" fillId="0" borderId="1" xfId="6" applyNumberFormat="1" applyFont="1" applyBorder="1" applyAlignment="1">
      <alignment vertical="center"/>
    </xf>
    <xf numFmtId="174" fontId="7" fillId="0" borderId="1" xfId="6" applyNumberFormat="1" applyFont="1" applyBorder="1" applyAlignment="1">
      <alignment vertical="center"/>
    </xf>
    <xf numFmtId="0" fontId="7" fillId="0" borderId="11" xfId="6" applyFont="1" applyBorder="1"/>
    <xf numFmtId="170" fontId="7" fillId="0" borderId="11" xfId="6" applyNumberFormat="1" applyFont="1" applyBorder="1"/>
    <xf numFmtId="0" fontId="7" fillId="0" borderId="0" xfId="6" applyFont="1" applyAlignment="1"/>
    <xf numFmtId="0" fontId="8" fillId="0" borderId="0" xfId="6" applyFont="1" applyAlignment="1"/>
    <xf numFmtId="0" fontId="4" fillId="9" borderId="14" xfId="6" applyFont="1" applyFill="1" applyBorder="1" applyAlignment="1">
      <alignment horizontal="centerContinuous"/>
    </xf>
    <xf numFmtId="0" fontId="4" fillId="9" borderId="2" xfId="6" applyFont="1" applyFill="1" applyBorder="1" applyAlignment="1">
      <alignment horizontal="centerContinuous"/>
    </xf>
    <xf numFmtId="0" fontId="4" fillId="9" borderId="5" xfId="6" applyFont="1" applyFill="1" applyBorder="1" applyAlignment="1">
      <alignment horizontal="centerContinuous"/>
    </xf>
    <xf numFmtId="0" fontId="4" fillId="9" borderId="16" xfId="6" applyFont="1" applyFill="1" applyBorder="1" applyAlignment="1">
      <alignment horizontal="centerContinuous"/>
    </xf>
    <xf numFmtId="0" fontId="4" fillId="9" borderId="0" xfId="6" applyFont="1" applyFill="1" applyBorder="1" applyAlignment="1">
      <alignment horizontal="centerContinuous"/>
    </xf>
    <xf numFmtId="0" fontId="4" fillId="9" borderId="6" xfId="6" applyFont="1" applyFill="1" applyBorder="1" applyAlignment="1">
      <alignment horizontal="centerContinuous"/>
    </xf>
    <xf numFmtId="0" fontId="4" fillId="9" borderId="20" xfId="6" applyFont="1" applyFill="1" applyBorder="1" applyAlignment="1">
      <alignment horizontal="centerContinuous"/>
    </xf>
    <xf numFmtId="0" fontId="4" fillId="9" borderId="3" xfId="6" applyFont="1" applyFill="1" applyBorder="1" applyAlignment="1">
      <alignment horizontal="centerContinuous"/>
    </xf>
    <xf numFmtId="0" fontId="4" fillId="9" borderId="10" xfId="6" applyFont="1" applyFill="1" applyBorder="1" applyAlignment="1">
      <alignment horizontal="centerContinuous"/>
    </xf>
    <xf numFmtId="49" fontId="7" fillId="11" borderId="1" xfId="6" applyNumberFormat="1" applyFont="1" applyFill="1" applyBorder="1" applyAlignment="1">
      <alignment vertical="center"/>
    </xf>
    <xf numFmtId="170" fontId="7" fillId="11" borderId="1" xfId="6" applyNumberFormat="1" applyFont="1" applyFill="1" applyBorder="1" applyAlignment="1">
      <alignment vertical="center"/>
    </xf>
    <xf numFmtId="174" fontId="7" fillId="11" borderId="1" xfId="6" applyNumberFormat="1" applyFont="1" applyFill="1" applyBorder="1" applyAlignment="1">
      <alignment vertical="center"/>
    </xf>
    <xf numFmtId="49" fontId="4" fillId="11" borderId="19" xfId="3" applyNumberFormat="1" applyFont="1" applyFill="1" applyBorder="1" applyAlignment="1">
      <alignment vertical="center"/>
    </xf>
    <xf numFmtId="170" fontId="4" fillId="11" borderId="24" xfId="6" applyNumberFormat="1" applyFont="1" applyFill="1" applyBorder="1"/>
    <xf numFmtId="174" fontId="4" fillId="11" borderId="24"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5"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2" borderId="4" xfId="0" applyFont="1" applyFill="1" applyBorder="1" applyAlignment="1">
      <alignment horizontal="centerContinuous"/>
    </xf>
    <xf numFmtId="37" fontId="4" fillId="11" borderId="4" xfId="0" quotePrefix="1" applyFont="1" applyFill="1" applyBorder="1" applyAlignment="1">
      <alignment horizontal="center"/>
    </xf>
    <xf numFmtId="37" fontId="4" fillId="11" borderId="4" xfId="0" applyFont="1" applyFill="1" applyBorder="1" applyAlignment="1">
      <alignment horizontal="center"/>
    </xf>
    <xf numFmtId="37" fontId="4" fillId="12" borderId="6" xfId="0" applyFont="1" applyFill="1" applyBorder="1" applyAlignment="1">
      <alignment horizontal="centerContinuous"/>
    </xf>
    <xf numFmtId="37" fontId="4" fillId="11" borderId="1" xfId="0" applyFont="1" applyFill="1" applyBorder="1" applyAlignment="1">
      <alignment horizontal="centerContinuous"/>
    </xf>
    <xf numFmtId="37" fontId="4" fillId="12" borderId="10" xfId="0" applyFont="1" applyFill="1" applyBorder="1" applyAlignment="1">
      <alignment horizontal="centerContinuous"/>
    </xf>
    <xf numFmtId="37" fontId="4" fillId="11" borderId="9" xfId="0" applyFont="1" applyFill="1" applyBorder="1" applyAlignment="1">
      <alignment horizontal="centerContinuous"/>
    </xf>
    <xf numFmtId="37" fontId="4" fillId="3" borderId="34" xfId="0" quotePrefix="1" applyFont="1" applyFill="1" applyBorder="1" applyAlignment="1">
      <alignment horizontal="left"/>
    </xf>
    <xf numFmtId="0" fontId="7" fillId="13"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7" borderId="37" xfId="0" applyFont="1" applyFill="1" applyBorder="1" applyAlignment="1" applyProtection="1">
      <alignment horizontal="centerContinuous"/>
    </xf>
    <xf numFmtId="37" fontId="4" fillId="7" borderId="38" xfId="0" applyFont="1" applyFill="1" applyBorder="1" applyAlignment="1" applyProtection="1">
      <alignment horizontal="centerContinuous"/>
    </xf>
    <xf numFmtId="37" fontId="4" fillId="7" borderId="39" xfId="0" applyFont="1" applyFill="1" applyBorder="1" applyAlignment="1" applyProtection="1">
      <alignment horizontal="centerContinuous"/>
    </xf>
    <xf numFmtId="37" fontId="4" fillId="7" borderId="40" xfId="0" applyFont="1" applyFill="1" applyBorder="1" applyAlignment="1" applyProtection="1">
      <alignment horizontal="centerContinuous"/>
    </xf>
    <xf numFmtId="37" fontId="27" fillId="0" borderId="0" xfId="0" applyFont="1"/>
    <xf numFmtId="37" fontId="27" fillId="0" borderId="0" xfId="0" applyFont="1" applyAlignment="1">
      <alignment horizontal="right"/>
    </xf>
    <xf numFmtId="166" fontId="27" fillId="0" borderId="0" xfId="8" applyNumberFormat="1" applyFont="1"/>
    <xf numFmtId="37" fontId="27" fillId="0" borderId="0" xfId="0" quotePrefix="1" applyFont="1" applyAlignment="1">
      <alignment horizontal="left"/>
    </xf>
    <xf numFmtId="0" fontId="27" fillId="0" borderId="0" xfId="6" applyFont="1"/>
    <xf numFmtId="170" fontId="27" fillId="0" borderId="0" xfId="6" applyNumberFormat="1" applyFont="1"/>
    <xf numFmtId="176" fontId="27" fillId="0" borderId="0" xfId="6" applyNumberFormat="1" applyFont="1"/>
    <xf numFmtId="172" fontId="7" fillId="0" borderId="0" xfId="0" applyNumberFormat="1" applyFont="1"/>
    <xf numFmtId="49" fontId="7" fillId="0" borderId="0" xfId="0" quotePrefix="1" applyNumberFormat="1" applyFont="1" applyBorder="1" applyAlignment="1">
      <alignment horizontal="left"/>
    </xf>
    <xf numFmtId="0" fontId="7" fillId="0" borderId="0" xfId="5" quotePrefix="1" applyFont="1" applyBorder="1" applyAlignment="1">
      <alignment horizontal="left"/>
    </xf>
    <xf numFmtId="37" fontId="7" fillId="0" borderId="0" xfId="0" quotePrefix="1" applyFont="1"/>
    <xf numFmtId="37" fontId="25" fillId="0" borderId="11" xfId="0" applyFont="1" applyBorder="1"/>
    <xf numFmtId="37" fontId="4" fillId="7" borderId="46" xfId="0" applyFont="1" applyFill="1" applyBorder="1" applyAlignment="1">
      <alignment horizontal="centerContinuous"/>
    </xf>
    <xf numFmtId="37" fontId="4" fillId="9" borderId="9" xfId="0" applyFont="1" applyFill="1" applyBorder="1" applyAlignment="1">
      <alignment horizontal="center" wrapText="1"/>
    </xf>
    <xf numFmtId="37" fontId="4" fillId="9" borderId="9" xfId="0" applyFont="1" applyFill="1" applyBorder="1" applyAlignment="1">
      <alignment wrapText="1"/>
    </xf>
    <xf numFmtId="37" fontId="4" fillId="10" borderId="47" xfId="0" applyFont="1" applyFill="1" applyBorder="1" applyAlignment="1">
      <alignment horizontal="center"/>
    </xf>
    <xf numFmtId="37" fontId="4" fillId="10" borderId="48" xfId="0" applyFont="1" applyFill="1" applyBorder="1" applyAlignment="1">
      <alignment horizontal="center"/>
    </xf>
    <xf numFmtId="37" fontId="4" fillId="10" borderId="0" xfId="0" applyFont="1" applyFill="1" applyBorder="1" applyAlignment="1">
      <alignment horizontal="center"/>
    </xf>
    <xf numFmtId="37" fontId="4" fillId="10" borderId="25" xfId="0" quotePrefix="1" applyFont="1" applyFill="1" applyBorder="1" applyAlignment="1">
      <alignment horizontal="center"/>
    </xf>
    <xf numFmtId="37" fontId="4" fillId="10" borderId="49" xfId="0" applyFont="1" applyFill="1" applyBorder="1" applyAlignment="1">
      <alignment horizontal="center"/>
    </xf>
    <xf numFmtId="37" fontId="4" fillId="10" borderId="3" xfId="0" applyFont="1" applyFill="1" applyBorder="1" applyAlignment="1">
      <alignment horizontal="center"/>
    </xf>
    <xf numFmtId="37" fontId="4" fillId="10" borderId="8" xfId="0" applyFont="1" applyFill="1" applyBorder="1" applyAlignment="1">
      <alignment horizontal="center"/>
    </xf>
    <xf numFmtId="165" fontId="7" fillId="0" borderId="11" xfId="0" applyNumberFormat="1" applyFont="1" applyBorder="1" applyProtection="1"/>
    <xf numFmtId="37" fontId="28" fillId="0" borderId="0" xfId="0" applyFont="1"/>
    <xf numFmtId="0" fontId="4" fillId="5" borderId="19" xfId="6" applyNumberFormat="1" applyFont="1" applyFill="1" applyBorder="1" applyAlignment="1">
      <alignment horizontal="center" vertical="center" wrapText="1"/>
    </xf>
    <xf numFmtId="37" fontId="4" fillId="7" borderId="4" xfId="0" applyFont="1" applyFill="1" applyBorder="1" applyAlignment="1">
      <alignment horizontal="center" vertical="center" wrapText="1"/>
    </xf>
    <xf numFmtId="37" fontId="4" fillId="7" borderId="1" xfId="0" applyFont="1" applyFill="1" applyBorder="1" applyAlignment="1">
      <alignment horizontal="center" vertical="center" wrapText="1"/>
    </xf>
    <xf numFmtId="37" fontId="4" fillId="7" borderId="9" xfId="0" applyFont="1" applyFill="1" applyBorder="1" applyAlignment="1">
      <alignment horizontal="center" vertical="center" wrapText="1"/>
    </xf>
    <xf numFmtId="177"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5" fontId="7" fillId="0" borderId="2" xfId="7" applyNumberFormat="1" applyFont="1" applyBorder="1" applyAlignment="1" applyProtection="1">
      <alignment horizontal="left"/>
    </xf>
    <xf numFmtId="165"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7" fontId="7" fillId="11" borderId="1" xfId="7" applyNumberFormat="1" applyFont="1" applyFill="1" applyBorder="1"/>
    <xf numFmtId="167" fontId="7" fillId="3" borderId="1" xfId="7" applyNumberFormat="1" applyFont="1" applyFill="1" applyBorder="1"/>
    <xf numFmtId="167" fontId="4" fillId="11" borderId="19" xfId="7" applyNumberFormat="1" applyFont="1" applyFill="1" applyBorder="1"/>
    <xf numFmtId="167" fontId="7" fillId="0" borderId="0" xfId="7" applyNumberFormat="1" applyFont="1"/>
    <xf numFmtId="39" fontId="7" fillId="0" borderId="1" xfId="7" applyFont="1" applyBorder="1" applyProtection="1"/>
    <xf numFmtId="39" fontId="7" fillId="11" borderId="1" xfId="7" applyFont="1" applyFill="1" applyBorder="1" applyProtection="1"/>
    <xf numFmtId="37" fontId="26" fillId="0" borderId="0" xfId="0" applyFont="1" applyAlignment="1">
      <alignment horizontal="left" indent="5"/>
    </xf>
    <xf numFmtId="37" fontId="7" fillId="0" borderId="33" xfId="0" applyFont="1" applyBorder="1"/>
    <xf numFmtId="37" fontId="15" fillId="8" borderId="0" xfId="0" applyFont="1" applyFill="1"/>
    <xf numFmtId="37" fontId="20" fillId="8" borderId="0" xfId="0" applyFont="1" applyFill="1" applyAlignment="1">
      <alignment horizontal="center"/>
    </xf>
    <xf numFmtId="37" fontId="15" fillId="8" borderId="0" xfId="0" applyFont="1" applyFill="1" applyAlignment="1"/>
    <xf numFmtId="37" fontId="15" fillId="8" borderId="0" xfId="0" applyFont="1" applyFill="1" applyAlignment="1">
      <alignment horizontal="left" vertical="top" wrapText="1"/>
    </xf>
    <xf numFmtId="37" fontId="15" fillId="8" borderId="0" xfId="0" applyFont="1" applyFill="1" applyAlignment="1">
      <alignment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49" fontId="4" fillId="0" borderId="34" xfId="0" quotePrefix="1"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9" xfId="0" applyNumberFormat="1" applyFont="1" applyBorder="1" applyAlignment="1">
      <alignment horizontal="center" vertical="center"/>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7" borderId="14" xfId="0" applyFont="1" applyFill="1" applyBorder="1" applyAlignment="1">
      <alignment horizontal="center"/>
    </xf>
    <xf numFmtId="37" fontId="4" fillId="7" borderId="5" xfId="0" applyFont="1" applyFill="1" applyBorder="1" applyAlignment="1">
      <alignment horizontal="center"/>
    </xf>
    <xf numFmtId="37" fontId="4" fillId="7" borderId="20" xfId="0" applyFont="1" applyFill="1" applyBorder="1" applyAlignment="1">
      <alignment horizontal="center"/>
    </xf>
    <xf numFmtId="37" fontId="4" fillId="7" borderId="10" xfId="0" applyFont="1" applyFill="1" applyBorder="1" applyAlignment="1">
      <alignment horizontal="center"/>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8" borderId="12" xfId="0" applyFont="1" applyFill="1" applyBorder="1" applyAlignment="1">
      <alignment horizontal="center"/>
    </xf>
    <xf numFmtId="37" fontId="4" fillId="8" borderId="50" xfId="0" applyFont="1" applyFill="1" applyBorder="1" applyAlignment="1">
      <alignment horizontal="center"/>
    </xf>
    <xf numFmtId="37" fontId="4" fillId="7" borderId="25" xfId="0" quotePrefix="1" applyFont="1" applyFill="1" applyBorder="1" applyAlignment="1">
      <alignment horizontal="center"/>
    </xf>
    <xf numFmtId="37" fontId="4" fillId="7"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0" borderId="12" xfId="0" quotePrefix="1" applyFont="1" applyBorder="1" applyAlignment="1">
      <alignment horizontal="right" vertical="center"/>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3" borderId="13" xfId="0" applyFont="1" applyFill="1" applyBorder="1" applyAlignment="1">
      <alignment horizontal="right" vertical="center"/>
    </xf>
    <xf numFmtId="37" fontId="4" fillId="9" borderId="4" xfId="0" applyFont="1" applyFill="1" applyBorder="1" applyAlignment="1">
      <alignment horizontal="center" wrapText="1"/>
    </xf>
    <xf numFmtId="37" fontId="4" fillId="9" borderId="9" xfId="0" applyFont="1" applyFill="1" applyBorder="1" applyAlignment="1">
      <alignment horizontal="center" wrapText="1"/>
    </xf>
    <xf numFmtId="37" fontId="4" fillId="9" borderId="51" xfId="0" applyFont="1" applyFill="1" applyBorder="1" applyAlignment="1">
      <alignment horizontal="center" wrapText="1"/>
    </xf>
    <xf numFmtId="37" fontId="4" fillId="9" borderId="52" xfId="0" applyFont="1" applyFill="1" applyBorder="1" applyAlignment="1">
      <alignment horizontal="center" wrapText="1"/>
    </xf>
    <xf numFmtId="49" fontId="4" fillId="0" borderId="0" xfId="7" applyNumberFormat="1" applyFont="1" applyFill="1" applyBorder="1" applyAlignment="1" applyProtection="1">
      <alignment horizont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9" borderId="14" xfId="0" applyFont="1" applyFill="1" applyBorder="1" applyAlignment="1">
      <alignment horizontal="center" wrapText="1"/>
    </xf>
    <xf numFmtId="37" fontId="4" fillId="9" borderId="5" xfId="0" applyFont="1" applyFill="1" applyBorder="1" applyAlignment="1">
      <alignment horizontal="center" wrapText="1"/>
    </xf>
  </cellXfs>
  <cellStyles count="9">
    <cellStyle name="BODY" xfId="1"/>
    <cellStyle name="Comma" xfId="2" builtinId="3"/>
    <cellStyle name="Comma_Direct Support" xfId="3"/>
    <cellStyle name="Hyperlink" xfId="4" builtinId="8"/>
    <cellStyle name="Normal" xfId="0" builtinId="0"/>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2.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3.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7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du.gov.mb.ca/k12/finance/frame_report/2009-10_frame_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du.gov.mb.ca/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dusfb\Age%20and%20Area\Age%20and%20Area%202006-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du.gov.mb.ca/Edusfb/Internet%20Projects/Forms/_Web%20Site/FB115A_F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dusfb\Internet%20Projects\Forms\_Web%20Site\FB115A_Fe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dusfb\Frame\REPORTS\2008-09%20FRAME%20Budg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edu.gov.mb.ca/k12/finance/frame_manual/index.html"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19"/>
  <sheetViews>
    <sheetView showRowColHeaders="0" tabSelected="1" workbookViewId="0"/>
  </sheetViews>
  <sheetFormatPr defaultColWidth="0" defaultRowHeight="12" customHeight="1" zeroHeight="1"/>
  <cols>
    <col min="1" max="1" width="9.33203125" customWidth="1"/>
    <col min="2" max="2" width="133.5" customWidth="1"/>
    <col min="3" max="3" width="9.33203125" customWidth="1"/>
  </cols>
  <sheetData>
    <row r="1" spans="1:3" ht="14.25">
      <c r="A1" s="681"/>
      <c r="B1" s="681"/>
      <c r="C1" s="681"/>
    </row>
    <row r="2" spans="1:3" ht="15">
      <c r="A2" s="681"/>
      <c r="B2" s="682" t="s">
        <v>761</v>
      </c>
      <c r="C2" s="681"/>
    </row>
    <row r="3" spans="1:3" ht="14.25">
      <c r="A3" s="681"/>
      <c r="B3" s="681"/>
      <c r="C3" s="681"/>
    </row>
    <row r="4" spans="1:3" ht="14.25">
      <c r="A4" s="681"/>
      <c r="B4" s="683" t="s">
        <v>756</v>
      </c>
      <c r="C4" s="683"/>
    </row>
    <row r="5" spans="1:3" ht="14.25">
      <c r="A5" s="681"/>
      <c r="B5" s="681"/>
      <c r="C5" s="681"/>
    </row>
    <row r="6" spans="1:3" ht="14.25">
      <c r="A6" s="681"/>
      <c r="B6" s="684" t="s">
        <v>757</v>
      </c>
      <c r="C6" s="681"/>
    </row>
    <row r="7" spans="1:3" ht="14.25">
      <c r="A7" s="681"/>
      <c r="B7" s="684"/>
      <c r="C7" s="681"/>
    </row>
    <row r="8" spans="1:3" ht="14.25">
      <c r="A8" s="681"/>
      <c r="B8" s="685" t="s">
        <v>758</v>
      </c>
      <c r="C8" s="681"/>
    </row>
    <row r="9" spans="1:3" ht="14.25">
      <c r="A9" s="681"/>
      <c r="B9" s="685"/>
      <c r="C9" s="681"/>
    </row>
    <row r="10" spans="1:3" ht="14.25">
      <c r="A10" s="681"/>
      <c r="B10" s="685"/>
      <c r="C10" s="681"/>
    </row>
    <row r="11" spans="1:3" ht="14.25">
      <c r="A11" s="681"/>
      <c r="B11" s="681"/>
      <c r="C11" s="681"/>
    </row>
    <row r="12" spans="1:3" ht="14.25">
      <c r="A12" s="681"/>
      <c r="B12" s="685" t="s">
        <v>759</v>
      </c>
      <c r="C12" s="681"/>
    </row>
    <row r="13" spans="1:3" ht="14.25">
      <c r="A13" s="681"/>
      <c r="B13" s="685"/>
      <c r="C13" s="681"/>
    </row>
    <row r="14" spans="1:3" ht="14.25">
      <c r="A14" s="681"/>
      <c r="B14" s="681"/>
      <c r="C14" s="681"/>
    </row>
    <row r="15" spans="1:3" ht="14.25">
      <c r="A15" s="681"/>
      <c r="B15" s="685" t="s">
        <v>760</v>
      </c>
      <c r="C15" s="681"/>
    </row>
    <row r="16" spans="1:3" ht="14.25">
      <c r="A16" s="681"/>
      <c r="B16" s="685"/>
      <c r="C16" s="681"/>
    </row>
    <row r="17" spans="1:3" ht="14.25">
      <c r="A17" s="681"/>
      <c r="B17" s="685"/>
      <c r="C17" s="681"/>
    </row>
    <row r="18" spans="1:3" ht="40.5" customHeight="1">
      <c r="A18" s="681"/>
      <c r="B18" s="683"/>
      <c r="C18" s="681"/>
    </row>
    <row r="19" spans="1:3" hidden="1"/>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9">
    <pageSetUpPr autoPageBreaks="0" fitToPage="1"/>
  </sheetPr>
  <dimension ref="A2:O54"/>
  <sheetViews>
    <sheetView showGridLines="0" showZeros="0" workbookViewId="0"/>
  </sheetViews>
  <sheetFormatPr defaultColWidth="14.83203125" defaultRowHeight="12"/>
  <cols>
    <col min="1" max="1" width="48.83203125" style="1" customWidth="1"/>
    <col min="2" max="2" width="22.83203125" style="1" customWidth="1"/>
    <col min="3" max="3" width="7.83203125" style="1" customWidth="1"/>
    <col min="4" max="4" width="15.83203125" style="1" customWidth="1"/>
    <col min="5" max="5" width="7.83203125" style="1" customWidth="1"/>
    <col min="6" max="6" width="15.83203125" style="1" customWidth="1"/>
    <col min="7" max="7" width="7.83203125" style="1" customWidth="1"/>
    <col min="8" max="8" width="12.83203125" style="1" customWidth="1"/>
    <col min="9" max="9" width="7.83203125" style="1" customWidth="1"/>
    <col min="10" max="10" width="15.83203125" style="1" customWidth="1"/>
    <col min="11" max="11" width="8.83203125" style="1" customWidth="1"/>
    <col min="12" max="12" width="5.83203125" style="1" customWidth="1"/>
    <col min="13" max="13" width="45.6640625" style="1" hidden="1" customWidth="1"/>
    <col min="14" max="20" width="0" style="1" hidden="1" customWidth="1"/>
    <col min="21" max="16384" width="14.83203125" style="1"/>
  </cols>
  <sheetData>
    <row r="2" spans="1:14">
      <c r="A2" s="46"/>
      <c r="B2" s="46"/>
      <c r="C2" s="47" t="str">
        <f>OPYEAR</f>
        <v>OPERATING FUND 2011/2012 ACTUAL</v>
      </c>
      <c r="D2" s="47"/>
      <c r="E2" s="47"/>
      <c r="F2" s="48"/>
      <c r="G2" s="48"/>
      <c r="H2" s="48"/>
      <c r="I2" s="48"/>
      <c r="J2" s="49"/>
      <c r="K2" s="129" t="s">
        <v>174</v>
      </c>
    </row>
    <row r="3" spans="1:14" ht="11.1" customHeight="1">
      <c r="J3" s="90"/>
      <c r="K3" s="90"/>
    </row>
    <row r="4" spans="1:14" ht="15.75">
      <c r="B4" s="326" t="s">
        <v>476</v>
      </c>
      <c r="C4" s="90"/>
      <c r="D4" s="90"/>
      <c r="E4" s="90"/>
      <c r="F4" s="90"/>
      <c r="G4" s="90"/>
      <c r="H4" s="90"/>
      <c r="I4" s="90"/>
      <c r="J4" s="90"/>
      <c r="K4" s="90"/>
    </row>
    <row r="5" spans="1:14" ht="15.75">
      <c r="B5" s="326" t="s">
        <v>477</v>
      </c>
      <c r="C5" s="90"/>
      <c r="D5" s="90"/>
      <c r="E5" s="90"/>
      <c r="F5" s="90"/>
      <c r="G5" s="90"/>
      <c r="H5" s="90"/>
      <c r="I5" s="90"/>
      <c r="J5" s="90"/>
      <c r="K5" s="90"/>
    </row>
    <row r="6" spans="1:14" ht="11.1" customHeight="1"/>
    <row r="7" spans="1:14">
      <c r="B7" s="130" t="s">
        <v>175</v>
      </c>
      <c r="C7" s="48"/>
      <c r="D7" s="48"/>
      <c r="E7" s="48"/>
      <c r="F7" s="48"/>
      <c r="G7" s="48"/>
      <c r="H7" s="48"/>
      <c r="I7" s="131"/>
    </row>
    <row r="8" spans="1:14">
      <c r="A8" s="7"/>
      <c r="B8" s="358" t="s">
        <v>435</v>
      </c>
      <c r="C8" s="359"/>
      <c r="D8" s="361" t="s">
        <v>38</v>
      </c>
      <c r="E8" s="359"/>
      <c r="F8" s="361" t="s">
        <v>39</v>
      </c>
      <c r="G8" s="359"/>
      <c r="H8" s="360"/>
      <c r="I8" s="355"/>
      <c r="J8" s="365"/>
      <c r="K8" s="355"/>
    </row>
    <row r="9" spans="1:14">
      <c r="A9" s="7"/>
      <c r="B9" s="344" t="s">
        <v>51</v>
      </c>
      <c r="C9" s="346"/>
      <c r="D9" s="345" t="s">
        <v>66</v>
      </c>
      <c r="E9" s="346"/>
      <c r="F9" s="345" t="s">
        <v>67</v>
      </c>
      <c r="G9" s="346"/>
      <c r="H9" s="345" t="s">
        <v>68</v>
      </c>
      <c r="I9" s="366"/>
      <c r="J9" s="345" t="s">
        <v>69</v>
      </c>
      <c r="K9" s="366"/>
    </row>
    <row r="10" spans="1:14">
      <c r="A10" s="132" t="s">
        <v>164</v>
      </c>
      <c r="B10" s="133" t="s">
        <v>96</v>
      </c>
      <c r="C10" s="133" t="s">
        <v>97</v>
      </c>
      <c r="D10" s="133" t="s">
        <v>96</v>
      </c>
      <c r="E10" s="133" t="s">
        <v>97</v>
      </c>
      <c r="F10" s="133" t="s">
        <v>96</v>
      </c>
      <c r="G10" s="133" t="s">
        <v>97</v>
      </c>
      <c r="H10" s="133" t="s">
        <v>96</v>
      </c>
      <c r="I10" s="54" t="s">
        <v>97</v>
      </c>
      <c r="J10" s="133" t="s">
        <v>96</v>
      </c>
      <c r="K10" s="54" t="s">
        <v>97</v>
      </c>
    </row>
    <row r="11" spans="1:14" ht="5.0999999999999996" customHeight="1"/>
    <row r="12" spans="1:14">
      <c r="A12" s="362" t="s">
        <v>167</v>
      </c>
      <c r="B12" s="135"/>
      <c r="C12" s="136"/>
      <c r="D12" s="135"/>
      <c r="E12" s="136"/>
      <c r="F12" s="135"/>
      <c r="G12" s="136"/>
      <c r="H12" s="135"/>
      <c r="I12" s="136"/>
      <c r="J12" s="135"/>
      <c r="K12" s="136"/>
      <c r="M12" s="1" t="s">
        <v>167</v>
      </c>
      <c r="N12" s="149">
        <f>K21/100</f>
        <v>0.76580949034568269</v>
      </c>
    </row>
    <row r="13" spans="1:14">
      <c r="A13" s="137" t="s">
        <v>322</v>
      </c>
      <c r="B13" s="138"/>
      <c r="C13" s="396"/>
      <c r="D13" s="138"/>
      <c r="E13" s="396"/>
      <c r="F13" s="138"/>
      <c r="G13" s="396"/>
      <c r="H13" s="138"/>
      <c r="I13" s="396"/>
      <c r="J13" s="138">
        <f>SUM(F13,D13,B13,'- 12 -'!J13,'- 12 -'!H13,'- 12 -'!F13,'- 12 -'!D13,'- 12 -'!B13)</f>
        <v>3670085</v>
      </c>
      <c r="K13" s="396">
        <f t="shared" ref="K13:K22" si="0">J13/$J$53*100</f>
        <v>0.19034530558490417</v>
      </c>
      <c r="M13" s="1" t="s">
        <v>189</v>
      </c>
      <c r="N13" s="149">
        <f>K22/100</f>
        <v>6.3743353288092108E-2</v>
      </c>
    </row>
    <row r="14" spans="1:14">
      <c r="A14" s="137" t="s">
        <v>359</v>
      </c>
      <c r="B14" s="138">
        <v>2273607</v>
      </c>
      <c r="C14" s="396">
        <f>B14/$J$53*100</f>
        <v>0.11791836406921836</v>
      </c>
      <c r="D14" s="138">
        <v>2263214</v>
      </c>
      <c r="E14" s="396">
        <f>D14/$J$53*100</f>
        <v>0.11737934146866717</v>
      </c>
      <c r="F14" s="138">
        <v>3814179</v>
      </c>
      <c r="G14" s="396">
        <f>F14/$J$53*100</f>
        <v>0.19781859747404332</v>
      </c>
      <c r="H14" s="138"/>
      <c r="I14" s="396"/>
      <c r="J14" s="138">
        <f>SUM(F14,D14,B14,'- 12 -'!J14,'- 12 -'!H14,'- 12 -'!F14,'- 12 -'!D14,'- 12 -'!B14)</f>
        <v>115658343</v>
      </c>
      <c r="K14" s="396">
        <f t="shared" si="0"/>
        <v>5.9985048416531672</v>
      </c>
      <c r="M14" s="1" t="s">
        <v>154</v>
      </c>
      <c r="N14" s="149">
        <f>K39/100</f>
        <v>8.8685970901459535E-2</v>
      </c>
    </row>
    <row r="15" spans="1:14">
      <c r="A15" s="137" t="s">
        <v>323</v>
      </c>
      <c r="B15" s="138">
        <v>23659407</v>
      </c>
      <c r="C15" s="396">
        <f>B15/$J$53*100</f>
        <v>1.227071595173578</v>
      </c>
      <c r="D15" s="138"/>
      <c r="E15" s="396">
        <f>D15/$J$53*100</f>
        <v>0</v>
      </c>
      <c r="F15" s="138"/>
      <c r="G15" s="396">
        <f>F15/$J$53*100</f>
        <v>0</v>
      </c>
      <c r="H15" s="138"/>
      <c r="I15" s="396"/>
      <c r="J15" s="138">
        <f>SUM(F15,D15,B15,'- 12 -'!J15,'- 12 -'!H15,'- 12 -'!F15,'- 12 -'!D15,'- 12 -'!B15)</f>
        <v>936866540</v>
      </c>
      <c r="K15" s="396">
        <f t="shared" si="0"/>
        <v>48.589650607158106</v>
      </c>
      <c r="M15" s="1" t="s">
        <v>190</v>
      </c>
      <c r="N15" s="149">
        <f>K45/100</f>
        <v>6.4078028079757154E-2</v>
      </c>
    </row>
    <row r="16" spans="1:14">
      <c r="A16" s="137" t="s">
        <v>324</v>
      </c>
      <c r="B16" s="138">
        <v>11499618</v>
      </c>
      <c r="C16" s="396">
        <f>B16/$J$53*100</f>
        <v>0.5964162416727854</v>
      </c>
      <c r="D16" s="138">
        <v>246631</v>
      </c>
      <c r="E16" s="396">
        <f>D16/$J$53*100</f>
        <v>1.2791271336143578E-2</v>
      </c>
      <c r="F16" s="138"/>
      <c r="G16" s="396">
        <f>F16/$J$53*100</f>
        <v>0</v>
      </c>
      <c r="H16" s="138"/>
      <c r="I16" s="396"/>
      <c r="J16" s="138">
        <f>SUM(F16,D16,B16,'- 12 -'!J16,'- 12 -'!H16,'- 12 -'!F16,'- 12 -'!D16,'- 12 -'!B16)</f>
        <v>178881407</v>
      </c>
      <c r="K16" s="396">
        <f t="shared" si="0"/>
        <v>9.2775061282974693</v>
      </c>
      <c r="M16" s="1" t="s">
        <v>82</v>
      </c>
      <c r="N16" s="149">
        <f>K48/100</f>
        <v>8.5640022801822941E-4</v>
      </c>
    </row>
    <row r="17" spans="1:15">
      <c r="A17" s="137" t="s">
        <v>325</v>
      </c>
      <c r="B17" s="138">
        <v>4443572</v>
      </c>
      <c r="C17" s="396">
        <f>B17/$J$53*100</f>
        <v>0.23046143896627022</v>
      </c>
      <c r="D17" s="138">
        <v>32888629</v>
      </c>
      <c r="E17" s="396">
        <f>D17/$J$53*100</f>
        <v>1.7057360080961455</v>
      </c>
      <c r="F17" s="138">
        <v>92478541</v>
      </c>
      <c r="G17" s="396">
        <f>F17/$J$53*100</f>
        <v>4.7963074824400769</v>
      </c>
      <c r="H17" s="138"/>
      <c r="I17" s="396"/>
      <c r="J17" s="138">
        <f>SUM(F17,D17,B17,'- 12 -'!J17,'- 12 -'!H17,'- 12 -'!F17,'- 12 -'!D17,'- 12 -'!B17)</f>
        <v>142468934</v>
      </c>
      <c r="K17" s="396">
        <f t="shared" si="0"/>
        <v>7.3890094585235895</v>
      </c>
      <c r="M17" s="1" t="s">
        <v>109</v>
      </c>
      <c r="N17" s="149">
        <f>K51/100-N16</f>
        <v>1.6826757156990439E-2</v>
      </c>
    </row>
    <row r="18" spans="1:15">
      <c r="A18" s="139" t="s">
        <v>326</v>
      </c>
      <c r="B18" s="138">
        <v>2853626</v>
      </c>
      <c r="C18" s="396">
        <f>B18/$J$53*100</f>
        <v>0.14800047219479326</v>
      </c>
      <c r="D18" s="138">
        <v>1199492</v>
      </c>
      <c r="E18" s="396">
        <f>D18/$J$53*100</f>
        <v>6.2210458691460246E-2</v>
      </c>
      <c r="F18" s="138">
        <v>1517720</v>
      </c>
      <c r="G18" s="396">
        <f>F18/$J$53*100</f>
        <v>7.8715037170071195E-2</v>
      </c>
      <c r="H18" s="138"/>
      <c r="I18" s="396"/>
      <c r="J18" s="138">
        <f>SUM(F18,D18,B18,'- 12 -'!J18,'- 12 -'!H18,'- 12 -'!F18,'- 12 -'!D18,'- 12 -'!B18)</f>
        <v>57032359</v>
      </c>
      <c r="K18" s="396">
        <f t="shared" si="0"/>
        <v>2.9579265336042515</v>
      </c>
      <c r="N18" s="149"/>
    </row>
    <row r="19" spans="1:15">
      <c r="A19" s="139" t="s">
        <v>327</v>
      </c>
      <c r="B19" s="140"/>
      <c r="C19" s="397"/>
      <c r="D19" s="140"/>
      <c r="E19" s="397"/>
      <c r="F19" s="140"/>
      <c r="G19" s="397"/>
      <c r="H19" s="140"/>
      <c r="I19" s="397"/>
      <c r="J19" s="140">
        <f>SUM(F19,D19,B19,'- 12 -'!J19,'- 12 -'!H19,'- 12 -'!F19,'- 12 -'!D19,'- 12 -'!B19)</f>
        <v>28764348</v>
      </c>
      <c r="K19" s="397">
        <f t="shared" si="0"/>
        <v>1.491834279045452</v>
      </c>
      <c r="N19" s="149">
        <f>SUM(N12:N17)</f>
        <v>1.0000000000000002</v>
      </c>
    </row>
    <row r="20" spans="1:15">
      <c r="A20" s="142" t="s">
        <v>328</v>
      </c>
      <c r="B20" s="141">
        <v>415677</v>
      </c>
      <c r="C20" s="397">
        <f>B20/'- 13 -'!$J$53*100</f>
        <v>2.1558673869846671E-2</v>
      </c>
      <c r="D20" s="141">
        <v>0</v>
      </c>
      <c r="E20" s="397">
        <f>D20/'- 13 -'!$J$53*100</f>
        <v>0</v>
      </c>
      <c r="F20" s="141">
        <v>61640</v>
      </c>
      <c r="G20" s="397">
        <f>F20/'- 13 -'!$J$53*100</f>
        <v>3.1968972479529748E-3</v>
      </c>
      <c r="H20" s="141"/>
      <c r="I20" s="397"/>
      <c r="J20" s="141">
        <f>SUM(F20,D20,B20,'- 12 -'!J20,'- 12 -'!H20,'- 12 -'!F20,'- 12 -'!D20,'- 12 -'!B20)</f>
        <v>13230214</v>
      </c>
      <c r="K20" s="397">
        <f t="shared" si="0"/>
        <v>0.68617188070131274</v>
      </c>
      <c r="N20" s="149"/>
    </row>
    <row r="21" spans="1:15">
      <c r="A21" s="143" t="s">
        <v>329</v>
      </c>
      <c r="B21" s="399">
        <f>SUM(B13:B20)</f>
        <v>45145507</v>
      </c>
      <c r="C21" s="400">
        <f>B21/$J$53*100</f>
        <v>2.3414267859464917</v>
      </c>
      <c r="D21" s="399">
        <f>SUM(D13:D20)</f>
        <v>36597966</v>
      </c>
      <c r="E21" s="400">
        <f>D21/$J$53*100</f>
        <v>1.8981170795924165</v>
      </c>
      <c r="F21" s="399">
        <f>SUM(F13:F20)</f>
        <v>97872080</v>
      </c>
      <c r="G21" s="400">
        <f>F21/$J$53*100</f>
        <v>5.0760380143321449</v>
      </c>
      <c r="H21" s="399"/>
      <c r="I21" s="400"/>
      <c r="J21" s="399">
        <f>SUM(F21,D21,B21,'- 12 -'!J21,'- 12 -'!H21,'- 12 -'!F21,'- 12 -'!D21,'- 12 -'!B21)</f>
        <v>1476572230</v>
      </c>
      <c r="K21" s="400">
        <f t="shared" si="0"/>
        <v>76.580949034568263</v>
      </c>
      <c r="N21" s="149"/>
    </row>
    <row r="22" spans="1:15">
      <c r="A22" s="362" t="s">
        <v>177</v>
      </c>
      <c r="B22" s="399">
        <v>4345997</v>
      </c>
      <c r="C22" s="400">
        <f>B22/$J$53*100</f>
        <v>0.2254008087104459</v>
      </c>
      <c r="D22" s="399">
        <v>5206883</v>
      </c>
      <c r="E22" s="400">
        <f>D22/$J$53*100</f>
        <v>0.27004980423609881</v>
      </c>
      <c r="F22" s="399">
        <v>16581807</v>
      </c>
      <c r="G22" s="400">
        <f>F22/$J$53*100</f>
        <v>0.85999891571037279</v>
      </c>
      <c r="H22" s="399"/>
      <c r="I22" s="400"/>
      <c r="J22" s="399">
        <f>SUM(F22,D22,B22,'- 12 -'!J22,'- 12 -'!H22,'- 12 -'!F22,'- 12 -'!D22,'- 12 -'!B22)</f>
        <v>122904804</v>
      </c>
      <c r="K22" s="400">
        <f t="shared" si="0"/>
        <v>6.3743353288092113</v>
      </c>
    </row>
    <row r="23" spans="1:15">
      <c r="A23" s="362" t="s">
        <v>154</v>
      </c>
      <c r="B23" s="146"/>
      <c r="C23" s="398"/>
      <c r="D23" s="146"/>
      <c r="E23" s="398"/>
      <c r="F23" s="146"/>
      <c r="G23" s="398"/>
      <c r="H23" s="146"/>
      <c r="I23" s="398"/>
      <c r="J23" s="146"/>
      <c r="K23" s="398"/>
      <c r="M23" s="1" t="s">
        <v>63</v>
      </c>
      <c r="N23" s="149">
        <f>'- 12 -'!C50/100</f>
        <v>0.55197182838131975</v>
      </c>
      <c r="O23" s="1" t="s">
        <v>63</v>
      </c>
    </row>
    <row r="24" spans="1:15">
      <c r="A24" s="139" t="s">
        <v>330</v>
      </c>
      <c r="B24" s="138">
        <v>1812732</v>
      </c>
      <c r="C24" s="396">
        <f t="shared" ref="C24:C34" si="1">B24/$J$53*100</f>
        <v>9.4015540916227977E-2</v>
      </c>
      <c r="D24" s="138">
        <v>229003</v>
      </c>
      <c r="E24" s="396">
        <f t="shared" ref="E24:E34" si="2">D24/$J$53*100</f>
        <v>1.1877012661793886E-2</v>
      </c>
      <c r="F24" s="138">
        <v>4225223</v>
      </c>
      <c r="G24" s="396">
        <f t="shared" ref="G24:G34" si="3">F24/$J$53*100</f>
        <v>0.21913698541024679</v>
      </c>
      <c r="H24" s="138"/>
      <c r="I24" s="396"/>
      <c r="J24" s="138">
        <f>SUM(F24,D24,B24,'- 12 -'!J24,'- 12 -'!H24,'- 12 -'!F24,'- 12 -'!D24,'- 12 -'!B24)</f>
        <v>23450663</v>
      </c>
      <c r="K24" s="396">
        <f t="shared" ref="K24:K39" si="4">J24/$J$53*100</f>
        <v>1.2162452953824245</v>
      </c>
      <c r="M24" s="1" t="s">
        <v>64</v>
      </c>
      <c r="N24" s="149">
        <f>'- 12 -'!E50/100</f>
        <v>0.18973145774753328</v>
      </c>
      <c r="O24" s="1" t="s">
        <v>478</v>
      </c>
    </row>
    <row r="25" spans="1:15">
      <c r="A25" s="139" t="s">
        <v>331</v>
      </c>
      <c r="B25" s="140">
        <v>130985</v>
      </c>
      <c r="C25" s="397">
        <f t="shared" si="1"/>
        <v>6.7934066519000722E-3</v>
      </c>
      <c r="D25" s="140">
        <v>239424</v>
      </c>
      <c r="E25" s="397">
        <f t="shared" si="2"/>
        <v>1.2417487454475878E-2</v>
      </c>
      <c r="F25" s="140">
        <v>758456</v>
      </c>
      <c r="G25" s="397">
        <f t="shared" si="3"/>
        <v>3.9336565527148301E-2</v>
      </c>
      <c r="H25" s="140"/>
      <c r="I25" s="397"/>
      <c r="J25" s="140">
        <f>SUM(F25,D25,B25,'- 12 -'!J25,'- 12 -'!H25,'- 12 -'!F25,'- 12 -'!D25,'- 12 -'!B25)</f>
        <v>6996459</v>
      </c>
      <c r="K25" s="397">
        <f t="shared" si="4"/>
        <v>0.36286438226015283</v>
      </c>
      <c r="M25" s="1" t="s">
        <v>220</v>
      </c>
      <c r="N25" s="149">
        <f>'- 12 -'!G50/100</f>
        <v>4.5871798350193976E-3</v>
      </c>
      <c r="O25" s="1" t="s">
        <v>220</v>
      </c>
    </row>
    <row r="26" spans="1:15">
      <c r="A26" s="139" t="s">
        <v>332</v>
      </c>
      <c r="B26" s="140"/>
      <c r="C26" s="397">
        <f t="shared" si="1"/>
        <v>0</v>
      </c>
      <c r="D26" s="140"/>
      <c r="E26" s="397">
        <f t="shared" si="2"/>
        <v>0</v>
      </c>
      <c r="F26" s="140">
        <v>38127889</v>
      </c>
      <c r="G26" s="397">
        <f t="shared" si="3"/>
        <v>1.9774650132114941</v>
      </c>
      <c r="H26" s="140"/>
      <c r="I26" s="397"/>
      <c r="J26" s="140">
        <f>SUM(F26,D26,B26,'- 12 -'!J26,'- 12 -'!H26,'- 12 -'!F26,'- 12 -'!D26,'- 12 -'!B26)</f>
        <v>38171253</v>
      </c>
      <c r="K26" s="397">
        <f t="shared" si="4"/>
        <v>1.9797140439100704</v>
      </c>
      <c r="L26" s="695" t="s">
        <v>223</v>
      </c>
      <c r="M26" s="1" t="s">
        <v>65</v>
      </c>
      <c r="N26" s="149">
        <f>'- 12 -'!I50/100</f>
        <v>1.0069135631033628E-2</v>
      </c>
      <c r="O26" s="1" t="s">
        <v>65</v>
      </c>
    </row>
    <row r="27" spans="1:15" ht="12.75" customHeight="1">
      <c r="A27" s="139" t="s">
        <v>355</v>
      </c>
      <c r="B27" s="140">
        <v>830476</v>
      </c>
      <c r="C27" s="397">
        <f t="shared" si="1"/>
        <v>4.3071811143591737E-2</v>
      </c>
      <c r="D27" s="140">
        <v>817813</v>
      </c>
      <c r="E27" s="397">
        <f t="shared" si="2"/>
        <v>4.2415057252436182E-2</v>
      </c>
      <c r="F27" s="140">
        <v>787828</v>
      </c>
      <c r="G27" s="397">
        <f t="shared" si="3"/>
        <v>4.085991507236042E-2</v>
      </c>
      <c r="H27" s="140"/>
      <c r="I27" s="397"/>
      <c r="J27" s="140">
        <f>SUM(F27,D27,B27,'- 12 -'!J27,'- 12 -'!H27,'- 12 -'!F27,'- 12 -'!D27,'- 12 -'!B27)</f>
        <v>10011105</v>
      </c>
      <c r="K27" s="397">
        <f t="shared" si="4"/>
        <v>0.51921599648715555</v>
      </c>
      <c r="L27" s="696"/>
      <c r="M27" s="1" t="s">
        <v>194</v>
      </c>
      <c r="N27" s="149">
        <f>'- 12 -'!K50/100</f>
        <v>3.4709725806396634E-2</v>
      </c>
      <c r="O27" s="1" t="s">
        <v>194</v>
      </c>
    </row>
    <row r="28" spans="1:15" ht="12.75" customHeight="1">
      <c r="A28" s="139" t="s">
        <v>333</v>
      </c>
      <c r="B28" s="140"/>
      <c r="C28" s="397">
        <f t="shared" si="1"/>
        <v>0</v>
      </c>
      <c r="D28" s="140">
        <v>18494248</v>
      </c>
      <c r="E28" s="397">
        <f t="shared" si="2"/>
        <v>0.95918576466839411</v>
      </c>
      <c r="F28" s="140"/>
      <c r="G28" s="397">
        <f t="shared" si="3"/>
        <v>0</v>
      </c>
      <c r="H28" s="140"/>
      <c r="I28" s="397"/>
      <c r="J28" s="140">
        <f>SUM(F28,D28,B28,'- 12 -'!J28,'- 12 -'!H28,'- 12 -'!F28,'- 12 -'!D28,'- 12 -'!B28)</f>
        <v>18494248</v>
      </c>
      <c r="K28" s="397">
        <f t="shared" si="4"/>
        <v>0.95918576466839411</v>
      </c>
      <c r="L28" s="696"/>
      <c r="M28" s="1" t="s">
        <v>192</v>
      </c>
      <c r="N28" s="149">
        <f>C53/100</f>
        <v>3.574501017292743E-2</v>
      </c>
      <c r="O28" s="1" t="s">
        <v>192</v>
      </c>
    </row>
    <row r="29" spans="1:15" ht="12.75" customHeight="1">
      <c r="A29" s="139" t="s">
        <v>334</v>
      </c>
      <c r="B29" s="140">
        <v>1052</v>
      </c>
      <c r="C29" s="397">
        <f t="shared" si="1"/>
        <v>5.4560932914447265E-5</v>
      </c>
      <c r="D29" s="140"/>
      <c r="E29" s="397">
        <f t="shared" si="2"/>
        <v>0</v>
      </c>
      <c r="F29" s="140"/>
      <c r="G29" s="397">
        <f t="shared" si="3"/>
        <v>0</v>
      </c>
      <c r="H29" s="140"/>
      <c r="I29" s="397"/>
      <c r="J29" s="140">
        <f>SUM(F29,D29,B29,'- 12 -'!J29,'- 12 -'!H29,'- 12 -'!F29,'- 12 -'!D29,'- 12 -'!B29)</f>
        <v>899301</v>
      </c>
      <c r="K29" s="397">
        <f t="shared" si="4"/>
        <v>4.664135126510964E-2</v>
      </c>
      <c r="M29" s="1" t="s">
        <v>172</v>
      </c>
      <c r="N29" s="149">
        <f>E53/100</f>
        <v>4.2344132707407819E-2</v>
      </c>
      <c r="O29" s="1" t="s">
        <v>172</v>
      </c>
    </row>
    <row r="30" spans="1:15" ht="12.75" customHeight="1">
      <c r="A30" s="139" t="s">
        <v>335</v>
      </c>
      <c r="B30" s="140">
        <v>72964</v>
      </c>
      <c r="C30" s="397">
        <f t="shared" si="1"/>
        <v>3.7842052368533561E-3</v>
      </c>
      <c r="D30" s="140">
        <v>6013</v>
      </c>
      <c r="E30" s="397">
        <f t="shared" si="2"/>
        <v>3.1185826008989681E-4</v>
      </c>
      <c r="F30" s="140">
        <v>2810</v>
      </c>
      <c r="G30" s="397">
        <f t="shared" si="3"/>
        <v>1.4573785312699318E-4</v>
      </c>
      <c r="H30" s="140"/>
      <c r="I30" s="397"/>
      <c r="J30" s="140">
        <f>SUM(F30,D30,B30,'- 12 -'!J30,'- 12 -'!H30,'- 12 -'!F30,'- 12 -'!D30,'- 12 -'!B30)</f>
        <v>931810</v>
      </c>
      <c r="K30" s="397">
        <f t="shared" si="4"/>
        <v>4.8327398192976337E-2</v>
      </c>
      <c r="M30" s="1" t="s">
        <v>191</v>
      </c>
      <c r="N30" s="149">
        <f>G53/100</f>
        <v>0.11315837233335334</v>
      </c>
      <c r="O30" s="1" t="s">
        <v>191</v>
      </c>
    </row>
    <row r="31" spans="1:15" ht="12.75" customHeight="1">
      <c r="A31" s="139" t="s">
        <v>336</v>
      </c>
      <c r="B31" s="140">
        <v>68610</v>
      </c>
      <c r="C31" s="397">
        <f t="shared" si="1"/>
        <v>3.5583893605135235E-3</v>
      </c>
      <c r="D31" s="140">
        <v>906400</v>
      </c>
      <c r="E31" s="397">
        <f t="shared" si="2"/>
        <v>4.7009533834272824E-2</v>
      </c>
      <c r="F31" s="140">
        <v>6285627</v>
      </c>
      <c r="G31" s="397">
        <f t="shared" si="3"/>
        <v>0.32599778809148139</v>
      </c>
      <c r="H31" s="140"/>
      <c r="I31" s="397"/>
      <c r="J31" s="140">
        <f>SUM(F31,D31,B31,'- 12 -'!J31,'- 12 -'!H31,'- 12 -'!F31,'- 12 -'!D31,'- 12 -'!B31)</f>
        <v>8638820</v>
      </c>
      <c r="K31" s="397">
        <f t="shared" si="4"/>
        <v>0.44804380083648798</v>
      </c>
      <c r="M31" s="1" t="s">
        <v>68</v>
      </c>
      <c r="N31" s="149">
        <f>I53/100</f>
        <v>1.7683157385008669E-2</v>
      </c>
      <c r="O31" s="1" t="s">
        <v>68</v>
      </c>
    </row>
    <row r="32" spans="1:15">
      <c r="A32" s="139" t="s">
        <v>337</v>
      </c>
      <c r="B32" s="140">
        <v>105321</v>
      </c>
      <c r="C32" s="397">
        <f t="shared" si="1"/>
        <v>5.4623688360099822E-3</v>
      </c>
      <c r="D32" s="140">
        <v>1659801</v>
      </c>
      <c r="E32" s="397">
        <f t="shared" si="2"/>
        <v>8.608392681780655E-2</v>
      </c>
      <c r="F32" s="140">
        <v>24007751</v>
      </c>
      <c r="G32" s="397">
        <f t="shared" si="3"/>
        <v>1.2451381100168766</v>
      </c>
      <c r="H32" s="140"/>
      <c r="I32" s="397"/>
      <c r="J32" s="140">
        <f>SUM(F32,D32,B32,'- 12 -'!J32,'- 12 -'!H32,'- 12 -'!F32,'- 12 -'!D32,'- 12 -'!B32)</f>
        <v>28759517</v>
      </c>
      <c r="K32" s="397">
        <f t="shared" si="4"/>
        <v>1.4915837240388838</v>
      </c>
      <c r="N32" s="149"/>
    </row>
    <row r="33" spans="1:14">
      <c r="A33" s="139" t="s">
        <v>338</v>
      </c>
      <c r="B33" s="140">
        <v>158076</v>
      </c>
      <c r="C33" s="397">
        <f t="shared" si="1"/>
        <v>8.1984544024564319E-3</v>
      </c>
      <c r="D33" s="140">
        <v>725332</v>
      </c>
      <c r="E33" s="397">
        <f t="shared" si="2"/>
        <v>3.7618622236408619E-2</v>
      </c>
      <c r="F33" s="140">
        <v>2764414</v>
      </c>
      <c r="G33" s="397">
        <f t="shared" si="3"/>
        <v>0.14337358061003691</v>
      </c>
      <c r="H33" s="140"/>
      <c r="I33" s="397"/>
      <c r="J33" s="140">
        <f>SUM(F33,D33,B33,'- 12 -'!J33,'- 12 -'!H33,'- 12 -'!F33,'- 12 -'!D33,'- 12 -'!B33)</f>
        <v>6964660</v>
      </c>
      <c r="K33" s="397">
        <f t="shared" si="4"/>
        <v>0.36121515877560295</v>
      </c>
      <c r="N33" s="149">
        <f>SUM(N23:N31)</f>
        <v>1</v>
      </c>
    </row>
    <row r="34" spans="1:14">
      <c r="A34" s="479" t="s">
        <v>432</v>
      </c>
      <c r="B34" s="140"/>
      <c r="C34" s="397">
        <f t="shared" si="1"/>
        <v>0</v>
      </c>
      <c r="D34" s="140"/>
      <c r="E34" s="397">
        <f t="shared" si="2"/>
        <v>0</v>
      </c>
      <c r="F34" s="140">
        <v>4406641</v>
      </c>
      <c r="G34" s="397">
        <f t="shared" si="3"/>
        <v>0.22854604940974604</v>
      </c>
      <c r="H34" s="140"/>
      <c r="I34" s="397"/>
      <c r="J34" s="140">
        <f>SUM(F34,D34,B34,'- 12 -'!J34,'- 12 -'!H34,'- 12 -'!F34,'- 12 -'!D34,'- 12 -'!B34)</f>
        <v>4408923</v>
      </c>
      <c r="K34" s="397">
        <f t="shared" si="4"/>
        <v>0.22866440306840646</v>
      </c>
    </row>
    <row r="35" spans="1:14">
      <c r="A35" s="139" t="s">
        <v>339</v>
      </c>
      <c r="B35" s="140">
        <v>20933</v>
      </c>
      <c r="C35" s="397">
        <f>B35/J53</f>
        <v>1.0856692097890919E-5</v>
      </c>
      <c r="D35" s="140">
        <v>39801</v>
      </c>
      <c r="E35" s="397">
        <f>D35/J53</f>
        <v>2.0642392499314788E-5</v>
      </c>
      <c r="F35" s="140">
        <v>80333</v>
      </c>
      <c r="G35" s="397">
        <f>F35/J53</f>
        <v>4.1663910872778446E-5</v>
      </c>
      <c r="H35" s="140"/>
      <c r="I35" s="397"/>
      <c r="J35" s="140">
        <f>SUM(F35,D35,B35,'- 12 -'!J35,'- 12 -'!H35,'- 12 -'!F35,'- 12 -'!D35,'- 12 -'!B35)</f>
        <v>1171740</v>
      </c>
      <c r="K35" s="397">
        <f t="shared" si="4"/>
        <v>6.077112883381601E-2</v>
      </c>
    </row>
    <row r="36" spans="1:14">
      <c r="A36" s="139" t="s">
        <v>340</v>
      </c>
      <c r="B36" s="140">
        <v>176626</v>
      </c>
      <c r="C36" s="397">
        <f>B36/$J$53*100</f>
        <v>9.1605316891132729E-3</v>
      </c>
      <c r="D36" s="140">
        <v>42216</v>
      </c>
      <c r="E36" s="397">
        <f>D36/$J$53*100</f>
        <v>2.1894908212132186E-3</v>
      </c>
      <c r="F36" s="140">
        <v>78033</v>
      </c>
      <c r="G36" s="397">
        <f>F36/$J$53*100</f>
        <v>4.0471038765333301E-3</v>
      </c>
      <c r="H36" s="140"/>
      <c r="I36" s="397"/>
      <c r="J36" s="140">
        <f>SUM(F36,D36,B36,'- 12 -'!J36,'- 12 -'!H36,'- 12 -'!F36,'- 12 -'!D36,'- 12 -'!B36)</f>
        <v>3400269</v>
      </c>
      <c r="K36" s="397">
        <f t="shared" si="4"/>
        <v>0.17635156730045123</v>
      </c>
    </row>
    <row r="37" spans="1:14">
      <c r="A37" s="144" t="s">
        <v>341</v>
      </c>
      <c r="B37" s="140">
        <v>8024535</v>
      </c>
      <c r="C37" s="397">
        <f>B37/'- 13 -'!$J$53*100</f>
        <v>0.41618452072683848</v>
      </c>
      <c r="D37" s="140">
        <v>212897</v>
      </c>
      <c r="E37" s="397">
        <f>D37/'- 13 -'!$J$53*100</f>
        <v>1.1041691002554258E-2</v>
      </c>
      <c r="F37" s="140">
        <v>173409</v>
      </c>
      <c r="G37" s="397">
        <f>F37/'- 13 -'!$J$53*100</f>
        <v>8.9936851860849681E-3</v>
      </c>
      <c r="H37" s="140"/>
      <c r="I37" s="397"/>
      <c r="J37" s="140">
        <f>SUM(F37,D37,B37,'- 12 -'!J37,'- 12 -'!H37,'- 12 -'!F37,'- 12 -'!D37,'- 12 -'!B37)</f>
        <v>10252524</v>
      </c>
      <c r="K37" s="397">
        <f t="shared" si="4"/>
        <v>0.53173695263095111</v>
      </c>
    </row>
    <row r="38" spans="1:14">
      <c r="A38" s="145" t="s">
        <v>342</v>
      </c>
      <c r="B38" s="140">
        <v>398584</v>
      </c>
      <c r="C38" s="397">
        <f>B38/$J$53*100</f>
        <v>2.0672162437996248E-2</v>
      </c>
      <c r="D38" s="140">
        <v>84259</v>
      </c>
      <c r="E38" s="397">
        <f>D38/$J$53*100</f>
        <v>4.3700091696182624E-3</v>
      </c>
      <c r="F38" s="140">
        <v>152608</v>
      </c>
      <c r="G38" s="397">
        <f>F38/$J$53*100</f>
        <v>7.9148620249125182E-3</v>
      </c>
      <c r="H38" s="140"/>
      <c r="I38" s="397"/>
      <c r="J38" s="140">
        <f>SUM(F38,D38,B38,'- 12 -'!J38,'- 12 -'!H38,'- 12 -'!F38,'- 12 -'!D38,'- 12 -'!B38)</f>
        <v>8445860</v>
      </c>
      <c r="K38" s="397">
        <f t="shared" si="4"/>
        <v>0.43803612249506996</v>
      </c>
    </row>
    <row r="39" spans="1:14">
      <c r="A39" s="143" t="s">
        <v>343</v>
      </c>
      <c r="B39" s="399">
        <f>SUM(B24:B38)</f>
        <v>11800894</v>
      </c>
      <c r="C39" s="400">
        <f>B39/$J$53*100</f>
        <v>0.61204162154420461</v>
      </c>
      <c r="D39" s="399">
        <f>SUM(D24:D38)</f>
        <v>23457207</v>
      </c>
      <c r="E39" s="400">
        <f>D39/$J$53*100</f>
        <v>1.2165846934289952</v>
      </c>
      <c r="F39" s="399">
        <f>SUM(F24:F38)</f>
        <v>81851022</v>
      </c>
      <c r="G39" s="400">
        <f>F39/$J$53*100</f>
        <v>4.245121787377327</v>
      </c>
      <c r="H39" s="399"/>
      <c r="I39" s="400"/>
      <c r="J39" s="399">
        <f>SUM(F39,D39,B39,'- 12 -'!J39,'- 12 -'!H39,'- 12 -'!F39,'- 12 -'!D39,'- 12 -'!B39)</f>
        <v>170997152</v>
      </c>
      <c r="K39" s="400">
        <f t="shared" si="4"/>
        <v>8.8685970901459541</v>
      </c>
    </row>
    <row r="40" spans="1:14">
      <c r="A40" s="363" t="s">
        <v>344</v>
      </c>
      <c r="B40" s="146"/>
      <c r="C40" s="398"/>
      <c r="D40" s="146"/>
      <c r="E40" s="398"/>
      <c r="F40" s="146"/>
      <c r="G40" s="398"/>
      <c r="H40" s="146"/>
      <c r="I40" s="398"/>
      <c r="J40" s="146"/>
      <c r="K40" s="398"/>
    </row>
    <row r="41" spans="1:14">
      <c r="A41" s="139" t="s">
        <v>345</v>
      </c>
      <c r="B41" s="140">
        <v>3733297</v>
      </c>
      <c r="C41" s="397">
        <f>B41/$J$53*100</f>
        <v>0.1936237330482008</v>
      </c>
      <c r="D41" s="140">
        <v>15867683</v>
      </c>
      <c r="E41" s="397">
        <f>D41/$J$53*100</f>
        <v>0.82296158523832252</v>
      </c>
      <c r="F41" s="140">
        <v>19130442</v>
      </c>
      <c r="G41" s="397">
        <f>F41/$J$53*100</f>
        <v>0.99218133325639202</v>
      </c>
      <c r="H41" s="140"/>
      <c r="I41" s="397"/>
      <c r="J41" s="140">
        <f>SUM(F41,D41,B41,'- 12 -'!J41,'- 12 -'!H41,'- 12 -'!F41,'- 12 -'!D41,'- 12 -'!B41)</f>
        <v>72655047</v>
      </c>
      <c r="K41" s="397">
        <f>J41/$J$53*100</f>
        <v>3.7681816970180733</v>
      </c>
    </row>
    <row r="42" spans="1:14">
      <c r="A42" s="139" t="s">
        <v>346</v>
      </c>
      <c r="B42" s="140">
        <v>3023815</v>
      </c>
      <c r="C42" s="397">
        <f>B42/$J$53*100</f>
        <v>0.15682715528583588</v>
      </c>
      <c r="D42" s="140">
        <v>84122</v>
      </c>
      <c r="E42" s="397">
        <f>D42/$J$53*100</f>
        <v>4.3629038009782633E-3</v>
      </c>
      <c r="F42" s="140">
        <v>39775</v>
      </c>
      <c r="G42" s="397">
        <f>F42/$J$53*100</f>
        <v>2.0628907858100194E-3</v>
      </c>
      <c r="H42" s="140"/>
      <c r="I42" s="397"/>
      <c r="J42" s="140">
        <f>SUM(F42,D42,B42,'- 12 -'!J42,'- 12 -'!H42,'- 12 -'!F42,'- 12 -'!D42,'- 12 -'!B42)</f>
        <v>15591131</v>
      </c>
      <c r="K42" s="397">
        <f>J42/$J$53*100</f>
        <v>0.80861849101840222</v>
      </c>
    </row>
    <row r="43" spans="1:14">
      <c r="A43" s="139" t="s">
        <v>347</v>
      </c>
      <c r="B43" s="140">
        <v>202200</v>
      </c>
      <c r="C43" s="397">
        <f>B43/$J$53*100</f>
        <v>1.0486901744582926E-2</v>
      </c>
      <c r="D43" s="140">
        <v>383516</v>
      </c>
      <c r="E43" s="397">
        <f>D43/$J$53*100</f>
        <v>1.9890675615605664E-2</v>
      </c>
      <c r="F43" s="140">
        <v>2619381</v>
      </c>
      <c r="G43" s="397">
        <f>F43/$J$53*100</f>
        <v>0.1358515884205112</v>
      </c>
      <c r="H43" s="140"/>
      <c r="I43" s="397"/>
      <c r="J43" s="140">
        <f>SUM(F43,D43,B43,'- 12 -'!J43,'- 12 -'!H43,'- 12 -'!F43,'- 12 -'!D43,'- 12 -'!B43)</f>
        <v>14457331</v>
      </c>
      <c r="K43" s="397">
        <f>J43/$J$53*100</f>
        <v>0.74981508252182394</v>
      </c>
    </row>
    <row r="44" spans="1:14">
      <c r="A44" s="145" t="s">
        <v>348</v>
      </c>
      <c r="B44" s="140">
        <v>668942</v>
      </c>
      <c r="C44" s="397">
        <f>B44/$J$53*100</f>
        <v>3.4694011012981162E-2</v>
      </c>
      <c r="D44" s="140">
        <v>47172</v>
      </c>
      <c r="E44" s="397">
        <f>D44/$J$53*100</f>
        <v>2.4465288283653103E-3</v>
      </c>
      <c r="F44" s="140">
        <v>88360</v>
      </c>
      <c r="G44" s="397">
        <f>F44/$J$53*100</f>
        <v>4.5827034527761981E-3</v>
      </c>
      <c r="H44" s="140"/>
      <c r="I44" s="397"/>
      <c r="J44" s="140">
        <f>SUM(F44,D44,B44,'- 12 -'!J44,'- 12 -'!H44,'- 12 -'!F44,'- 12 -'!D44,'- 12 -'!B44)</f>
        <v>20846588</v>
      </c>
      <c r="K44" s="397">
        <f>J44/$J$53*100</f>
        <v>1.0811875374174158</v>
      </c>
    </row>
    <row r="45" spans="1:14">
      <c r="A45" s="143" t="s">
        <v>349</v>
      </c>
      <c r="B45" s="399">
        <f>SUM(B41:B44)</f>
        <v>7628254</v>
      </c>
      <c r="C45" s="400">
        <f>B45/$J$53*100</f>
        <v>0.39563180109160079</v>
      </c>
      <c r="D45" s="399">
        <f>SUM(D41:D44)</f>
        <v>16382493</v>
      </c>
      <c r="E45" s="400">
        <f>D45/$J$53*100</f>
        <v>0.84966169348327181</v>
      </c>
      <c r="F45" s="399">
        <f>SUM(F41:F44)</f>
        <v>21877958</v>
      </c>
      <c r="G45" s="400">
        <f>F45/$J$53*100</f>
        <v>1.1346785159154893</v>
      </c>
      <c r="H45" s="399"/>
      <c r="I45" s="400"/>
      <c r="J45" s="399">
        <f>SUM(F45,D45,B45,'- 12 -'!J45,'- 12 -'!H45,'- 12 -'!F45,'- 12 -'!D45,'- 12 -'!B45)</f>
        <v>123550097</v>
      </c>
      <c r="K45" s="400">
        <f>J45/$J$53*100</f>
        <v>6.407802807975715</v>
      </c>
    </row>
    <row r="46" spans="1:14">
      <c r="A46" s="362" t="s">
        <v>109</v>
      </c>
      <c r="B46" s="146"/>
      <c r="C46" s="398"/>
      <c r="D46" s="146"/>
      <c r="E46" s="398"/>
      <c r="F46" s="146"/>
      <c r="G46" s="398"/>
      <c r="H46" s="146"/>
      <c r="I46" s="398"/>
      <c r="J46" s="146"/>
      <c r="K46" s="398"/>
    </row>
    <row r="47" spans="1:14" ht="13.5">
      <c r="A47" s="290" t="s">
        <v>496</v>
      </c>
      <c r="B47" s="140"/>
      <c r="C47" s="538"/>
      <c r="D47" s="140">
        <v>0</v>
      </c>
      <c r="E47" s="538"/>
      <c r="F47" s="140">
        <v>0</v>
      </c>
      <c r="G47" s="538"/>
      <c r="H47" s="537"/>
      <c r="I47" s="538"/>
      <c r="J47" s="140">
        <f>'- 12 -'!F47+'- 12 -'!J47+'- 13 -'!F47</f>
        <v>0</v>
      </c>
      <c r="K47" s="538"/>
    </row>
    <row r="48" spans="1:14">
      <c r="A48" s="139" t="s">
        <v>350</v>
      </c>
      <c r="B48" s="140"/>
      <c r="C48" s="397"/>
      <c r="D48" s="140"/>
      <c r="E48" s="397"/>
      <c r="F48" s="140"/>
      <c r="G48" s="397"/>
      <c r="H48" s="140">
        <f>'- 10 -'!G22</f>
        <v>1651242</v>
      </c>
      <c r="I48" s="397">
        <f>H48/$J$53*100</f>
        <v>8.5640022801822938E-2</v>
      </c>
      <c r="J48" s="140">
        <f>H48</f>
        <v>1651242</v>
      </c>
      <c r="K48" s="397">
        <f>J48/$J$53*100</f>
        <v>8.5640022801822938E-2</v>
      </c>
    </row>
    <row r="49" spans="1:11">
      <c r="A49" s="144" t="s">
        <v>497</v>
      </c>
      <c r="B49" s="140"/>
      <c r="C49" s="397"/>
      <c r="D49" s="140"/>
      <c r="E49" s="397"/>
      <c r="F49" s="140"/>
      <c r="G49" s="397"/>
      <c r="H49" s="140">
        <f>'- 10 -'!H22</f>
        <v>506096</v>
      </c>
      <c r="I49" s="397">
        <f>H49/$J$53*100</f>
        <v>2.6248165308241547E-2</v>
      </c>
      <c r="J49" s="140">
        <f>H49</f>
        <v>506096</v>
      </c>
      <c r="K49" s="397">
        <f>J49/$J$53*100</f>
        <v>2.6248165308241547E-2</v>
      </c>
    </row>
    <row r="50" spans="1:11">
      <c r="A50" s="139" t="s">
        <v>351</v>
      </c>
      <c r="B50" s="140"/>
      <c r="C50" s="397"/>
      <c r="D50" s="140"/>
      <c r="E50" s="397"/>
      <c r="F50" s="140"/>
      <c r="G50" s="397"/>
      <c r="H50" s="140">
        <f>'- 10 -'!I22</f>
        <v>31937903</v>
      </c>
      <c r="I50" s="397">
        <f>H50/$J$53*100</f>
        <v>1.6564275503908024</v>
      </c>
      <c r="J50" s="140">
        <f>H50</f>
        <v>31937903</v>
      </c>
      <c r="K50" s="397">
        <f>J50/$J$53*100</f>
        <v>1.6564275503908024</v>
      </c>
    </row>
    <row r="51" spans="1:11">
      <c r="A51" s="143" t="s">
        <v>352</v>
      </c>
      <c r="B51" s="399"/>
      <c r="C51" s="400"/>
      <c r="D51" s="399"/>
      <c r="E51" s="400"/>
      <c r="F51" s="399">
        <f>SUM(F47:F50)</f>
        <v>0</v>
      </c>
      <c r="G51" s="400"/>
      <c r="H51" s="399">
        <f>SUM(H48:H50)</f>
        <v>34095241</v>
      </c>
      <c r="I51" s="400">
        <f>H51/$J$53*100</f>
        <v>1.768315738500867</v>
      </c>
      <c r="J51" s="399">
        <f>'- 12 -'!F48+'- 12 -'!J48+'- 13 -'!F51+'- 13 -'!H51</f>
        <v>34095241</v>
      </c>
      <c r="K51" s="400">
        <f>J51/$J$53*100</f>
        <v>1.768315738500867</v>
      </c>
    </row>
    <row r="52" spans="1:11" ht="5.0999999999999996" customHeight="1">
      <c r="A52" s="30"/>
      <c r="B52" s="39"/>
      <c r="C52" s="147"/>
      <c r="D52" s="65"/>
      <c r="E52" s="147"/>
      <c r="F52" s="65"/>
      <c r="G52" s="147"/>
      <c r="H52" s="65"/>
      <c r="I52" s="147"/>
      <c r="J52" s="65"/>
      <c r="K52" s="147"/>
    </row>
    <row r="53" spans="1:11">
      <c r="A53" s="364" t="s">
        <v>353</v>
      </c>
      <c r="B53" s="401">
        <f>SUM(B51,B45,B39,B22,B21)</f>
        <v>68920652</v>
      </c>
      <c r="C53" s="402">
        <f>B53/$J$53*100</f>
        <v>3.5745010172927429</v>
      </c>
      <c r="D53" s="401">
        <f>SUM(D51,D45,D39,D22,D21)</f>
        <v>81644549</v>
      </c>
      <c r="E53" s="402">
        <f>D53/$J$53*100</f>
        <v>4.2344132707407818</v>
      </c>
      <c r="F53" s="401">
        <f>SUM(F51,F45,F39,F22,F21)</f>
        <v>218182867</v>
      </c>
      <c r="G53" s="402">
        <f>F53/$J$53*100</f>
        <v>11.315837233335333</v>
      </c>
      <c r="H53" s="401">
        <f>SUM(H51,H45,H39,H22,H21)</f>
        <v>34095241</v>
      </c>
      <c r="I53" s="402">
        <f>H53/$J$53*100</f>
        <v>1.768315738500867</v>
      </c>
      <c r="J53" s="401">
        <f>SUM(J51,J45,J39,J22,J21)</f>
        <v>1928119524</v>
      </c>
      <c r="K53" s="402">
        <f>J53/$J$53*100</f>
        <v>100</v>
      </c>
    </row>
    <row r="54" spans="1:11" ht="20.100000000000001" customHeight="1">
      <c r="A54" s="150"/>
      <c r="B54" s="1">
        <f>+B53-'- 16 -'!G48</f>
        <v>0</v>
      </c>
      <c r="D54" s="1">
        <f>+D53-'- 17 -'!B48</f>
        <v>0</v>
      </c>
      <c r="F54" s="1">
        <f>+F53-'- 17 -'!E48</f>
        <v>0</v>
      </c>
      <c r="H54" s="1">
        <f>+H53-'- 17 -'!H48</f>
        <v>0</v>
      </c>
      <c r="J54" s="1">
        <f>+J53-'- 3 -'!D48</f>
        <v>0</v>
      </c>
    </row>
  </sheetData>
  <mergeCells count="1">
    <mergeCell ref="L26:L28"/>
  </mergeCells>
  <phoneticPr fontId="6" type="noConversion"/>
  <printOptions verticalCentered="1"/>
  <pageMargins left="0.51181102362204722" right="0" top="0.59055118110236227" bottom="0.19685039370078741" header="0.31496062992125984" footer="0.51181102362204722"/>
  <pageSetup scale="91"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pageSetUpPr fitToPage="1"/>
  </sheetPr>
  <dimension ref="A1:I52"/>
  <sheetViews>
    <sheetView showGridLines="0" showZeros="0" workbookViewId="0"/>
  </sheetViews>
  <sheetFormatPr defaultColWidth="15.83203125" defaultRowHeight="12"/>
  <cols>
    <col min="1" max="1" width="32.83203125" style="1" customWidth="1"/>
    <col min="2" max="2" width="17.83203125" style="1" customWidth="1"/>
    <col min="3" max="3" width="8.83203125" style="1" customWidth="1"/>
    <col min="4" max="4" width="9.83203125" style="1" customWidth="1"/>
    <col min="5" max="5" width="17.83203125" style="1" customWidth="1"/>
    <col min="6" max="6" width="8.83203125" style="1" customWidth="1"/>
    <col min="7" max="7" width="9.83203125" style="1" customWidth="1"/>
    <col min="8" max="8" width="17.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52"/>
      <c r="B2" s="8" t="s">
        <v>481</v>
      </c>
      <c r="C2" s="9"/>
      <c r="D2" s="9"/>
      <c r="E2" s="9"/>
      <c r="F2" s="9"/>
      <c r="G2" s="9"/>
      <c r="H2" s="82"/>
      <c r="I2" s="153" t="s">
        <v>17</v>
      </c>
    </row>
    <row r="3" spans="1:9" ht="15.95" customHeight="1">
      <c r="A3" s="154"/>
      <c r="B3" s="10" t="str">
        <f>OPYEAR</f>
        <v>OPERATING FUND 2011/2012 ACTUAL</v>
      </c>
      <c r="C3" s="11"/>
      <c r="D3" s="11"/>
      <c r="E3" s="11"/>
      <c r="F3" s="11"/>
      <c r="G3" s="11"/>
      <c r="H3" s="84"/>
      <c r="I3" s="74"/>
    </row>
    <row r="4" spans="1:9" ht="15.95" customHeight="1">
      <c r="B4" s="7"/>
      <c r="C4" s="7"/>
      <c r="D4" s="7"/>
      <c r="E4" s="7"/>
      <c r="F4" s="7"/>
      <c r="G4" s="7"/>
      <c r="H4" s="7"/>
      <c r="I4" s="7"/>
    </row>
    <row r="5" spans="1:9" ht="15.95" customHeight="1">
      <c r="B5" s="7"/>
      <c r="C5" s="7"/>
      <c r="D5" s="7"/>
      <c r="E5" s="7"/>
      <c r="F5" s="7"/>
      <c r="G5" s="7"/>
      <c r="H5" s="7"/>
      <c r="I5" s="7"/>
    </row>
    <row r="6" spans="1:9" ht="15.95" customHeight="1">
      <c r="B6" s="367"/>
      <c r="C6" s="361"/>
      <c r="D6" s="359"/>
      <c r="E6" s="358" t="s">
        <v>434</v>
      </c>
      <c r="F6" s="361"/>
      <c r="G6" s="359"/>
      <c r="H6" s="358" t="s">
        <v>219</v>
      </c>
      <c r="I6" s="359"/>
    </row>
    <row r="7" spans="1:9" ht="15.95" customHeight="1">
      <c r="B7" s="344" t="s">
        <v>63</v>
      </c>
      <c r="C7" s="345"/>
      <c r="D7" s="346"/>
      <c r="E7" s="344" t="s">
        <v>154</v>
      </c>
      <c r="F7" s="345"/>
      <c r="G7" s="346"/>
      <c r="H7" s="344" t="s">
        <v>320</v>
      </c>
      <c r="I7" s="346"/>
    </row>
    <row r="8" spans="1:9" ht="15.95" customHeight="1">
      <c r="A8" s="75"/>
      <c r="B8" s="155" t="s">
        <v>18</v>
      </c>
      <c r="C8" s="156"/>
      <c r="D8" s="157" t="s">
        <v>75</v>
      </c>
      <c r="E8" s="155"/>
      <c r="F8" s="157"/>
      <c r="G8" s="157" t="s">
        <v>75</v>
      </c>
      <c r="H8" s="155"/>
      <c r="I8" s="157"/>
    </row>
    <row r="9" spans="1:9" ht="15.95" customHeight="1">
      <c r="A9" s="42" t="s">
        <v>95</v>
      </c>
      <c r="B9" s="87" t="s">
        <v>96</v>
      </c>
      <c r="C9" s="87" t="s">
        <v>97</v>
      </c>
      <c r="D9" s="87" t="s">
        <v>98</v>
      </c>
      <c r="E9" s="87" t="s">
        <v>96</v>
      </c>
      <c r="F9" s="87" t="s">
        <v>97</v>
      </c>
      <c r="G9" s="87" t="s">
        <v>98</v>
      </c>
      <c r="H9" s="87" t="s">
        <v>96</v>
      </c>
      <c r="I9" s="87" t="s">
        <v>97</v>
      </c>
    </row>
    <row r="10" spans="1:9" ht="5.0999999999999996" customHeight="1">
      <c r="A10" s="5"/>
    </row>
    <row r="11" spans="1:9" ht="14.1" customHeight="1">
      <c r="A11" s="330" t="s">
        <v>238</v>
      </c>
      <c r="B11" s="331">
        <f>SUM('- 18 -'!B11,'- 18 -'!E11,'- 19 -'!B11,'- 19 -'!E11,'- 19 -'!H11,'- 20 -'!B11)</f>
        <v>9181898</v>
      </c>
      <c r="C11" s="337">
        <f>B11/'- 3 -'!D11*100</f>
        <v>61.001243357603663</v>
      </c>
      <c r="D11" s="331">
        <f>B11/'- 7 -'!C11</f>
        <v>6409.7019197207683</v>
      </c>
      <c r="E11" s="331">
        <f>SUM('- 21 -'!B11,'- 21 -'!E11,'- 21 -'!H11,'- 22 -'!B11,'- 22 -'!D11,'- 22 -'!G11,'- 23 -'!B11)</f>
        <v>2068711</v>
      </c>
      <c r="F11" s="337">
        <f>E11/'- 3 -'!D11*100</f>
        <v>13.743775322656779</v>
      </c>
      <c r="G11" s="331">
        <f>E11/'- 7 -'!E11</f>
        <v>1444.126352530541</v>
      </c>
      <c r="H11" s="331">
        <f>SUM('- 24 -'!D11,'- 24 -'!B11)</f>
        <v>0</v>
      </c>
      <c r="I11" s="337">
        <f>H11/'- 3 -'!D11*100</f>
        <v>0</v>
      </c>
    </row>
    <row r="12" spans="1:9" ht="14.1" customHeight="1">
      <c r="A12" s="26" t="s">
        <v>239</v>
      </c>
      <c r="B12" s="27">
        <f>SUM('- 18 -'!B12,'- 18 -'!E12,'- 19 -'!B12,'- 19 -'!E12,'- 19 -'!H12,'- 20 -'!B12)</f>
        <v>16415496</v>
      </c>
      <c r="C12" s="79">
        <f>B12/'- 3 -'!D12*100</f>
        <v>57.403534901833311</v>
      </c>
      <c r="D12" s="27">
        <f>B12/'- 7 -'!C12</f>
        <v>7017.2084195407224</v>
      </c>
      <c r="E12" s="27">
        <f>SUM('- 21 -'!B12,'- 21 -'!E12,'- 21 -'!H12,'- 22 -'!B12,'- 22 -'!D12,'- 22 -'!G12,'- 23 -'!B12)</f>
        <v>4327559</v>
      </c>
      <c r="F12" s="79">
        <f>E12/'- 3 -'!D12*100</f>
        <v>15.133090349279902</v>
      </c>
      <c r="G12" s="27">
        <f>E12/'- 7 -'!E12</f>
        <v>1849.9217721389125</v>
      </c>
      <c r="H12" s="27">
        <f>SUM('- 24 -'!D12,'- 24 -'!B12)</f>
        <v>553092</v>
      </c>
      <c r="I12" s="79">
        <f>H12/'- 3 -'!D12*100</f>
        <v>1.9341137134037734</v>
      </c>
    </row>
    <row r="13" spans="1:9" ht="14.1" customHeight="1">
      <c r="A13" s="330" t="s">
        <v>240</v>
      </c>
      <c r="B13" s="331">
        <f>SUM('- 18 -'!B13,'- 18 -'!E13,'- 19 -'!B13,'- 19 -'!E13,'- 19 -'!H13,'- 20 -'!B13)</f>
        <v>43622806</v>
      </c>
      <c r="C13" s="337">
        <f>B13/'- 3 -'!D13*100</f>
        <v>59.378608665474161</v>
      </c>
      <c r="D13" s="331">
        <f>B13/'- 7 -'!C13</f>
        <v>5733.0537521356291</v>
      </c>
      <c r="E13" s="331">
        <f>SUM('- 21 -'!B13,'- 21 -'!E13,'- 21 -'!H13,'- 22 -'!B13,'- 22 -'!D13,'- 22 -'!G13,'- 23 -'!B13)</f>
        <v>16084108</v>
      </c>
      <c r="F13" s="337">
        <f>E13/'- 3 -'!D13*100</f>
        <v>21.893409485515956</v>
      </c>
      <c r="G13" s="331">
        <f>E13/'- 7 -'!E13</f>
        <v>2113.8267840714943</v>
      </c>
      <c r="H13" s="331">
        <f>SUM('- 24 -'!D13,'- 24 -'!B13)</f>
        <v>0</v>
      </c>
      <c r="I13" s="337">
        <f>H13/'- 3 -'!D13*100</f>
        <v>0</v>
      </c>
    </row>
    <row r="14" spans="1:9" ht="14.1" customHeight="1">
      <c r="A14" s="26" t="s">
        <v>653</v>
      </c>
      <c r="B14" s="27">
        <f>SUM('- 18 -'!B14,'- 18 -'!E14,'- 19 -'!B14,'- 19 -'!E14,'- 19 -'!H14,'- 20 -'!B14)</f>
        <v>36779646</v>
      </c>
      <c r="C14" s="79">
        <f>B14/'- 3 -'!D14*100</f>
        <v>55.321734328696934</v>
      </c>
      <c r="D14" s="27">
        <f>B14/'- 7 -'!C14</f>
        <v>7427.2306138933764</v>
      </c>
      <c r="E14" s="27">
        <f>SUM('- 21 -'!B14,'- 21 -'!E14,'- 21 -'!H14,'- 22 -'!B14,'- 22 -'!D14,'- 22 -'!G14,'- 23 -'!B14)</f>
        <v>8677420</v>
      </c>
      <c r="F14" s="79">
        <f>E14/'- 3 -'!D14*100</f>
        <v>13.052053951213161</v>
      </c>
      <c r="G14" s="27">
        <f>E14/'- 7 -'!E14</f>
        <v>1752.306138933764</v>
      </c>
      <c r="H14" s="27">
        <f>SUM('- 24 -'!D14,'- 24 -'!B14)</f>
        <v>237201</v>
      </c>
      <c r="I14" s="79">
        <f>H14/'- 3 -'!D14*100</f>
        <v>0.35678349662477016</v>
      </c>
    </row>
    <row r="15" spans="1:9" ht="14.1" customHeight="1">
      <c r="A15" s="330" t="s">
        <v>241</v>
      </c>
      <c r="B15" s="331">
        <f>SUM('- 18 -'!B15,'- 18 -'!E15,'- 19 -'!B15,'- 19 -'!E15,'- 19 -'!H15,'- 20 -'!B15)</f>
        <v>9813802</v>
      </c>
      <c r="C15" s="337">
        <f>B15/'- 3 -'!D15*100</f>
        <v>53.615939213792217</v>
      </c>
      <c r="D15" s="331">
        <f>B15/'- 7 -'!C15</f>
        <v>6401.6973255055445</v>
      </c>
      <c r="E15" s="331">
        <f>SUM('- 21 -'!B15,'- 21 -'!E15,'- 21 -'!H15,'- 22 -'!B15,'- 22 -'!D15,'- 22 -'!G15,'- 23 -'!B15)</f>
        <v>3131150</v>
      </c>
      <c r="F15" s="337">
        <f>E15/'- 3 -'!D15*100</f>
        <v>17.106473930212317</v>
      </c>
      <c r="G15" s="331">
        <f>E15/'- 7 -'!E15</f>
        <v>2042.498369210698</v>
      </c>
      <c r="H15" s="331">
        <f>SUM('- 24 -'!D15,'- 24 -'!B15)</f>
        <v>0</v>
      </c>
      <c r="I15" s="337">
        <f>H15/'- 3 -'!D15*100</f>
        <v>0</v>
      </c>
    </row>
    <row r="16" spans="1:9" ht="14.1" customHeight="1">
      <c r="A16" s="26" t="s">
        <v>242</v>
      </c>
      <c r="B16" s="27">
        <f>SUM('- 18 -'!B16,'- 18 -'!E16,'- 19 -'!B16,'- 19 -'!E16,'- 19 -'!H16,'- 20 -'!B16)</f>
        <v>6754414</v>
      </c>
      <c r="C16" s="79">
        <f>B16/'- 3 -'!D16*100</f>
        <v>53.613285373788855</v>
      </c>
      <c r="D16" s="27">
        <f>B16/'- 7 -'!C16</f>
        <v>6826.0879231935323</v>
      </c>
      <c r="E16" s="27">
        <f>SUM('- 21 -'!B16,'- 21 -'!E16,'- 21 -'!H16,'- 22 -'!B16,'- 22 -'!D16,'- 22 -'!G16,'- 23 -'!B16)</f>
        <v>2281344</v>
      </c>
      <c r="F16" s="79">
        <f>E16/'- 3 -'!D16*100</f>
        <v>18.108209965776595</v>
      </c>
      <c r="G16" s="27">
        <f>E16/'- 7 -'!E16</f>
        <v>2305.5522991409803</v>
      </c>
      <c r="H16" s="27">
        <f>SUM('- 24 -'!D16,'- 24 -'!B16)</f>
        <v>92300</v>
      </c>
      <c r="I16" s="79">
        <f>H16/'- 3 -'!D16*100</f>
        <v>0.73263294787685673</v>
      </c>
    </row>
    <row r="17" spans="1:9" ht="14.1" customHeight="1">
      <c r="A17" s="330" t="s">
        <v>243</v>
      </c>
      <c r="B17" s="331">
        <f>SUM('- 18 -'!B17,'- 18 -'!E17,'- 19 -'!B17,'- 19 -'!E17,'- 19 -'!H17,'- 20 -'!B17)</f>
        <v>8950982</v>
      </c>
      <c r="C17" s="337">
        <f>B17/'- 3 -'!D17*100</f>
        <v>56.225697224231432</v>
      </c>
      <c r="D17" s="331">
        <f>B17/'- 7 -'!C17</f>
        <v>6768.2283553875241</v>
      </c>
      <c r="E17" s="331">
        <f>SUM('- 21 -'!B17,'- 21 -'!E17,'- 21 -'!H17,'- 22 -'!B17,'- 22 -'!D17,'- 22 -'!G17,'- 23 -'!B17)</f>
        <v>2211530</v>
      </c>
      <c r="F17" s="337">
        <f>E17/'- 3 -'!D17*100</f>
        <v>13.891751338825678</v>
      </c>
      <c r="G17" s="331">
        <f>E17/'- 7 -'!E17</f>
        <v>1672.234404536862</v>
      </c>
      <c r="H17" s="331">
        <f>SUM('- 24 -'!D17,'- 24 -'!B17)</f>
        <v>0</v>
      </c>
      <c r="I17" s="337">
        <f>H17/'- 3 -'!D17*100</f>
        <v>0</v>
      </c>
    </row>
    <row r="18" spans="1:9" ht="14.1" customHeight="1">
      <c r="A18" s="26" t="s">
        <v>244</v>
      </c>
      <c r="B18" s="27">
        <f>SUM('- 18 -'!B18,'- 18 -'!E18,'- 19 -'!B18,'- 19 -'!E18,'- 19 -'!H18,'- 20 -'!B18)</f>
        <v>46733901</v>
      </c>
      <c r="C18" s="79">
        <f>B18/'- 3 -'!D18*100</f>
        <v>42.878685661546882</v>
      </c>
      <c r="D18" s="27">
        <f>B18/'- 7 -'!C18</f>
        <v>8085.3101157419414</v>
      </c>
      <c r="E18" s="27">
        <f>SUM('- 21 -'!B18,'- 21 -'!E18,'- 21 -'!H18,'- 22 -'!B18,'- 22 -'!D18,'- 22 -'!G18,'- 23 -'!B18)</f>
        <v>16582770</v>
      </c>
      <c r="F18" s="79">
        <f>E18/'- 3 -'!D18*100</f>
        <v>15.214809100308784</v>
      </c>
      <c r="G18" s="27">
        <f>E18/'- 7 -'!E18</f>
        <v>2868.9417138111794</v>
      </c>
      <c r="H18" s="27">
        <f>SUM('- 24 -'!D18,'- 24 -'!B18)</f>
        <v>1916302</v>
      </c>
      <c r="I18" s="79">
        <f>H18/'- 3 -'!D18*100</f>
        <v>1.7582206777601042</v>
      </c>
    </row>
    <row r="19" spans="1:9" ht="14.1" customHeight="1">
      <c r="A19" s="330" t="s">
        <v>245</v>
      </c>
      <c r="B19" s="331">
        <f>SUM('- 18 -'!B19,'- 18 -'!E19,'- 19 -'!B19,'- 19 -'!E19,'- 19 -'!H19,'- 20 -'!B19)</f>
        <v>22773800</v>
      </c>
      <c r="C19" s="337">
        <f>B19/'- 3 -'!D19*100</f>
        <v>61.34462489468843</v>
      </c>
      <c r="D19" s="331">
        <f>B19/'- 7 -'!C19</f>
        <v>5500.386436093132</v>
      </c>
      <c r="E19" s="331">
        <f>SUM('- 21 -'!B19,'- 21 -'!E19,'- 21 -'!H19,'- 22 -'!B19,'- 22 -'!D19,'- 22 -'!G19,'- 23 -'!B19)</f>
        <v>6440421</v>
      </c>
      <c r="F19" s="337">
        <f>E19/'- 3 -'!D19*100</f>
        <v>17.348233953440975</v>
      </c>
      <c r="G19" s="331">
        <f>E19/'- 7 -'!E19</f>
        <v>1555.5069558496764</v>
      </c>
      <c r="H19" s="331">
        <f>SUM('- 24 -'!D19,'- 24 -'!B19)</f>
        <v>0</v>
      </c>
      <c r="I19" s="337">
        <f>H19/'- 3 -'!D19*100</f>
        <v>0</v>
      </c>
    </row>
    <row r="20" spans="1:9" ht="14.1" customHeight="1">
      <c r="A20" s="26" t="s">
        <v>246</v>
      </c>
      <c r="B20" s="27">
        <f>SUM('- 18 -'!B20,'- 18 -'!E20,'- 19 -'!B20,'- 19 -'!E20,'- 19 -'!H20,'- 20 -'!B20)</f>
        <v>39261250</v>
      </c>
      <c r="C20" s="79">
        <f>B20/'- 3 -'!D20*100</f>
        <v>62.474212902888361</v>
      </c>
      <c r="D20" s="27">
        <f>B20/'- 7 -'!C20</f>
        <v>5380.4645744826639</v>
      </c>
      <c r="E20" s="27">
        <f>SUM('- 21 -'!B20,'- 21 -'!E20,'- 21 -'!H20,'- 22 -'!B20,'- 22 -'!D20,'- 22 -'!G20,'- 23 -'!B20)</f>
        <v>9197260</v>
      </c>
      <c r="F20" s="79">
        <f>E20/'- 3 -'!D20*100</f>
        <v>14.635081138863868</v>
      </c>
      <c r="G20" s="27">
        <f>E20/'- 7 -'!E20</f>
        <v>1260.4166095655748</v>
      </c>
      <c r="H20" s="27">
        <f>SUM('- 24 -'!D20,'- 24 -'!B20)</f>
        <v>0</v>
      </c>
      <c r="I20" s="79">
        <f>H20/'- 3 -'!D20*100</f>
        <v>0</v>
      </c>
    </row>
    <row r="21" spans="1:9" ht="14.1" customHeight="1">
      <c r="A21" s="330" t="s">
        <v>247</v>
      </c>
      <c r="B21" s="331">
        <f>SUM('- 18 -'!B21,'- 18 -'!E21,'- 19 -'!B21,'- 19 -'!E21,'- 19 -'!H21,'- 20 -'!B21)</f>
        <v>17293587</v>
      </c>
      <c r="C21" s="337">
        <f>B21/'- 3 -'!D21*100</f>
        <v>54.995407770603563</v>
      </c>
      <c r="D21" s="331">
        <f>B21/'- 7 -'!C21</f>
        <v>6082.8656348927188</v>
      </c>
      <c r="E21" s="331">
        <f>SUM('- 21 -'!B21,'- 21 -'!E21,'- 21 -'!H21,'- 22 -'!B21,'- 22 -'!D21,'- 22 -'!G21,'- 23 -'!B21)</f>
        <v>5500860</v>
      </c>
      <c r="F21" s="337">
        <f>E21/'- 3 -'!D21*100</f>
        <v>17.493307709326142</v>
      </c>
      <c r="G21" s="331">
        <f>E21/'- 7 -'!E21</f>
        <v>1934.8786493141049</v>
      </c>
      <c r="H21" s="331">
        <f>SUM('- 24 -'!D21,'- 24 -'!B21)</f>
        <v>0</v>
      </c>
      <c r="I21" s="337">
        <f>H21/'- 3 -'!D21*100</f>
        <v>0</v>
      </c>
    </row>
    <row r="22" spans="1:9" ht="14.1" customHeight="1">
      <c r="A22" s="26" t="s">
        <v>248</v>
      </c>
      <c r="B22" s="27">
        <f>SUM('- 18 -'!B22,'- 18 -'!E22,'- 19 -'!B22,'- 19 -'!E22,'- 19 -'!H22,'- 20 -'!B22)</f>
        <v>9089823</v>
      </c>
      <c r="C22" s="79">
        <f>B22/'- 3 -'!D22*100</f>
        <v>49.898491098435393</v>
      </c>
      <c r="D22" s="27">
        <f>B22/'- 7 -'!C22</f>
        <v>5807.4514439049317</v>
      </c>
      <c r="E22" s="27">
        <f>SUM('- 21 -'!B22,'- 21 -'!E22,'- 21 -'!H22,'- 22 -'!B22,'- 22 -'!D22,'- 22 -'!G22,'- 23 -'!B22)</f>
        <v>4191020</v>
      </c>
      <c r="F22" s="79">
        <f>E22/'- 3 -'!D22*100</f>
        <v>23.006561751902616</v>
      </c>
      <c r="G22" s="27">
        <f>E22/'- 7 -'!E22</f>
        <v>2677.6258625095834</v>
      </c>
      <c r="H22" s="27">
        <f>SUM('- 24 -'!D22,'- 24 -'!B22)</f>
        <v>633328</v>
      </c>
      <c r="I22" s="79">
        <f>H22/'- 3 -'!D22*100</f>
        <v>3.4766476278349856</v>
      </c>
    </row>
    <row r="23" spans="1:9" ht="14.1" customHeight="1">
      <c r="A23" s="330" t="s">
        <v>249</v>
      </c>
      <c r="B23" s="331">
        <f>SUM('- 18 -'!B23,'- 18 -'!E23,'- 19 -'!B23,'- 19 -'!E23,'- 19 -'!H23,'- 20 -'!B23)</f>
        <v>7854439</v>
      </c>
      <c r="C23" s="337">
        <f>B23/'- 3 -'!D23*100</f>
        <v>51.416530020724537</v>
      </c>
      <c r="D23" s="331">
        <f>B23/'- 7 -'!C23</f>
        <v>6581.0129870129867</v>
      </c>
      <c r="E23" s="331">
        <f>SUM('- 21 -'!B23,'- 21 -'!E23,'- 21 -'!H23,'- 22 -'!B23,'- 22 -'!D23,'- 22 -'!G23,'- 23 -'!B23)</f>
        <v>2695179</v>
      </c>
      <c r="F23" s="337">
        <f>E23/'- 3 -'!D23*100</f>
        <v>17.643112635380621</v>
      </c>
      <c r="G23" s="331">
        <f>E23/'- 7 -'!E23</f>
        <v>2258.214495182237</v>
      </c>
      <c r="H23" s="331">
        <f>SUM('- 24 -'!D23,'- 24 -'!B23)</f>
        <v>282240</v>
      </c>
      <c r="I23" s="337">
        <f>H23/'- 3 -'!D23*100</f>
        <v>1.8475923529419851</v>
      </c>
    </row>
    <row r="24" spans="1:9" ht="14.1" customHeight="1">
      <c r="A24" s="26" t="s">
        <v>250</v>
      </c>
      <c r="B24" s="27">
        <f>SUM('- 18 -'!B24,'- 18 -'!E24,'- 19 -'!B24,'- 19 -'!E24,'- 19 -'!H24,'- 20 -'!B24)</f>
        <v>28758752</v>
      </c>
      <c r="C24" s="79">
        <f>B24/'- 3 -'!D24*100</f>
        <v>58.63653058608859</v>
      </c>
      <c r="D24" s="27">
        <f>B24/'- 7 -'!C24</f>
        <v>6639.4440724922079</v>
      </c>
      <c r="E24" s="27">
        <f>SUM('- 21 -'!B24,'- 21 -'!E24,'- 21 -'!H24,'- 22 -'!B24,'- 22 -'!D24,'- 22 -'!G24,'- 23 -'!B24)</f>
        <v>8175378</v>
      </c>
      <c r="F24" s="79">
        <f>E24/'- 3 -'!D24*100</f>
        <v>16.66886665144008</v>
      </c>
      <c r="G24" s="27">
        <f>E24/'- 7 -'!E24</f>
        <v>1887.4242179383584</v>
      </c>
      <c r="H24" s="27">
        <f>SUM('- 24 -'!D24,'- 24 -'!B24)</f>
        <v>348633</v>
      </c>
      <c r="I24" s="79">
        <f>H24/'- 3 -'!D24*100</f>
        <v>0.71083159546769703</v>
      </c>
    </row>
    <row r="25" spans="1:9" ht="14.1" customHeight="1">
      <c r="A25" s="330" t="s">
        <v>251</v>
      </c>
      <c r="B25" s="331">
        <f>SUM('- 18 -'!B25,'- 18 -'!E25,'- 19 -'!B25,'- 19 -'!E25,'- 19 -'!H25,'- 20 -'!B25)</f>
        <v>79257030</v>
      </c>
      <c r="C25" s="337">
        <f>B25/'- 3 -'!D25*100</f>
        <v>54.537088825791876</v>
      </c>
      <c r="D25" s="331">
        <f>B25/'- 7 -'!C25</f>
        <v>5751.5986937590715</v>
      </c>
      <c r="E25" s="331">
        <f>SUM('- 21 -'!B25,'- 21 -'!E25,'- 21 -'!H25,'- 22 -'!B25,'- 22 -'!D25,'- 22 -'!G25,'- 23 -'!B25)</f>
        <v>31234507</v>
      </c>
      <c r="F25" s="337">
        <f>E25/'- 3 -'!D25*100</f>
        <v>21.492592930732055</v>
      </c>
      <c r="G25" s="331">
        <f>E25/'- 7 -'!E25</f>
        <v>2266.6550798258345</v>
      </c>
      <c r="H25" s="331">
        <f>SUM('- 24 -'!D25,'- 24 -'!B25)</f>
        <v>0</v>
      </c>
      <c r="I25" s="337">
        <f>H25/'- 3 -'!D25*100</f>
        <v>0</v>
      </c>
    </row>
    <row r="26" spans="1:9" ht="14.1" customHeight="1">
      <c r="A26" s="26" t="s">
        <v>252</v>
      </c>
      <c r="B26" s="27">
        <f>SUM('- 18 -'!B26,'- 18 -'!E26,'- 19 -'!B26,'- 19 -'!E26,'- 19 -'!H26,'- 20 -'!B26)</f>
        <v>20457051</v>
      </c>
      <c r="C26" s="79">
        <f>B26/'- 3 -'!D26*100</f>
        <v>56.906994474468952</v>
      </c>
      <c r="D26" s="27">
        <f>B26/'- 7 -'!C26</f>
        <v>6581.0040212321055</v>
      </c>
      <c r="E26" s="27">
        <f>SUM('- 21 -'!B26,'- 21 -'!E26,'- 21 -'!H26,'- 22 -'!B26,'- 22 -'!D26,'- 22 -'!G26,'- 23 -'!B26)</f>
        <v>5198453</v>
      </c>
      <c r="F26" s="79">
        <f>E26/'- 3 -'!D26*100</f>
        <v>14.46094728642885</v>
      </c>
      <c r="G26" s="27">
        <f>E26/'- 7 -'!E26</f>
        <v>1672.3348882097475</v>
      </c>
      <c r="H26" s="27">
        <f>SUM('- 24 -'!D26,'- 24 -'!B26)</f>
        <v>0</v>
      </c>
      <c r="I26" s="79">
        <f>H26/'- 3 -'!D26*100</f>
        <v>0</v>
      </c>
    </row>
    <row r="27" spans="1:9" ht="14.1" customHeight="1">
      <c r="A27" s="330" t="s">
        <v>253</v>
      </c>
      <c r="B27" s="331">
        <f>SUM('- 18 -'!B27,'- 18 -'!E27,'- 19 -'!B27,'- 19 -'!E27,'- 19 -'!H27,'- 20 -'!B27)</f>
        <v>20664793</v>
      </c>
      <c r="C27" s="337">
        <f>B27/'- 3 -'!D27*100</f>
        <v>51.852631663468664</v>
      </c>
      <c r="D27" s="331">
        <f>B27/'- 7 -'!C27</f>
        <v>7392.6923764891062</v>
      </c>
      <c r="E27" s="331">
        <f>SUM('- 21 -'!B27,'- 21 -'!E27,'- 21 -'!H27,'- 22 -'!B27,'- 22 -'!D27,'- 22 -'!G27,'- 23 -'!B27)</f>
        <v>8058893</v>
      </c>
      <c r="F27" s="337">
        <f>E27/'- 3 -'!D27*100</f>
        <v>20.221582202362537</v>
      </c>
      <c r="G27" s="331">
        <f>E27/'- 7 -'!E27</f>
        <v>2883.015418738597</v>
      </c>
      <c r="H27" s="331">
        <f>SUM('- 24 -'!D27,'- 24 -'!B27)</f>
        <v>0</v>
      </c>
      <c r="I27" s="337">
        <f>H27/'- 3 -'!D27*100</f>
        <v>0</v>
      </c>
    </row>
    <row r="28" spans="1:9" ht="14.1" customHeight="1">
      <c r="A28" s="26" t="s">
        <v>254</v>
      </c>
      <c r="B28" s="27">
        <f>SUM('- 18 -'!B28,'- 18 -'!E28,'- 19 -'!B28,'- 19 -'!E28,'- 19 -'!H28,'- 20 -'!B28)</f>
        <v>14088175</v>
      </c>
      <c r="C28" s="79">
        <f>B28/'- 3 -'!D28*100</f>
        <v>56.869367301028618</v>
      </c>
      <c r="D28" s="27">
        <f>B28/'- 7 -'!C28</f>
        <v>7033.5371942086867</v>
      </c>
      <c r="E28" s="27">
        <f>SUM('- 21 -'!B28,'- 21 -'!E28,'- 21 -'!H28,'- 22 -'!B28,'- 22 -'!D28,'- 22 -'!G28,'- 23 -'!B28)</f>
        <v>3421430</v>
      </c>
      <c r="F28" s="79">
        <f>E28/'- 3 -'!D28*100</f>
        <v>13.811196933936321</v>
      </c>
      <c r="G28" s="27">
        <f>E28/'- 7 -'!E28</f>
        <v>1708.1527708437343</v>
      </c>
      <c r="H28" s="27">
        <f>SUM('- 24 -'!D28,'- 24 -'!B28)</f>
        <v>135751</v>
      </c>
      <c r="I28" s="79">
        <f>H28/'- 3 -'!D28*100</f>
        <v>0.54798250876937116</v>
      </c>
    </row>
    <row r="29" spans="1:9" ht="14.1" customHeight="1">
      <c r="A29" s="330" t="s">
        <v>255</v>
      </c>
      <c r="B29" s="331">
        <f>SUM('- 18 -'!B29,'- 18 -'!E29,'- 19 -'!B29,'- 19 -'!E29,'- 19 -'!H29,'- 20 -'!B29)</f>
        <v>75013794</v>
      </c>
      <c r="C29" s="337">
        <f>B29/'- 3 -'!D29*100</f>
        <v>55.611931648541855</v>
      </c>
      <c r="D29" s="331">
        <f>B29/'- 7 -'!C29</f>
        <v>6156.5439414333086</v>
      </c>
      <c r="E29" s="331">
        <f>SUM('- 21 -'!B29,'- 21 -'!E29,'- 21 -'!H29,'- 22 -'!B29,'- 22 -'!D29,'- 22 -'!G29,'- 23 -'!B29)</f>
        <v>28646814</v>
      </c>
      <c r="F29" s="337">
        <f>E29/'- 3 -'!D29*100</f>
        <v>21.237489495818487</v>
      </c>
      <c r="G29" s="331">
        <f>E29/'- 7 -'!E29</f>
        <v>2351.1058402547519</v>
      </c>
      <c r="H29" s="331">
        <f>SUM('- 24 -'!D29,'- 24 -'!B29)</f>
        <v>0</v>
      </c>
      <c r="I29" s="337">
        <f>H29/'- 3 -'!D29*100</f>
        <v>0</v>
      </c>
    </row>
    <row r="30" spans="1:9" ht="14.1" customHeight="1">
      <c r="A30" s="26" t="s">
        <v>256</v>
      </c>
      <c r="B30" s="27">
        <f>SUM('- 18 -'!B30,'- 18 -'!E30,'- 19 -'!B30,'- 19 -'!E30,'- 19 -'!H30,'- 20 -'!B30)</f>
        <v>7458843</v>
      </c>
      <c r="C30" s="79">
        <f>B30/'- 3 -'!D30*100</f>
        <v>57.889516010486297</v>
      </c>
      <c r="D30" s="27">
        <f>B30/'- 7 -'!C30</f>
        <v>6793.1174863387978</v>
      </c>
      <c r="E30" s="27">
        <f>SUM('- 21 -'!B30,'- 21 -'!E30,'- 21 -'!H30,'- 22 -'!B30,'- 22 -'!D30,'- 22 -'!G30,'- 23 -'!B30)</f>
        <v>1612488</v>
      </c>
      <c r="F30" s="79">
        <f>E30/'- 3 -'!D30*100</f>
        <v>12.51482969848233</v>
      </c>
      <c r="G30" s="27">
        <f>E30/'- 7 -'!E30</f>
        <v>1468.5683060109291</v>
      </c>
      <c r="H30" s="27">
        <f>SUM('- 24 -'!D30,'- 24 -'!B30)</f>
        <v>0</v>
      </c>
      <c r="I30" s="79">
        <f>H30/'- 3 -'!D30*100</f>
        <v>0</v>
      </c>
    </row>
    <row r="31" spans="1:9" ht="14.1" customHeight="1">
      <c r="A31" s="330" t="s">
        <v>257</v>
      </c>
      <c r="B31" s="331">
        <f>SUM('- 18 -'!B31,'- 18 -'!E31,'- 19 -'!B31,'- 19 -'!E31,'- 19 -'!H31,'- 20 -'!B31)</f>
        <v>18476850</v>
      </c>
      <c r="C31" s="337">
        <f>B31/'- 3 -'!D31*100</f>
        <v>57.655480168703491</v>
      </c>
      <c r="D31" s="331">
        <f>B31/'- 7 -'!C31</f>
        <v>5776.7234641238083</v>
      </c>
      <c r="E31" s="331">
        <f>SUM('- 21 -'!B31,'- 21 -'!E31,'- 21 -'!H31,'- 22 -'!B31,'- 22 -'!D31,'- 22 -'!G31,'- 23 -'!B31)</f>
        <v>6145282</v>
      </c>
      <c r="F31" s="337">
        <f>E31/'- 3 -'!D31*100</f>
        <v>19.175843527554235</v>
      </c>
      <c r="G31" s="331">
        <f>E31/'- 7 -'!E31</f>
        <v>1921.3012349538847</v>
      </c>
      <c r="H31" s="331">
        <f>SUM('- 24 -'!D31,'- 24 -'!B31)</f>
        <v>0</v>
      </c>
      <c r="I31" s="337">
        <f>H31/'- 3 -'!D31*100</f>
        <v>0</v>
      </c>
    </row>
    <row r="32" spans="1:9" ht="14.1" customHeight="1">
      <c r="A32" s="26" t="s">
        <v>258</v>
      </c>
      <c r="B32" s="27">
        <f>SUM('- 18 -'!B32,'- 18 -'!E32,'- 19 -'!B32,'- 19 -'!E32,'- 19 -'!H32,'- 20 -'!B32)</f>
        <v>13536722</v>
      </c>
      <c r="C32" s="79">
        <f>B32/'- 3 -'!D32*100</f>
        <v>57.193783887812202</v>
      </c>
      <c r="D32" s="27">
        <f>B32/'- 7 -'!C32</f>
        <v>6563.2591515151516</v>
      </c>
      <c r="E32" s="27">
        <f>SUM('- 21 -'!B32,'- 21 -'!E32,'- 21 -'!H32,'- 22 -'!B32,'- 22 -'!D32,'- 22 -'!G32,'- 23 -'!B32)</f>
        <v>3443904</v>
      </c>
      <c r="F32" s="79">
        <f>E32/'- 3 -'!D32*100</f>
        <v>14.550782760137349</v>
      </c>
      <c r="G32" s="27">
        <f>E32/'- 7 -'!E32</f>
        <v>1669.7716363636364</v>
      </c>
      <c r="H32" s="27">
        <f>SUM('- 24 -'!D32,'- 24 -'!B32)</f>
        <v>245914</v>
      </c>
      <c r="I32" s="79">
        <f>H32/'- 3 -'!D32*100</f>
        <v>1.0390072405259891</v>
      </c>
    </row>
    <row r="33" spans="1:9" ht="14.1" customHeight="1">
      <c r="A33" s="330" t="s">
        <v>259</v>
      </c>
      <c r="B33" s="331">
        <f>SUM('- 18 -'!B33,'- 18 -'!E33,'- 19 -'!B33,'- 19 -'!E33,'- 19 -'!H33,'- 20 -'!B33)</f>
        <v>13838333</v>
      </c>
      <c r="C33" s="337">
        <f>B33/'- 3 -'!D33*100</f>
        <v>56.504477375968754</v>
      </c>
      <c r="D33" s="331">
        <f>B33/'- 7 -'!C33</f>
        <v>6791.8198773006134</v>
      </c>
      <c r="E33" s="331">
        <f>SUM('- 21 -'!B33,'- 21 -'!E33,'- 21 -'!H33,'- 22 -'!B33,'- 22 -'!D33,'- 22 -'!G33,'- 23 -'!B33)</f>
        <v>3104971</v>
      </c>
      <c r="F33" s="337">
        <f>E33/'- 3 -'!D33*100</f>
        <v>12.678171830562185</v>
      </c>
      <c r="G33" s="331">
        <f>E33/'- 7 -'!E33</f>
        <v>1523.9121472392637</v>
      </c>
      <c r="H33" s="331">
        <f>SUM('- 24 -'!D33,'- 24 -'!B33)</f>
        <v>0</v>
      </c>
      <c r="I33" s="337">
        <f>H33/'- 3 -'!D33*100</f>
        <v>0</v>
      </c>
    </row>
    <row r="34" spans="1:9" ht="14.1" customHeight="1">
      <c r="A34" s="26" t="s">
        <v>260</v>
      </c>
      <c r="B34" s="27">
        <f>SUM('- 18 -'!B34,'- 18 -'!E34,'- 19 -'!B34,'- 19 -'!E34,'- 19 -'!H34,'- 20 -'!B34)</f>
        <v>13075077</v>
      </c>
      <c r="C34" s="79">
        <f>B34/'- 3 -'!D34*100</f>
        <v>57.780803328296081</v>
      </c>
      <c r="D34" s="27">
        <f>B34/'- 7 -'!C34</f>
        <v>6559.5128681081624</v>
      </c>
      <c r="E34" s="27">
        <f>SUM('- 21 -'!B34,'- 21 -'!E34,'- 21 -'!H34,'- 22 -'!B34,'- 22 -'!D34,'- 22 -'!G34,'- 23 -'!B34)</f>
        <v>3113433</v>
      </c>
      <c r="F34" s="79">
        <f>E34/'- 3 -'!D34*100</f>
        <v>13.758745730432553</v>
      </c>
      <c r="G34" s="27">
        <f>E34/'- 7 -'!E34</f>
        <v>1561.9490292479807</v>
      </c>
      <c r="H34" s="27">
        <f>SUM('- 24 -'!D34,'- 24 -'!B34)</f>
        <v>0</v>
      </c>
      <c r="I34" s="79">
        <f>H34/'- 3 -'!D34*100</f>
        <v>0</v>
      </c>
    </row>
    <row r="35" spans="1:9" ht="14.1" customHeight="1">
      <c r="A35" s="330" t="s">
        <v>261</v>
      </c>
      <c r="B35" s="331">
        <f>SUM('- 18 -'!B35,'- 18 -'!E35,'- 19 -'!B35,'- 19 -'!E35,'- 19 -'!H35,'- 20 -'!B35)</f>
        <v>92001191</v>
      </c>
      <c r="C35" s="337">
        <f>B35/'- 3 -'!D35*100</f>
        <v>57.183061375767984</v>
      </c>
      <c r="D35" s="331">
        <f>B35/'- 7 -'!C35</f>
        <v>5835.6024864419142</v>
      </c>
      <c r="E35" s="331">
        <f>SUM('- 21 -'!B35,'- 21 -'!E35,'- 21 -'!H35,'- 22 -'!B35,'- 22 -'!D35,'- 22 -'!G35,'- 23 -'!B35)</f>
        <v>30650315</v>
      </c>
      <c r="F35" s="337">
        <f>E35/'- 3 -'!D35*100</f>
        <v>19.050610375594182</v>
      </c>
      <c r="G35" s="331">
        <f>E35/'- 7 -'!E35</f>
        <v>1944.1384669055849</v>
      </c>
      <c r="H35" s="331">
        <f>SUM('- 24 -'!D35,'- 24 -'!B35)</f>
        <v>1013370</v>
      </c>
      <c r="I35" s="337">
        <f>H35/'- 3 -'!D35*100</f>
        <v>0.62985705159362559</v>
      </c>
    </row>
    <row r="36" spans="1:9" ht="14.1" customHeight="1">
      <c r="A36" s="26" t="s">
        <v>262</v>
      </c>
      <c r="B36" s="27">
        <f>SUM('- 18 -'!B36,'- 18 -'!E36,'- 19 -'!B36,'- 19 -'!E36,'- 19 -'!H36,'- 20 -'!B36)</f>
        <v>11776289</v>
      </c>
      <c r="C36" s="79">
        <f>B36/'- 3 -'!D36*100</f>
        <v>57.82415632251319</v>
      </c>
      <c r="D36" s="27">
        <f>B36/'- 7 -'!C36</f>
        <v>7055.895146794488</v>
      </c>
      <c r="E36" s="27">
        <f>SUM('- 21 -'!B36,'- 21 -'!E36,'- 21 -'!H36,'- 22 -'!B36,'- 22 -'!D36,'- 22 -'!G36,'- 23 -'!B36)</f>
        <v>2790624</v>
      </c>
      <c r="F36" s="79">
        <f>E36/'- 3 -'!D36*100</f>
        <v>13.702574589784358</v>
      </c>
      <c r="G36" s="27">
        <f>E36/'- 7 -'!E36</f>
        <v>1672.0335530257639</v>
      </c>
      <c r="H36" s="27">
        <f>SUM('- 24 -'!D36,'- 24 -'!B36)</f>
        <v>156537</v>
      </c>
      <c r="I36" s="79">
        <f>H36/'- 3 -'!D36*100</f>
        <v>0.76863092934091948</v>
      </c>
    </row>
    <row r="37" spans="1:9" ht="14.1" customHeight="1">
      <c r="A37" s="330" t="s">
        <v>263</v>
      </c>
      <c r="B37" s="331">
        <f>SUM('- 18 -'!B37,'- 18 -'!E37,'- 19 -'!B37,'- 19 -'!E37,'- 19 -'!H37,'- 20 -'!B37)</f>
        <v>21010253</v>
      </c>
      <c r="C37" s="337">
        <f>B37/'- 3 -'!D37*100</f>
        <v>56.01817078532131</v>
      </c>
      <c r="D37" s="331">
        <f>B37/'- 7 -'!C37</f>
        <v>5713.1891230455476</v>
      </c>
      <c r="E37" s="331">
        <f>SUM('- 21 -'!B37,'- 21 -'!E37,'- 21 -'!H37,'- 22 -'!B37,'- 22 -'!D37,'- 22 -'!G37,'- 23 -'!B37)</f>
        <v>7275372</v>
      </c>
      <c r="F37" s="337">
        <f>E37/'- 3 -'!D37*100</f>
        <v>19.397816448128665</v>
      </c>
      <c r="G37" s="331">
        <f>E37/'- 7 -'!E37</f>
        <v>1978.3472467709041</v>
      </c>
      <c r="H37" s="331">
        <f>SUM('- 24 -'!D37,'- 24 -'!B37)</f>
        <v>303443</v>
      </c>
      <c r="I37" s="337">
        <f>H37/'- 3 -'!D37*100</f>
        <v>0.80904888663693164</v>
      </c>
    </row>
    <row r="38" spans="1:9" ht="14.1" customHeight="1">
      <c r="A38" s="26" t="s">
        <v>264</v>
      </c>
      <c r="B38" s="27">
        <f>SUM('- 18 -'!B38,'- 18 -'!E38,'- 19 -'!B38,'- 19 -'!E38,'- 19 -'!H38,'- 20 -'!B38)</f>
        <v>61011361</v>
      </c>
      <c r="C38" s="79">
        <f>B38/'- 3 -'!D38*100</f>
        <v>59.424446025013523</v>
      </c>
      <c r="D38" s="27">
        <f>B38/'- 7 -'!C38</f>
        <v>6006.4740686776404</v>
      </c>
      <c r="E38" s="27">
        <f>SUM('- 21 -'!B38,'- 21 -'!E38,'- 21 -'!H38,'- 22 -'!B38,'- 22 -'!D38,'- 22 -'!G38,'- 23 -'!B38)</f>
        <v>18390913</v>
      </c>
      <c r="F38" s="79">
        <f>E38/'- 3 -'!D38*100</f>
        <v>17.912562496667128</v>
      </c>
      <c r="G38" s="27">
        <f>E38/'- 7 -'!E38</f>
        <v>1810.556922895172</v>
      </c>
      <c r="H38" s="27">
        <f>SUM('- 24 -'!D38,'- 24 -'!B38)</f>
        <v>595979</v>
      </c>
      <c r="I38" s="79">
        <f>H38/'- 3 -'!D38*100</f>
        <v>0.58047749365141244</v>
      </c>
    </row>
    <row r="39" spans="1:9" ht="14.1" customHeight="1">
      <c r="A39" s="330" t="s">
        <v>265</v>
      </c>
      <c r="B39" s="331">
        <f>SUM('- 18 -'!B39,'- 18 -'!E39,'- 19 -'!B39,'- 19 -'!E39,'- 19 -'!H39,'- 20 -'!B39)</f>
        <v>10626991</v>
      </c>
      <c r="C39" s="337">
        <f>B39/'- 3 -'!D39*100</f>
        <v>55.9329328461071</v>
      </c>
      <c r="D39" s="331">
        <f>B39/'- 7 -'!C39</f>
        <v>6687.4274746711981</v>
      </c>
      <c r="E39" s="331">
        <f>SUM('- 21 -'!B39,'- 21 -'!E39,'- 21 -'!H39,'- 22 -'!B39,'- 22 -'!D39,'- 22 -'!G39,'- 23 -'!B39)</f>
        <v>2478293</v>
      </c>
      <c r="F39" s="337">
        <f>E39/'- 3 -'!D39*100</f>
        <v>13.043974154299864</v>
      </c>
      <c r="G39" s="331">
        <f>E39/'- 7 -'!E39</f>
        <v>1559.5576112264805</v>
      </c>
      <c r="H39" s="331">
        <f>SUM('- 24 -'!D39,'- 24 -'!B39)</f>
        <v>0</v>
      </c>
      <c r="I39" s="337">
        <f>H39/'- 3 -'!D39*100</f>
        <v>0</v>
      </c>
    </row>
    <row r="40" spans="1:9" ht="14.1" customHeight="1">
      <c r="A40" s="26" t="s">
        <v>266</v>
      </c>
      <c r="B40" s="27">
        <f>SUM('- 18 -'!B40,'- 18 -'!E40,'- 19 -'!B40,'- 19 -'!E40,'- 19 -'!H40,'- 20 -'!B40)</f>
        <v>52143643</v>
      </c>
      <c r="C40" s="79">
        <f>B40/'- 3 -'!D40*100</f>
        <v>57.396244218728562</v>
      </c>
      <c r="D40" s="27">
        <f>B40/'- 7 -'!C40</f>
        <v>6359.7564337114281</v>
      </c>
      <c r="E40" s="27">
        <f>SUM('- 21 -'!B40,'- 21 -'!E40,'- 21 -'!H40,'- 22 -'!B40,'- 22 -'!D40,'- 22 -'!G40,'- 23 -'!B40)</f>
        <v>18520799</v>
      </c>
      <c r="F40" s="79">
        <f>E40/'- 3 -'!D40*100</f>
        <v>20.386460196691356</v>
      </c>
      <c r="G40" s="27">
        <f>E40/'- 7 -'!E40</f>
        <v>2258.9095011586778</v>
      </c>
      <c r="H40" s="27">
        <f>SUM('- 24 -'!D40,'- 24 -'!B40)</f>
        <v>0</v>
      </c>
      <c r="I40" s="79">
        <f>H40/'- 3 -'!D40*100</f>
        <v>0</v>
      </c>
    </row>
    <row r="41" spans="1:9" ht="14.1" customHeight="1">
      <c r="A41" s="330" t="s">
        <v>267</v>
      </c>
      <c r="B41" s="331">
        <f>SUM('- 18 -'!B41,'- 18 -'!E41,'- 19 -'!B41,'- 19 -'!E41,'- 19 -'!H41,'- 20 -'!B41)</f>
        <v>29164158</v>
      </c>
      <c r="C41" s="337">
        <f>B41/'- 3 -'!D41*100</f>
        <v>52.817941630912635</v>
      </c>
      <c r="D41" s="331">
        <f>B41/'- 7 -'!C41</f>
        <v>6413.2288070368331</v>
      </c>
      <c r="E41" s="331">
        <f>SUM('- 21 -'!B41,'- 21 -'!E41,'- 21 -'!H41,'- 22 -'!B41,'- 22 -'!D41,'- 22 -'!G41,'- 23 -'!B41)</f>
        <v>10779307</v>
      </c>
      <c r="F41" s="337">
        <f>E41/'- 3 -'!D41*100</f>
        <v>19.521935382042848</v>
      </c>
      <c r="G41" s="331">
        <f>E41/'- 7 -'!E41</f>
        <v>2370.3808686091261</v>
      </c>
      <c r="H41" s="331">
        <f>SUM('- 24 -'!D41,'- 24 -'!B41)</f>
        <v>964216</v>
      </c>
      <c r="I41" s="337">
        <f>H41/'- 3 -'!D41*100</f>
        <v>1.7462497771268439</v>
      </c>
    </row>
    <row r="42" spans="1:9" ht="14.1" customHeight="1">
      <c r="A42" s="26" t="s">
        <v>268</v>
      </c>
      <c r="B42" s="27">
        <f>SUM('- 18 -'!B42,'- 18 -'!E42,'- 19 -'!B42,'- 19 -'!E42,'- 19 -'!H42,'- 20 -'!B42)</f>
        <v>10918172</v>
      </c>
      <c r="C42" s="79">
        <f>B42/'- 3 -'!D42*100</f>
        <v>56.892675050604922</v>
      </c>
      <c r="D42" s="27">
        <f>B42/'- 7 -'!C42</f>
        <v>7458.7867194971996</v>
      </c>
      <c r="E42" s="27">
        <f>SUM('- 21 -'!B42,'- 21 -'!E42,'- 21 -'!H42,'- 22 -'!B42,'- 22 -'!D42,'- 22 -'!G42,'- 23 -'!B42)</f>
        <v>3322304</v>
      </c>
      <c r="F42" s="79">
        <f>E42/'- 3 -'!D42*100</f>
        <v>17.311942135672982</v>
      </c>
      <c r="G42" s="27">
        <f>E42/'- 7 -'!E42</f>
        <v>2269.6433939062713</v>
      </c>
      <c r="H42" s="27">
        <f>SUM('- 24 -'!D42,'- 24 -'!B42)</f>
        <v>0</v>
      </c>
      <c r="I42" s="79">
        <f>H42/'- 3 -'!D42*100</f>
        <v>0</v>
      </c>
    </row>
    <row r="43" spans="1:9" ht="14.1" customHeight="1">
      <c r="A43" s="330" t="s">
        <v>269</v>
      </c>
      <c r="B43" s="331">
        <f>SUM('- 18 -'!B43,'- 18 -'!E43,'- 19 -'!B43,'- 19 -'!E43,'- 19 -'!H43,'- 20 -'!B43)</f>
        <v>6001627</v>
      </c>
      <c r="C43" s="337">
        <f>B43/'- 3 -'!D43*100</f>
        <v>53.064576937101215</v>
      </c>
      <c r="D43" s="331">
        <f>B43/'- 7 -'!C43</f>
        <v>6169.4356496710525</v>
      </c>
      <c r="E43" s="331">
        <f>SUM('- 21 -'!B43,'- 21 -'!E43,'- 21 -'!H43,'- 22 -'!B43,'- 22 -'!D43,'- 22 -'!G43,'- 23 -'!B43)</f>
        <v>2029742</v>
      </c>
      <c r="F43" s="337">
        <f>E43/'- 3 -'!D43*100</f>
        <v>17.946366963735947</v>
      </c>
      <c r="G43" s="331">
        <f>E43/'- 7 -'!E43</f>
        <v>2086.4946546052629</v>
      </c>
      <c r="H43" s="331">
        <f>SUM('- 24 -'!D43,'- 24 -'!B43)</f>
        <v>241517</v>
      </c>
      <c r="I43" s="337">
        <f>H43/'- 3 -'!D43*100</f>
        <v>2.135420516489591</v>
      </c>
    </row>
    <row r="44" spans="1:9" ht="14.1" customHeight="1">
      <c r="A44" s="26" t="s">
        <v>270</v>
      </c>
      <c r="B44" s="27">
        <f>SUM('- 18 -'!B44,'- 18 -'!E44,'- 19 -'!B44,'- 19 -'!E44,'- 19 -'!H44,'- 20 -'!B44)</f>
        <v>5358167</v>
      </c>
      <c r="C44" s="79">
        <f>B44/'- 3 -'!D44*100</f>
        <v>55.359616036513479</v>
      </c>
      <c r="D44" s="27">
        <f>B44/'- 7 -'!C44</f>
        <v>7488.703004891684</v>
      </c>
      <c r="E44" s="27">
        <f>SUM('- 21 -'!B44,'- 21 -'!E44,'- 21 -'!H44,'- 22 -'!B44,'- 22 -'!D44,'- 22 -'!G44,'- 23 -'!B44)</f>
        <v>1469738</v>
      </c>
      <c r="F44" s="79">
        <f>E44/'- 3 -'!D44*100</f>
        <v>15.185068206025164</v>
      </c>
      <c r="G44" s="27">
        <f>E44/'- 7 -'!E44</f>
        <v>2054.1411600279525</v>
      </c>
      <c r="H44" s="27">
        <f>SUM('- 24 -'!D44,'- 24 -'!B44)</f>
        <v>0</v>
      </c>
      <c r="I44" s="79">
        <f>H44/'- 3 -'!D44*100</f>
        <v>0</v>
      </c>
    </row>
    <row r="45" spans="1:9" ht="14.1" customHeight="1">
      <c r="A45" s="330" t="s">
        <v>271</v>
      </c>
      <c r="B45" s="331">
        <f>SUM('- 18 -'!B45,'- 18 -'!E45,'- 19 -'!B45,'- 19 -'!E45,'- 19 -'!H45,'- 20 -'!B45)</f>
        <v>9175033</v>
      </c>
      <c r="C45" s="337">
        <f>B45/'- 3 -'!D45*100</f>
        <v>59.111063006368191</v>
      </c>
      <c r="D45" s="331">
        <f>B45/'- 7 -'!C45</f>
        <v>5537.1351840675916</v>
      </c>
      <c r="E45" s="331">
        <f>SUM('- 21 -'!B45,'- 21 -'!E45,'- 21 -'!H45,'- 22 -'!B45,'- 22 -'!D45,'- 22 -'!G45,'- 23 -'!B45)</f>
        <v>2476581</v>
      </c>
      <c r="F45" s="337">
        <f>E45/'- 3 -'!D45*100</f>
        <v>15.955619509093246</v>
      </c>
      <c r="G45" s="331">
        <f>E45/'- 7 -'!E45</f>
        <v>1494.6173808086903</v>
      </c>
      <c r="H45" s="331">
        <f>SUM('- 24 -'!D45,'- 24 -'!B45)</f>
        <v>372790</v>
      </c>
      <c r="I45" s="337">
        <f>H45/'- 3 -'!D45*100</f>
        <v>2.4017366671208698</v>
      </c>
    </row>
    <row r="46" spans="1:9" ht="14.1" customHeight="1">
      <c r="A46" s="26" t="s">
        <v>272</v>
      </c>
      <c r="B46" s="27">
        <f>SUM('- 18 -'!B46,'- 18 -'!E46,'- 19 -'!B46,'- 19 -'!E46,'- 19 -'!H46,'- 20 -'!B46)</f>
        <v>175929510</v>
      </c>
      <c r="C46" s="79">
        <f>B46/'- 3 -'!D46*100</f>
        <v>52.351902919155947</v>
      </c>
      <c r="D46" s="27">
        <f>B46/'- 7 -'!C46</f>
        <v>5816.4860960038613</v>
      </c>
      <c r="E46" s="27">
        <f>SUM('- 21 -'!B46,'- 21 -'!E46,'- 21 -'!H46,'- 22 -'!B46,'- 22 -'!D46,'- 22 -'!G46,'- 23 -'!B46)</f>
        <v>80096055</v>
      </c>
      <c r="F46" s="79">
        <f>E46/'- 3 -'!D46*100</f>
        <v>23.834437415117996</v>
      </c>
      <c r="G46" s="27">
        <f>E46/'- 7 -'!E46</f>
        <v>2648.092353876621</v>
      </c>
      <c r="H46" s="27">
        <f>SUM('- 24 -'!D46,'- 24 -'!B46)</f>
        <v>752018</v>
      </c>
      <c r="I46" s="79">
        <f>H46/'- 3 -'!D46*100</f>
        <v>0.2237803841405448</v>
      </c>
    </row>
    <row r="47" spans="1:9" ht="5.0999999999999996" customHeight="1">
      <c r="A47" s="28"/>
      <c r="B47" s="29"/>
      <c r="C47" s="80"/>
      <c r="D47" s="29"/>
      <c r="E47" s="29"/>
      <c r="F47" s="80"/>
      <c r="G47" s="29"/>
      <c r="H47" s="29"/>
      <c r="I47" s="80"/>
    </row>
    <row r="48" spans="1:9" ht="14.1" customHeight="1">
      <c r="A48" s="332" t="s">
        <v>273</v>
      </c>
      <c r="B48" s="333">
        <f>SUM(B11:B46)</f>
        <v>1064267659</v>
      </c>
      <c r="C48" s="340">
        <f>B48/'- 3 -'!D48*100</f>
        <v>55.197182838131972</v>
      </c>
      <c r="D48" s="333">
        <f>B48/'- 7 -'!C48</f>
        <v>6178.6034608197415</v>
      </c>
      <c r="E48" s="333">
        <f>SUM(E11:E46)</f>
        <v>365824928</v>
      </c>
      <c r="F48" s="340">
        <f>E48/'- 3 -'!D48*100</f>
        <v>18.973145774753327</v>
      </c>
      <c r="G48" s="333">
        <f>E48/'- 7 -'!E48</f>
        <v>2123.7957830257928</v>
      </c>
      <c r="H48" s="333">
        <f>SUM(H11:H46)</f>
        <v>8844631</v>
      </c>
      <c r="I48" s="340">
        <f>H48/'- 3 -'!D48*100</f>
        <v>0.45871798350193976</v>
      </c>
    </row>
    <row r="49" spans="1:9" ht="5.0999999999999996" customHeight="1">
      <c r="A49" s="28" t="s">
        <v>18</v>
      </c>
      <c r="B49" s="29"/>
      <c r="C49" s="80"/>
      <c r="D49" s="29"/>
      <c r="E49" s="29"/>
      <c r="F49" s="80"/>
      <c r="H49" s="29"/>
      <c r="I49" s="80"/>
    </row>
    <row r="50" spans="1:9" ht="14.1" customHeight="1">
      <c r="A50" s="330" t="s">
        <v>274</v>
      </c>
      <c r="B50" s="331">
        <f>SUM('- 18 -'!B50,'- 18 -'!E50,'- 19 -'!B50,'- 19 -'!E50,'- 19 -'!H50,'- 20 -'!B50)</f>
        <v>1976838</v>
      </c>
      <c r="C50" s="337">
        <f>B50/'- 3 -'!D50*100</f>
        <v>61.192279297391913</v>
      </c>
      <c r="D50" s="331">
        <f>B50/'- 7 -'!C50</f>
        <v>10921.756906077348</v>
      </c>
      <c r="E50" s="331">
        <f>SUM('- 21 -'!B50,'- 21 -'!E50,'- 21 -'!H50,'- 22 -'!B50,'- 22 -'!D50,'- 22 -'!G50,'- 23 -'!B50)</f>
        <v>413185</v>
      </c>
      <c r="F50" s="337">
        <f>E50/'- 3 -'!D50*100</f>
        <v>12.789986797852368</v>
      </c>
      <c r="G50" s="331">
        <f>E50/'- 7 -'!E50</f>
        <v>2282.790055248619</v>
      </c>
      <c r="H50" s="331">
        <f>SUM('- 24 -'!D50,'- 24 -'!B50)</f>
        <v>0</v>
      </c>
      <c r="I50" s="337">
        <f>H50/'- 3 -'!D50*100</f>
        <v>0</v>
      </c>
    </row>
    <row r="51" spans="1:9" ht="14.1" customHeight="1">
      <c r="A51" s="26" t="s">
        <v>275</v>
      </c>
      <c r="B51" s="27">
        <f>SUM('- 18 -'!B51,'- 18 -'!E51,'- 19 -'!B51,'- 19 -'!E51,'- 19 -'!H51,'- 20 -'!B51)</f>
        <v>4778473</v>
      </c>
      <c r="C51" s="79">
        <f>B51/'- 3 -'!D51*100</f>
        <v>31.072494486771308</v>
      </c>
      <c r="D51" s="27">
        <f>B51/'- 7 -'!C51</f>
        <v>7437.3120622568094</v>
      </c>
      <c r="E51" s="27">
        <f>SUM('- 21 -'!B51,'- 21 -'!E51,'- 21 -'!H51,'- 22 -'!B51,'- 22 -'!D51,'- 22 -'!G51,'- 23 -'!B51)</f>
        <v>834143</v>
      </c>
      <c r="F51" s="79">
        <f>E51/'- 3 -'!D51*100</f>
        <v>5.424097566038121</v>
      </c>
      <c r="G51" s="27">
        <f>E51/'- 7 -'!E51</f>
        <v>1298.2770428015565</v>
      </c>
      <c r="H51" s="27">
        <f>SUM('- 24 -'!D51,'- 24 -'!B51)</f>
        <v>2452647</v>
      </c>
      <c r="I51" s="79">
        <f>H51/'- 3 -'!D51*100</f>
        <v>15.948580307034524</v>
      </c>
    </row>
    <row r="52" spans="1:9" ht="50.1" customHeight="1"/>
  </sheetData>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sheetPr codeName="Sheet11">
    <pageSetUpPr fitToPage="1"/>
  </sheetPr>
  <dimension ref="A1:I52"/>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6.83203125" style="1" customWidth="1"/>
    <col min="5" max="5" width="8.83203125" style="1" customWidth="1"/>
    <col min="6" max="6" width="9.83203125" style="1" customWidth="1"/>
    <col min="7" max="7" width="16.83203125" style="1" customWidth="1"/>
    <col min="8" max="8" width="8.83203125" style="1" customWidth="1"/>
    <col min="9" max="9" width="9.83203125" style="1" customWidth="1"/>
    <col min="10" max="16384" width="15.83203125" style="1"/>
  </cols>
  <sheetData>
    <row r="1" spans="1:9" ht="6.95" customHeight="1">
      <c r="A1" s="6"/>
      <c r="B1" s="7"/>
      <c r="C1" s="7"/>
      <c r="D1" s="7"/>
      <c r="E1" s="7"/>
      <c r="F1" s="7"/>
      <c r="G1" s="7"/>
      <c r="H1" s="7"/>
      <c r="I1" s="7"/>
    </row>
    <row r="2" spans="1:9" ht="15.95" customHeight="1">
      <c r="A2" s="152"/>
      <c r="B2" s="8" t="s">
        <v>481</v>
      </c>
      <c r="C2" s="9"/>
      <c r="D2" s="9"/>
      <c r="E2" s="9"/>
      <c r="F2" s="9"/>
      <c r="G2" s="82"/>
      <c r="H2" s="92"/>
      <c r="I2" s="153" t="s">
        <v>19</v>
      </c>
    </row>
    <row r="3" spans="1:9" ht="15.95" customHeight="1">
      <c r="A3" s="154"/>
      <c r="B3" s="10" t="str">
        <f>OPYEAR</f>
        <v>OPERATING FUND 2011/2012 ACTUAL</v>
      </c>
      <c r="C3" s="11"/>
      <c r="D3" s="11"/>
      <c r="E3" s="11"/>
      <c r="F3" s="11"/>
      <c r="G3" s="84"/>
      <c r="H3" s="74"/>
      <c r="I3" s="74"/>
    </row>
    <row r="4" spans="1:9" ht="15.95" customHeight="1">
      <c r="B4" s="7"/>
      <c r="C4" s="7"/>
      <c r="D4" s="7"/>
      <c r="E4" s="7"/>
      <c r="F4" s="7"/>
      <c r="G4" s="7"/>
      <c r="H4" s="7"/>
      <c r="I4" s="7"/>
    </row>
    <row r="5" spans="1:9" ht="15.95" customHeight="1">
      <c r="B5" s="7"/>
      <c r="C5" s="7"/>
      <c r="D5" s="7"/>
      <c r="E5" s="7"/>
      <c r="F5" s="7"/>
      <c r="G5" s="7"/>
      <c r="H5" s="7"/>
      <c r="I5" s="7"/>
    </row>
    <row r="6" spans="1:9" ht="15.95" customHeight="1">
      <c r="B6" s="358" t="s">
        <v>65</v>
      </c>
      <c r="C6" s="361"/>
      <c r="D6" s="358" t="s">
        <v>193</v>
      </c>
      <c r="E6" s="361"/>
      <c r="F6" s="359"/>
      <c r="G6" s="358" t="s">
        <v>435</v>
      </c>
      <c r="H6" s="361"/>
      <c r="I6" s="359"/>
    </row>
    <row r="7" spans="1:9" ht="15.95" customHeight="1">
      <c r="B7" s="344" t="s">
        <v>218</v>
      </c>
      <c r="C7" s="345"/>
      <c r="D7" s="344" t="s">
        <v>45</v>
      </c>
      <c r="E7" s="345"/>
      <c r="F7" s="346"/>
      <c r="G7" s="344" t="s">
        <v>51</v>
      </c>
      <c r="H7" s="345"/>
      <c r="I7" s="346"/>
    </row>
    <row r="8" spans="1:9" ht="15.95" customHeight="1">
      <c r="A8" s="75"/>
      <c r="B8" s="13" t="s">
        <v>18</v>
      </c>
      <c r="C8" s="156"/>
      <c r="D8" s="155"/>
      <c r="E8" s="157"/>
      <c r="F8" s="157" t="s">
        <v>75</v>
      </c>
      <c r="G8" s="155"/>
      <c r="H8" s="157"/>
      <c r="I8" s="157" t="s">
        <v>75</v>
      </c>
    </row>
    <row r="9" spans="1:9" ht="15.95" customHeight="1">
      <c r="A9" s="42" t="s">
        <v>95</v>
      </c>
      <c r="B9" s="87" t="s">
        <v>96</v>
      </c>
      <c r="C9" s="87" t="s">
        <v>97</v>
      </c>
      <c r="D9" s="87" t="s">
        <v>96</v>
      </c>
      <c r="E9" s="87" t="s">
        <v>97</v>
      </c>
      <c r="F9" s="87" t="s">
        <v>98</v>
      </c>
      <c r="G9" s="87" t="s">
        <v>96</v>
      </c>
      <c r="H9" s="87" t="s">
        <v>97</v>
      </c>
      <c r="I9" s="87" t="s">
        <v>98</v>
      </c>
    </row>
    <row r="10" spans="1:9" ht="5.0999999999999996" customHeight="1">
      <c r="A10" s="5"/>
    </row>
    <row r="11" spans="1:9" ht="14.1" customHeight="1">
      <c r="A11" s="330" t="s">
        <v>238</v>
      </c>
      <c r="B11" s="331">
        <f>SUM('- 25 -'!H11,'- 25 -'!F11,'- 25 -'!D11,'- 25 -'!B11)</f>
        <v>17339</v>
      </c>
      <c r="C11" s="337">
        <f>B11/'- 3 -'!D11*100</f>
        <v>0.11519410894974982</v>
      </c>
      <c r="D11" s="331">
        <f>SUM('- 26 -'!B11,'- 26 -'!E11,'- 26 -'!H11,'- 27 -'!B11)</f>
        <v>554877</v>
      </c>
      <c r="E11" s="337">
        <f>D11/'- 3 -'!D11*100</f>
        <v>3.6864041520105153</v>
      </c>
      <c r="F11" s="331">
        <f>D11/'- 7 -'!E11</f>
        <v>387.34869109947641</v>
      </c>
      <c r="G11" s="331">
        <f>SUM('- 28 -'!B11,'- 28 -'!E11,'- 28 -'!H11,'- 29 -'!B11,'- 29 -'!E11)</f>
        <v>300994</v>
      </c>
      <c r="H11" s="337">
        <f>G11/'- 3 -'!D11*100</f>
        <v>1.9996963855597782</v>
      </c>
      <c r="I11" s="331">
        <f>G11/'- 7 -'!E11</f>
        <v>210.11797556719023</v>
      </c>
    </row>
    <row r="12" spans="1:9" ht="14.1" customHeight="1">
      <c r="A12" s="26" t="s">
        <v>239</v>
      </c>
      <c r="B12" s="27">
        <f>SUM('- 25 -'!H12,'- 25 -'!F12,'- 25 -'!D12,'- 25 -'!B12)</f>
        <v>45012</v>
      </c>
      <c r="C12" s="79">
        <f>B12/'- 3 -'!D12*100</f>
        <v>0.15740297539601122</v>
      </c>
      <c r="D12" s="27">
        <f>SUM('- 26 -'!B12,'- 26 -'!E12,'- 26 -'!H12,'- 27 -'!B12)</f>
        <v>852004</v>
      </c>
      <c r="E12" s="79">
        <f>D12/'- 3 -'!D12*100</f>
        <v>2.9793824902093475</v>
      </c>
      <c r="F12" s="27">
        <f>D12/'- 7 -'!E12</f>
        <v>364.21011234033824</v>
      </c>
      <c r="G12" s="27">
        <f>SUM('- 28 -'!B12,'- 28 -'!E12,'- 28 -'!H12,'- 29 -'!B12,'- 29 -'!E12)</f>
        <v>705728</v>
      </c>
      <c r="H12" s="79">
        <f>G12/'- 3 -'!D12*100</f>
        <v>2.4678682800203551</v>
      </c>
      <c r="I12" s="27">
        <f>G12/'- 7 -'!E12</f>
        <v>301.68083032676168</v>
      </c>
    </row>
    <row r="13" spans="1:9" ht="14.1" customHeight="1">
      <c r="A13" s="330" t="s">
        <v>240</v>
      </c>
      <c r="B13" s="331">
        <f>SUM('- 25 -'!H13,'- 25 -'!F13,'- 25 -'!D13,'- 25 -'!B13)</f>
        <v>413259</v>
      </c>
      <c r="C13" s="337">
        <f>B13/'- 3 -'!D13*100</f>
        <v>0.56252099964603808</v>
      </c>
      <c r="D13" s="331">
        <f>SUM('- 26 -'!B13,'- 26 -'!E13,'- 26 -'!H13,'- 27 -'!B13)</f>
        <v>2146864</v>
      </c>
      <c r="E13" s="337">
        <f>D13/'- 3 -'!D13*100</f>
        <v>2.922274126840775</v>
      </c>
      <c r="F13" s="331">
        <f>D13/'- 7 -'!E13</f>
        <v>282.14798265212249</v>
      </c>
      <c r="G13" s="331">
        <f>SUM('- 28 -'!B13,'- 28 -'!E13,'- 28 -'!H13,'- 29 -'!B13,'- 29 -'!E13)</f>
        <v>2070144</v>
      </c>
      <c r="H13" s="337">
        <f>G13/'- 3 -'!D13*100</f>
        <v>2.8178441904259746</v>
      </c>
      <c r="I13" s="331">
        <f>G13/'- 7 -'!E13</f>
        <v>272.06518596399002</v>
      </c>
    </row>
    <row r="14" spans="1:9" ht="14.1" customHeight="1">
      <c r="A14" s="26" t="s">
        <v>653</v>
      </c>
      <c r="B14" s="27">
        <f>SUM('- 25 -'!H14,'- 25 -'!F14,'- 25 -'!D14,'- 25 -'!B14)</f>
        <v>843173</v>
      </c>
      <c r="C14" s="79">
        <f>B14/'- 3 -'!D14*100</f>
        <v>1.2682501810683653</v>
      </c>
      <c r="D14" s="27">
        <f>SUM('- 26 -'!B14,'- 26 -'!E14,'- 26 -'!H14,'- 27 -'!B14)</f>
        <v>2588120</v>
      </c>
      <c r="E14" s="79">
        <f>D14/'- 3 -'!D14*100</f>
        <v>3.8928946475120263</v>
      </c>
      <c r="F14" s="27">
        <f>D14/'- 7 -'!E14</f>
        <v>522.64135702746364</v>
      </c>
      <c r="G14" s="27">
        <f>SUM('- 28 -'!B14,'- 28 -'!E14,'- 28 -'!H14,'- 29 -'!B14,'- 29 -'!E14)</f>
        <v>2404138</v>
      </c>
      <c r="H14" s="79">
        <f>G14/'- 3 -'!D14*100</f>
        <v>3.6161599740662207</v>
      </c>
      <c r="I14" s="27">
        <f>G14/'- 7 -'!E14</f>
        <v>485.48828756058157</v>
      </c>
    </row>
    <row r="15" spans="1:9" ht="14.1" customHeight="1">
      <c r="A15" s="330" t="s">
        <v>241</v>
      </c>
      <c r="B15" s="331">
        <f>SUM('- 25 -'!H15,'- 25 -'!F15,'- 25 -'!D15,'- 25 -'!B15)</f>
        <v>315599</v>
      </c>
      <c r="C15" s="337">
        <f>B15/'- 3 -'!D15*100</f>
        <v>1.7242182795142607</v>
      </c>
      <c r="D15" s="331">
        <f>SUM('- 26 -'!B15,'- 26 -'!E15,'- 26 -'!H15,'- 27 -'!B15)</f>
        <v>729166</v>
      </c>
      <c r="E15" s="337">
        <f>D15/'- 3 -'!D15*100</f>
        <v>3.9836670775265302</v>
      </c>
      <c r="F15" s="331">
        <f>D15/'- 7 -'!E15</f>
        <v>475.64644487932156</v>
      </c>
      <c r="G15" s="331">
        <f>SUM('- 28 -'!B15,'- 28 -'!E15,'- 28 -'!H15,'- 29 -'!B15,'- 29 -'!E15)</f>
        <v>492550</v>
      </c>
      <c r="H15" s="337">
        <f>G15/'- 3 -'!D15*100</f>
        <v>2.6909581892678656</v>
      </c>
      <c r="I15" s="331">
        <f>G15/'- 7 -'!E15</f>
        <v>321.29810828440964</v>
      </c>
    </row>
    <row r="16" spans="1:9" ht="14.1" customHeight="1">
      <c r="A16" s="26" t="s">
        <v>242</v>
      </c>
      <c r="B16" s="27">
        <f>SUM('- 25 -'!H16,'- 25 -'!F16,'- 25 -'!D16,'- 25 -'!B16)</f>
        <v>12083</v>
      </c>
      <c r="C16" s="79">
        <f>B16/'- 3 -'!D16*100</f>
        <v>9.5909034769188078E-2</v>
      </c>
      <c r="D16" s="27">
        <f>SUM('- 26 -'!B16,'- 26 -'!E16,'- 26 -'!H16,'- 27 -'!B16)</f>
        <v>624227</v>
      </c>
      <c r="E16" s="79">
        <f>D16/'- 3 -'!D16*100</f>
        <v>4.9548132952798118</v>
      </c>
      <c r="F16" s="27">
        <f>D16/'- 7 -'!E16</f>
        <v>630.85093481556339</v>
      </c>
      <c r="G16" s="27">
        <f>SUM('- 28 -'!B16,'- 28 -'!E16,'- 28 -'!H16,'- 29 -'!B16,'- 29 -'!E16)</f>
        <v>329541</v>
      </c>
      <c r="H16" s="79">
        <f>G16/'- 3 -'!D16*100</f>
        <v>2.6157377494722347</v>
      </c>
      <c r="I16" s="27">
        <f>G16/'- 7 -'!E16</f>
        <v>333.03789792824659</v>
      </c>
    </row>
    <row r="17" spans="1:9" ht="14.1" customHeight="1">
      <c r="A17" s="330" t="s">
        <v>243</v>
      </c>
      <c r="B17" s="331">
        <f>SUM('- 25 -'!H17,'- 25 -'!F17,'- 25 -'!D17,'- 25 -'!B17)</f>
        <v>320294</v>
      </c>
      <c r="C17" s="337">
        <f>B17/'- 3 -'!D17*100</f>
        <v>2.0119304749733584</v>
      </c>
      <c r="D17" s="331">
        <f>SUM('- 26 -'!B17,'- 26 -'!E17,'- 26 -'!H17,'- 27 -'!B17)</f>
        <v>642092</v>
      </c>
      <c r="E17" s="337">
        <f>D17/'- 3 -'!D17*100</f>
        <v>4.033308343386369</v>
      </c>
      <c r="F17" s="331">
        <f>D17/'- 7 -'!E17</f>
        <v>485.51379962192817</v>
      </c>
      <c r="G17" s="331">
        <f>SUM('- 28 -'!B17,'- 28 -'!E17,'- 28 -'!H17,'- 29 -'!B17,'- 29 -'!E17)</f>
        <v>341254</v>
      </c>
      <c r="H17" s="337">
        <f>G17/'- 3 -'!D17*100</f>
        <v>2.1435909580153187</v>
      </c>
      <c r="I17" s="331">
        <f>G17/'- 7 -'!E17</f>
        <v>258.03705103969753</v>
      </c>
    </row>
    <row r="18" spans="1:9" ht="14.1" customHeight="1">
      <c r="A18" s="26" t="s">
        <v>244</v>
      </c>
      <c r="B18" s="27">
        <f>SUM('- 25 -'!H18,'- 25 -'!F18,'- 25 -'!D18,'- 25 -'!B18)</f>
        <v>2494061</v>
      </c>
      <c r="C18" s="79">
        <f>B18/'- 3 -'!D18*100</f>
        <v>2.2883186584343402</v>
      </c>
      <c r="D18" s="27">
        <f>SUM('- 26 -'!B18,'- 26 -'!E18,'- 26 -'!H18,'- 27 -'!B18)</f>
        <v>5912139</v>
      </c>
      <c r="E18" s="79">
        <f>D18/'- 3 -'!D18*100</f>
        <v>5.4244294686286114</v>
      </c>
      <c r="F18" s="27">
        <f>D18/'- 7 -'!E18</f>
        <v>1022.8437224269476</v>
      </c>
      <c r="G18" s="27">
        <f>SUM('- 28 -'!B18,'- 28 -'!E18,'- 28 -'!H18,'- 29 -'!B18,'- 29 -'!E18)</f>
        <v>6128252</v>
      </c>
      <c r="H18" s="79">
        <f>G18/'- 3 -'!D18*100</f>
        <v>5.6227146790666165</v>
      </c>
      <c r="I18" s="27">
        <f>G18/'- 7 -'!E18</f>
        <v>1060.2328679434611</v>
      </c>
    </row>
    <row r="19" spans="1:9" ht="14.1" customHeight="1">
      <c r="A19" s="330" t="s">
        <v>245</v>
      </c>
      <c r="B19" s="331">
        <f>SUM('- 25 -'!H19,'- 25 -'!F19,'- 25 -'!D19,'- 25 -'!B19)</f>
        <v>39140</v>
      </c>
      <c r="C19" s="337">
        <f>B19/'- 3 -'!D19*100</f>
        <v>0.10542942409163622</v>
      </c>
      <c r="D19" s="331">
        <f>SUM('- 26 -'!B19,'- 26 -'!E19,'- 26 -'!H19,'- 27 -'!B19)</f>
        <v>1225253</v>
      </c>
      <c r="E19" s="337">
        <f>D19/'- 3 -'!D19*100</f>
        <v>3.3004015880569635</v>
      </c>
      <c r="F19" s="331">
        <f>D19/'- 7 -'!E19</f>
        <v>295.92623901072363</v>
      </c>
      <c r="G19" s="331">
        <f>SUM('- 28 -'!B19,'- 28 -'!E19,'- 28 -'!H19,'- 29 -'!B19,'- 29 -'!E19)</f>
        <v>897459</v>
      </c>
      <c r="H19" s="337">
        <f>G19/'- 3 -'!D19*100</f>
        <v>2.4174395890612095</v>
      </c>
      <c r="I19" s="331">
        <f>G19/'- 7 -'!E19</f>
        <v>216.75659356583907</v>
      </c>
    </row>
    <row r="20" spans="1:9" ht="14.1" customHeight="1">
      <c r="A20" s="26" t="s">
        <v>246</v>
      </c>
      <c r="B20" s="27">
        <f>SUM('- 25 -'!H20,'- 25 -'!F20,'- 25 -'!D20,'- 25 -'!B20)</f>
        <v>130553</v>
      </c>
      <c r="C20" s="79">
        <f>B20/'- 3 -'!D20*100</f>
        <v>0.20774162608451804</v>
      </c>
      <c r="D20" s="27">
        <f>SUM('- 26 -'!B20,'- 26 -'!E20,'- 26 -'!H20,'- 27 -'!B20)</f>
        <v>1764190</v>
      </c>
      <c r="E20" s="79">
        <f>D20/'- 3 -'!D20*100</f>
        <v>2.8072560517341301</v>
      </c>
      <c r="F20" s="27">
        <f>D20/'- 7 -'!E20</f>
        <v>241.76922022749076</v>
      </c>
      <c r="G20" s="27">
        <f>SUM('- 28 -'!B20,'- 28 -'!E20,'- 28 -'!H20,'- 29 -'!B20,'- 29 -'!E20)</f>
        <v>1997095</v>
      </c>
      <c r="H20" s="79">
        <f>G20/'- 3 -'!D20*100</f>
        <v>3.1778646430588386</v>
      </c>
      <c r="I20" s="27">
        <f>G20/'- 7 -'!E20</f>
        <v>273.68713169795808</v>
      </c>
    </row>
    <row r="21" spans="1:9" ht="14.1" customHeight="1">
      <c r="A21" s="330" t="s">
        <v>247</v>
      </c>
      <c r="B21" s="331">
        <f>SUM('- 25 -'!H21,'- 25 -'!F21,'- 25 -'!D21,'- 25 -'!B21)</f>
        <v>246331</v>
      </c>
      <c r="C21" s="337">
        <f>B21/'- 3 -'!D21*100</f>
        <v>0.78335823513887237</v>
      </c>
      <c r="D21" s="331">
        <f>SUM('- 26 -'!B21,'- 26 -'!E21,'- 26 -'!H21,'- 27 -'!B21)</f>
        <v>1187889</v>
      </c>
      <c r="E21" s="337">
        <f>D21/'- 3 -'!D21*100</f>
        <v>3.7776107375071755</v>
      </c>
      <c r="F21" s="331">
        <f>D21/'- 7 -'!E21</f>
        <v>417.82940555750969</v>
      </c>
      <c r="G21" s="331">
        <f>SUM('- 28 -'!B21,'- 28 -'!E21,'- 28 -'!H21,'- 29 -'!B21,'- 29 -'!E21)</f>
        <v>1364293</v>
      </c>
      <c r="H21" s="337">
        <f>G21/'- 3 -'!D21*100</f>
        <v>4.338593829815645</v>
      </c>
      <c r="I21" s="331">
        <f>G21/'- 7 -'!E21</f>
        <v>479.87794583186775</v>
      </c>
    </row>
    <row r="22" spans="1:9" ht="14.1" customHeight="1">
      <c r="A22" s="26" t="s">
        <v>248</v>
      </c>
      <c r="B22" s="27">
        <f>SUM('- 25 -'!H22,'- 25 -'!F22,'- 25 -'!D22,'- 25 -'!B22)</f>
        <v>50972</v>
      </c>
      <c r="C22" s="79">
        <f>B22/'- 3 -'!D22*100</f>
        <v>0.27981027664338998</v>
      </c>
      <c r="D22" s="27">
        <f>SUM('- 26 -'!B22,'- 26 -'!E22,'- 26 -'!H22,'- 27 -'!B22)</f>
        <v>690445</v>
      </c>
      <c r="E22" s="79">
        <f>D22/'- 3 -'!D22*100</f>
        <v>3.7901908196077332</v>
      </c>
      <c r="F22" s="27">
        <f>D22/'- 7 -'!E22</f>
        <v>441.12254025044723</v>
      </c>
      <c r="G22" s="27">
        <f>SUM('- 28 -'!B22,'- 28 -'!E22,'- 28 -'!H22,'- 29 -'!B22,'- 29 -'!E22)</f>
        <v>490580</v>
      </c>
      <c r="H22" s="79">
        <f>G22/'- 3 -'!D22*100</f>
        <v>2.6930339307014486</v>
      </c>
      <c r="I22" s="27">
        <f>G22/'- 7 -'!E22</f>
        <v>313.42959366215177</v>
      </c>
    </row>
    <row r="23" spans="1:9" ht="14.1" customHeight="1">
      <c r="A23" s="330" t="s">
        <v>249</v>
      </c>
      <c r="B23" s="331">
        <f>SUM('- 25 -'!H23,'- 25 -'!F23,'- 25 -'!D23,'- 25 -'!B23)</f>
        <v>343138</v>
      </c>
      <c r="C23" s="337">
        <f>B23/'- 3 -'!D23*100</f>
        <v>2.2462413010338964</v>
      </c>
      <c r="D23" s="331">
        <f>SUM('- 26 -'!B23,'- 26 -'!E23,'- 26 -'!H23,'- 27 -'!B23)</f>
        <v>564638</v>
      </c>
      <c r="E23" s="337">
        <f>D23/'- 3 -'!D23*100</f>
        <v>3.6962190014897129</v>
      </c>
      <c r="F23" s="331">
        <f>D23/'- 7 -'!E23</f>
        <v>473.09426057813153</v>
      </c>
      <c r="G23" s="331">
        <f>SUM('- 28 -'!B23,'- 28 -'!E23,'- 28 -'!H23,'- 29 -'!B23,'- 29 -'!E23)</f>
        <v>457033</v>
      </c>
      <c r="H23" s="337">
        <f>G23/'- 3 -'!D23*100</f>
        <v>2.9918178707558614</v>
      </c>
      <c r="I23" s="331">
        <f>G23/'- 7 -'!E23</f>
        <v>382.93506493506493</v>
      </c>
    </row>
    <row r="24" spans="1:9" ht="14.1" customHeight="1">
      <c r="A24" s="26" t="s">
        <v>250</v>
      </c>
      <c r="B24" s="27">
        <f>SUM('- 25 -'!H24,'- 25 -'!F24,'- 25 -'!D24,'- 25 -'!B24)</f>
        <v>472565</v>
      </c>
      <c r="C24" s="79">
        <f>B24/'- 3 -'!D24*100</f>
        <v>0.96351789105504138</v>
      </c>
      <c r="D24" s="27">
        <f>SUM('- 26 -'!B24,'- 26 -'!E24,'- 26 -'!H24,'- 27 -'!B24)</f>
        <v>1707846</v>
      </c>
      <c r="E24" s="79">
        <f>D24/'- 3 -'!D24*100</f>
        <v>3.4821456861316178</v>
      </c>
      <c r="F24" s="27">
        <f>D24/'- 7 -'!E24</f>
        <v>394.28512062795801</v>
      </c>
      <c r="G24" s="27">
        <f>SUM('- 28 -'!B24,'- 28 -'!E24,'- 28 -'!H24,'- 29 -'!B24,'- 29 -'!E24)</f>
        <v>1404980</v>
      </c>
      <c r="H24" s="79">
        <f>G24/'- 3 -'!D24*100</f>
        <v>2.864628922104921</v>
      </c>
      <c r="I24" s="27">
        <f>G24/'- 7 -'!E24</f>
        <v>324.36338450883068</v>
      </c>
    </row>
    <row r="25" spans="1:9" ht="14.1" customHeight="1">
      <c r="A25" s="330" t="s">
        <v>251</v>
      </c>
      <c r="B25" s="331">
        <f>SUM('- 25 -'!H25,'- 25 -'!F25,'- 25 -'!D25,'- 25 -'!B25)</f>
        <v>1071322</v>
      </c>
      <c r="C25" s="337">
        <f>B25/'- 3 -'!D25*100</f>
        <v>0.73718108128736348</v>
      </c>
      <c r="D25" s="331">
        <f>SUM('- 26 -'!B25,'- 26 -'!E25,'- 26 -'!H25,'- 27 -'!B25)</f>
        <v>4894708</v>
      </c>
      <c r="E25" s="337">
        <f>D25/'- 3 -'!D25*100</f>
        <v>3.3680687375279406</v>
      </c>
      <c r="F25" s="331">
        <f>D25/'- 7 -'!E25</f>
        <v>355.20377358490566</v>
      </c>
      <c r="G25" s="331">
        <f>SUM('- 28 -'!B25,'- 28 -'!E25,'- 28 -'!H25,'- 29 -'!B25,'- 29 -'!E25)</f>
        <v>7201547</v>
      </c>
      <c r="H25" s="337">
        <f>G25/'- 3 -'!D25*100</f>
        <v>4.9554141559696978</v>
      </c>
      <c r="I25" s="331">
        <f>G25/'- 7 -'!E25</f>
        <v>522.60863570391871</v>
      </c>
    </row>
    <row r="26" spans="1:9" ht="14.1" customHeight="1">
      <c r="A26" s="26" t="s">
        <v>252</v>
      </c>
      <c r="B26" s="27">
        <f>SUM('- 25 -'!H26,'- 25 -'!F26,'- 25 -'!D26,'- 25 -'!B26)</f>
        <v>90158</v>
      </c>
      <c r="C26" s="79">
        <f>B26/'- 3 -'!D26*100</f>
        <v>0.25079962932238731</v>
      </c>
      <c r="D26" s="27">
        <f>SUM('- 26 -'!B26,'- 26 -'!E26,'- 26 -'!H26,'- 27 -'!B26)</f>
        <v>1168666</v>
      </c>
      <c r="E26" s="79">
        <f>D26/'- 3 -'!D26*100</f>
        <v>3.2509705140051581</v>
      </c>
      <c r="F26" s="27">
        <f>D26/'- 7 -'!E26</f>
        <v>375.9581791861026</v>
      </c>
      <c r="G26" s="27">
        <f>SUM('- 28 -'!B26,'- 28 -'!E26,'- 28 -'!H26,'- 29 -'!B26,'- 29 -'!E26)</f>
        <v>1225712</v>
      </c>
      <c r="H26" s="79">
        <f>G26/'- 3 -'!D26*100</f>
        <v>3.4096598777257925</v>
      </c>
      <c r="I26" s="27">
        <f>G26/'- 7 -'!E26</f>
        <v>394.30979572140905</v>
      </c>
    </row>
    <row r="27" spans="1:9" ht="14.1" customHeight="1">
      <c r="A27" s="330" t="s">
        <v>253</v>
      </c>
      <c r="B27" s="331">
        <f>SUM('- 25 -'!H27,'- 25 -'!F27,'- 25 -'!D27,'- 25 -'!B27)</f>
        <v>35146</v>
      </c>
      <c r="C27" s="337">
        <f>B27/'- 3 -'!D27*100</f>
        <v>8.8189249824291466E-2</v>
      </c>
      <c r="D27" s="331">
        <f>SUM('- 26 -'!B27,'- 26 -'!E27,'- 26 -'!H27,'- 27 -'!B27)</f>
        <v>2197546</v>
      </c>
      <c r="E27" s="337">
        <f>D27/'- 3 -'!D27*100</f>
        <v>5.5141391109762825</v>
      </c>
      <c r="F27" s="331">
        <f>D27/'- 7 -'!E27</f>
        <v>786.15747862483454</v>
      </c>
      <c r="G27" s="331">
        <f>SUM('- 28 -'!B27,'- 28 -'!E27,'- 28 -'!H27,'- 29 -'!B27,'- 29 -'!E27)</f>
        <v>2342825</v>
      </c>
      <c r="H27" s="337">
        <f>G27/'- 3 -'!D27*100</f>
        <v>5.8786769253854105</v>
      </c>
      <c r="I27" s="331">
        <f>G27/'- 7 -'!E27</f>
        <v>838.1300754838478</v>
      </c>
    </row>
    <row r="28" spans="1:9" ht="14.1" customHeight="1">
      <c r="A28" s="26" t="s">
        <v>254</v>
      </c>
      <c r="B28" s="27">
        <f>SUM('- 25 -'!H28,'- 25 -'!F28,'- 25 -'!D28,'- 25 -'!B28)</f>
        <v>70234</v>
      </c>
      <c r="C28" s="79">
        <f>B28/'- 3 -'!D28*100</f>
        <v>0.28351174960706005</v>
      </c>
      <c r="D28" s="27">
        <f>SUM('- 26 -'!B28,'- 26 -'!E28,'- 26 -'!H28,'- 27 -'!B28)</f>
        <v>1064829</v>
      </c>
      <c r="E28" s="79">
        <f>D28/'- 3 -'!D28*100</f>
        <v>4.2983673551604085</v>
      </c>
      <c r="F28" s="27">
        <f>D28/'- 7 -'!E28</f>
        <v>531.61707438841734</v>
      </c>
      <c r="G28" s="27">
        <f>SUM('- 28 -'!B28,'- 28 -'!E28,'- 28 -'!H28,'- 29 -'!B28,'- 29 -'!E28)</f>
        <v>666660</v>
      </c>
      <c r="H28" s="79">
        <f>G28/'- 3 -'!D28*100</f>
        <v>2.6910889739021369</v>
      </c>
      <c r="I28" s="27">
        <f>G28/'- 7 -'!E28</f>
        <v>332.8307538691962</v>
      </c>
    </row>
    <row r="29" spans="1:9" ht="14.1" customHeight="1">
      <c r="A29" s="330" t="s">
        <v>255</v>
      </c>
      <c r="B29" s="331">
        <f>SUM('- 25 -'!H29,'- 25 -'!F29,'- 25 -'!D29,'- 25 -'!B29)</f>
        <v>778348</v>
      </c>
      <c r="C29" s="337">
        <f>B29/'- 3 -'!D29*100</f>
        <v>0.57703301575146637</v>
      </c>
      <c r="D29" s="331">
        <f>SUM('- 26 -'!B29,'- 26 -'!E29,'- 26 -'!H29,'- 27 -'!B29)</f>
        <v>4360662</v>
      </c>
      <c r="E29" s="337">
        <f>D29/'- 3 -'!D29*100</f>
        <v>3.232803250644726</v>
      </c>
      <c r="F29" s="331">
        <f>D29/'- 7 -'!E29</f>
        <v>357.88893995600932</v>
      </c>
      <c r="G29" s="331">
        <f>SUM('- 28 -'!B29,'- 28 -'!E29,'- 28 -'!H29,'- 29 -'!B29,'- 29 -'!E29)</f>
        <v>5864273</v>
      </c>
      <c r="H29" s="337">
        <f>G29/'- 3 -'!D29*100</f>
        <v>4.3475143950776509</v>
      </c>
      <c r="I29" s="331">
        <f>G29/'- 7 -'!E29</f>
        <v>481.29353927973477</v>
      </c>
    </row>
    <row r="30" spans="1:9" ht="14.1" customHeight="1">
      <c r="A30" s="26" t="s">
        <v>256</v>
      </c>
      <c r="B30" s="27">
        <f>SUM('- 25 -'!H30,'- 25 -'!F30,'- 25 -'!D30,'- 25 -'!B30)</f>
        <v>13507</v>
      </c>
      <c r="C30" s="79">
        <f>B30/'- 3 -'!D30*100</f>
        <v>0.10483042648218209</v>
      </c>
      <c r="D30" s="27">
        <f>SUM('- 26 -'!B30,'- 26 -'!E30,'- 26 -'!H30,'- 27 -'!B30)</f>
        <v>538901</v>
      </c>
      <c r="E30" s="79">
        <f>D30/'- 3 -'!D30*100</f>
        <v>4.1825143748926052</v>
      </c>
      <c r="F30" s="27">
        <f>D30/'- 7 -'!E30</f>
        <v>490.80236794171219</v>
      </c>
      <c r="G30" s="27">
        <f>SUM('- 28 -'!B30,'- 28 -'!E30,'- 28 -'!H30,'- 29 -'!B30,'- 29 -'!E30)</f>
        <v>413512</v>
      </c>
      <c r="H30" s="79">
        <f>G30/'- 3 -'!D30*100</f>
        <v>3.2093462142222613</v>
      </c>
      <c r="I30" s="27">
        <f>G30/'- 7 -'!E30</f>
        <v>376.60473588342438</v>
      </c>
    </row>
    <row r="31" spans="1:9" ht="14.1" customHeight="1">
      <c r="A31" s="330" t="s">
        <v>257</v>
      </c>
      <c r="B31" s="331">
        <f>SUM('- 25 -'!H31,'- 25 -'!F31,'- 25 -'!D31,'- 25 -'!B31)</f>
        <v>40365</v>
      </c>
      <c r="C31" s="337">
        <f>B31/'- 3 -'!D31*100</f>
        <v>0.1259556394628801</v>
      </c>
      <c r="D31" s="331">
        <f>SUM('- 26 -'!B31,'- 26 -'!E31,'- 26 -'!H31,'- 27 -'!B31)</f>
        <v>1078819</v>
      </c>
      <c r="E31" s="337">
        <f>D31/'- 3 -'!D31*100</f>
        <v>3.3663653415014205</v>
      </c>
      <c r="F31" s="331">
        <f>D31/'- 7 -'!E31</f>
        <v>337.28904173831484</v>
      </c>
      <c r="G31" s="331">
        <f>SUM('- 28 -'!B31,'- 28 -'!E31,'- 28 -'!H31,'- 29 -'!B31,'- 29 -'!E31)</f>
        <v>1164197</v>
      </c>
      <c r="H31" s="337">
        <f>G31/'- 3 -'!D31*100</f>
        <v>3.6327803194789205</v>
      </c>
      <c r="I31" s="331">
        <f>G31/'- 7 -'!E31</f>
        <v>363.98217914647489</v>
      </c>
    </row>
    <row r="32" spans="1:9" ht="14.1" customHeight="1">
      <c r="A32" s="26" t="s">
        <v>258</v>
      </c>
      <c r="B32" s="27">
        <f>SUM('- 25 -'!H32,'- 25 -'!F32,'- 25 -'!D32,'- 25 -'!B32)</f>
        <v>25024</v>
      </c>
      <c r="C32" s="79">
        <f>B32/'- 3 -'!D32*100</f>
        <v>0.10572849527445509</v>
      </c>
      <c r="D32" s="27">
        <f>SUM('- 26 -'!B32,'- 26 -'!E32,'- 26 -'!H32,'- 27 -'!B32)</f>
        <v>968629</v>
      </c>
      <c r="E32" s="79">
        <f>D32/'- 3 -'!D32*100</f>
        <v>4.0925386288842773</v>
      </c>
      <c r="F32" s="27">
        <f>D32/'- 7 -'!E32</f>
        <v>469.63830303030301</v>
      </c>
      <c r="G32" s="27">
        <f>SUM('- 28 -'!B32,'- 28 -'!E32,'- 28 -'!H32,'- 29 -'!B32,'- 29 -'!E32)</f>
        <v>686065</v>
      </c>
      <c r="H32" s="79">
        <f>G32/'- 3 -'!D32*100</f>
        <v>2.8986820696319149</v>
      </c>
      <c r="I32" s="27">
        <f>G32/'- 7 -'!E32</f>
        <v>332.63757575757575</v>
      </c>
    </row>
    <row r="33" spans="1:9" ht="14.1" customHeight="1">
      <c r="A33" s="330" t="s">
        <v>259</v>
      </c>
      <c r="B33" s="331">
        <f>SUM('- 25 -'!H33,'- 25 -'!F33,'- 25 -'!D33,'- 25 -'!B33)</f>
        <v>29874</v>
      </c>
      <c r="C33" s="337">
        <f>B33/'- 3 -'!D33*100</f>
        <v>0.12198107655956036</v>
      </c>
      <c r="D33" s="331">
        <f>SUM('- 26 -'!B33,'- 26 -'!E33,'- 26 -'!H33,'- 27 -'!B33)</f>
        <v>1080251</v>
      </c>
      <c r="E33" s="337">
        <f>D33/'- 3 -'!D33*100</f>
        <v>4.4108649640001882</v>
      </c>
      <c r="F33" s="331">
        <f>D33/'- 7 -'!E33</f>
        <v>530.18453987730061</v>
      </c>
      <c r="G33" s="331">
        <f>SUM('- 28 -'!B33,'- 28 -'!E33,'- 28 -'!H33,'- 29 -'!B33,'- 29 -'!E33)</f>
        <v>701753</v>
      </c>
      <c r="H33" s="337">
        <f>G33/'- 3 -'!D33*100</f>
        <v>2.865387508164329</v>
      </c>
      <c r="I33" s="331">
        <f>G33/'- 7 -'!E33</f>
        <v>344.41865030674848</v>
      </c>
    </row>
    <row r="34" spans="1:9" ht="14.1" customHeight="1">
      <c r="A34" s="26" t="s">
        <v>260</v>
      </c>
      <c r="B34" s="27">
        <f>SUM('- 25 -'!H34,'- 25 -'!F34,'- 25 -'!D34,'- 25 -'!B34)</f>
        <v>28459</v>
      </c>
      <c r="C34" s="79">
        <f>B34/'- 3 -'!D34*100</f>
        <v>0.12576475701978493</v>
      </c>
      <c r="D34" s="27">
        <f>SUM('- 26 -'!B34,'- 26 -'!E34,'- 26 -'!H34,'- 27 -'!B34)</f>
        <v>914803</v>
      </c>
      <c r="E34" s="79">
        <f>D34/'- 3 -'!D34*100</f>
        <v>4.042657051054861</v>
      </c>
      <c r="F34" s="27">
        <f>D34/'- 7 -'!E34</f>
        <v>458.93894546731553</v>
      </c>
      <c r="G34" s="27">
        <f>SUM('- 28 -'!B34,'- 28 -'!E34,'- 28 -'!H34,'- 29 -'!B34,'- 29 -'!E34)</f>
        <v>481864</v>
      </c>
      <c r="H34" s="79">
        <f>G34/'- 3 -'!D34*100</f>
        <v>2.1294321260965474</v>
      </c>
      <c r="I34" s="27">
        <f>G34/'- 7 -'!E34</f>
        <v>241.74183514774495</v>
      </c>
    </row>
    <row r="35" spans="1:9" ht="14.1" customHeight="1">
      <c r="A35" s="330" t="s">
        <v>261</v>
      </c>
      <c r="B35" s="331">
        <f>SUM('- 25 -'!H35,'- 25 -'!F35,'- 25 -'!D35,'- 25 -'!B35)</f>
        <v>1282051</v>
      </c>
      <c r="C35" s="337">
        <f>B35/'- 3 -'!D35*100</f>
        <v>0.79685491267025788</v>
      </c>
      <c r="D35" s="331">
        <f>SUM('- 26 -'!B35,'- 26 -'!E35,'- 26 -'!H35,'- 27 -'!B35)</f>
        <v>4781877</v>
      </c>
      <c r="E35" s="337">
        <f>D35/'- 3 -'!D35*100</f>
        <v>2.9721611536786878</v>
      </c>
      <c r="F35" s="331">
        <f>D35/'- 7 -'!E35</f>
        <v>303.31273984332881</v>
      </c>
      <c r="G35" s="331">
        <f>SUM('- 28 -'!B35,'- 28 -'!E35,'- 28 -'!H35,'- 29 -'!B35,'- 29 -'!E35)</f>
        <v>6752792</v>
      </c>
      <c r="H35" s="337">
        <f>G35/'- 3 -'!D35*100</f>
        <v>4.1971773973425526</v>
      </c>
      <c r="I35" s="331">
        <f>G35/'- 7 -'!E35</f>
        <v>428.32717008658148</v>
      </c>
    </row>
    <row r="36" spans="1:9" ht="14.1" customHeight="1">
      <c r="A36" s="26" t="s">
        <v>262</v>
      </c>
      <c r="B36" s="27">
        <f>SUM('- 25 -'!H36,'- 25 -'!F36,'- 25 -'!D36,'- 25 -'!B36)</f>
        <v>24180</v>
      </c>
      <c r="C36" s="79">
        <f>B36/'- 3 -'!D36*100</f>
        <v>0.11872909198121487</v>
      </c>
      <c r="D36" s="27">
        <f>SUM('- 26 -'!B36,'- 26 -'!E36,'- 26 -'!H36,'- 27 -'!B36)</f>
        <v>854623</v>
      </c>
      <c r="E36" s="79">
        <f>D36/'- 3 -'!D36*100</f>
        <v>4.1963859708958564</v>
      </c>
      <c r="F36" s="27">
        <f>D36/'- 7 -'!E36</f>
        <v>512.05692031156377</v>
      </c>
      <c r="G36" s="27">
        <f>SUM('- 28 -'!B36,'- 28 -'!E36,'- 28 -'!H36,'- 29 -'!B36,'- 29 -'!E36)</f>
        <v>675634</v>
      </c>
      <c r="H36" s="79">
        <f>G36/'- 3 -'!D36*100</f>
        <v>3.3175108077599726</v>
      </c>
      <c r="I36" s="27">
        <f>G36/'- 7 -'!E36</f>
        <v>404.81366087477534</v>
      </c>
    </row>
    <row r="37" spans="1:9" ht="14.1" customHeight="1">
      <c r="A37" s="330" t="s">
        <v>263</v>
      </c>
      <c r="B37" s="331">
        <f>SUM('- 25 -'!H37,'- 25 -'!F37,'- 25 -'!D37,'- 25 -'!B37)</f>
        <v>41881</v>
      </c>
      <c r="C37" s="337">
        <f>B37/'- 3 -'!D37*100</f>
        <v>0.11166438646217355</v>
      </c>
      <c r="D37" s="331">
        <f>SUM('- 26 -'!B37,'- 26 -'!E37,'- 26 -'!H37,'- 27 -'!B37)</f>
        <v>1255363</v>
      </c>
      <c r="E37" s="337">
        <f>D37/'- 3 -'!D37*100</f>
        <v>3.3470867262556672</v>
      </c>
      <c r="F37" s="331">
        <f>D37/'- 7 -'!E37</f>
        <v>341.36315431679128</v>
      </c>
      <c r="G37" s="331">
        <f>SUM('- 28 -'!B37,'- 28 -'!E37,'- 28 -'!H37,'- 29 -'!B37,'- 29 -'!E37)</f>
        <v>948310</v>
      </c>
      <c r="H37" s="337">
        <f>G37/'- 3 -'!D37*100</f>
        <v>2.5284127486436287</v>
      </c>
      <c r="I37" s="331">
        <f>G37/'- 7 -'!E37</f>
        <v>257.86811692726036</v>
      </c>
    </row>
    <row r="38" spans="1:9" ht="14.1" customHeight="1">
      <c r="A38" s="26" t="s">
        <v>264</v>
      </c>
      <c r="B38" s="27">
        <f>SUM('- 25 -'!H38,'- 25 -'!F38,'- 25 -'!D38,'- 25 -'!B38)</f>
        <v>907430</v>
      </c>
      <c r="C38" s="79">
        <f>B38/'- 3 -'!D38*100</f>
        <v>0.88382760477147881</v>
      </c>
      <c r="D38" s="27">
        <f>SUM('- 26 -'!B38,'- 26 -'!E38,'- 26 -'!H38,'- 27 -'!B38)</f>
        <v>3060637</v>
      </c>
      <c r="E38" s="79">
        <f>D38/'- 3 -'!D38*100</f>
        <v>2.9810293562974164</v>
      </c>
      <c r="F38" s="27">
        <f>D38/'- 7 -'!E38</f>
        <v>301.31497597857759</v>
      </c>
      <c r="G38" s="27">
        <f>SUM('- 28 -'!B38,'- 28 -'!E38,'- 28 -'!H38,'- 29 -'!B38,'- 29 -'!E38)</f>
        <v>3505353</v>
      </c>
      <c r="H38" s="79">
        <f>G38/'- 3 -'!D38*100</f>
        <v>3.414178224070747</v>
      </c>
      <c r="I38" s="27">
        <f>G38/'- 7 -'!E38</f>
        <v>345.09657793179491</v>
      </c>
    </row>
    <row r="39" spans="1:9" ht="14.1" customHeight="1">
      <c r="A39" s="330" t="s">
        <v>265</v>
      </c>
      <c r="B39" s="331">
        <f>SUM('- 25 -'!H39,'- 25 -'!F39,'- 25 -'!D39,'- 25 -'!B39)</f>
        <v>60563</v>
      </c>
      <c r="C39" s="337">
        <f>B39/'- 3 -'!D39*100</f>
        <v>0.31876061737125627</v>
      </c>
      <c r="D39" s="331">
        <f>SUM('- 26 -'!B39,'- 26 -'!E39,'- 26 -'!H39,'- 27 -'!B39)</f>
        <v>798369</v>
      </c>
      <c r="E39" s="337">
        <f>D39/'- 3 -'!D39*100</f>
        <v>4.2020473776079861</v>
      </c>
      <c r="F39" s="331">
        <f>D39/'- 7 -'!E39</f>
        <v>502.40324712101193</v>
      </c>
      <c r="G39" s="331">
        <f>SUM('- 28 -'!B39,'- 28 -'!E39,'- 28 -'!H39,'- 29 -'!B39,'- 29 -'!E39)</f>
        <v>775581</v>
      </c>
      <c r="H39" s="337">
        <f>G39/'- 3 -'!D39*100</f>
        <v>4.0821075306939267</v>
      </c>
      <c r="I39" s="331">
        <f>G39/'- 7 -'!E39</f>
        <v>488.06305455918448</v>
      </c>
    </row>
    <row r="40" spans="1:9" ht="14.1" customHeight="1">
      <c r="A40" s="26" t="s">
        <v>266</v>
      </c>
      <c r="B40" s="27">
        <f>SUM('- 25 -'!H40,'- 25 -'!F40,'- 25 -'!D40,'- 25 -'!B40)</f>
        <v>953494</v>
      </c>
      <c r="C40" s="79">
        <f>B40/'- 3 -'!D40*100</f>
        <v>1.0495425968817018</v>
      </c>
      <c r="D40" s="27">
        <f>SUM('- 26 -'!B40,'- 26 -'!E40,'- 26 -'!H40,'- 27 -'!B40)</f>
        <v>3061560</v>
      </c>
      <c r="E40" s="79">
        <f>D40/'- 3 -'!D40*100</f>
        <v>3.3699610410858831</v>
      </c>
      <c r="F40" s="27">
        <f>D40/'- 7 -'!E40</f>
        <v>373.40651298938894</v>
      </c>
      <c r="G40" s="27">
        <f>SUM('- 28 -'!B40,'- 28 -'!E40,'- 28 -'!H40,'- 29 -'!B40,'- 29 -'!E40)</f>
        <v>3357163</v>
      </c>
      <c r="H40" s="79">
        <f>G40/'- 3 -'!D40*100</f>
        <v>3.6953411066825432</v>
      </c>
      <c r="I40" s="27">
        <f>G40/'- 7 -'!E40</f>
        <v>409.46005610440295</v>
      </c>
    </row>
    <row r="41" spans="1:9" ht="14.1" customHeight="1">
      <c r="A41" s="330" t="s">
        <v>267</v>
      </c>
      <c r="B41" s="331">
        <f>SUM('- 25 -'!H41,'- 25 -'!F41,'- 25 -'!D41,'- 25 -'!B41)</f>
        <v>274051</v>
      </c>
      <c r="C41" s="337">
        <f>B41/'- 3 -'!D41*100</f>
        <v>0.49632187981882553</v>
      </c>
      <c r="D41" s="331">
        <f>SUM('- 26 -'!B41,'- 26 -'!E41,'- 26 -'!H41,'- 27 -'!B41)</f>
        <v>1990865</v>
      </c>
      <c r="E41" s="337">
        <f>D41/'- 3 -'!D41*100</f>
        <v>3.6055692526774439</v>
      </c>
      <c r="F41" s="331">
        <f>D41/'- 7 -'!E41</f>
        <v>437.79329301814181</v>
      </c>
      <c r="G41" s="331">
        <f>SUM('- 28 -'!B41,'- 28 -'!E41,'- 28 -'!H41,'- 29 -'!B41,'- 29 -'!E41)</f>
        <v>1447052</v>
      </c>
      <c r="H41" s="337">
        <f>G41/'- 3 -'!D41*100</f>
        <v>2.6206931149150745</v>
      </c>
      <c r="I41" s="331">
        <f>G41/'- 7 -'!E41</f>
        <v>318.20824628916989</v>
      </c>
    </row>
    <row r="42" spans="1:9" ht="14.1" customHeight="1">
      <c r="A42" s="26" t="s">
        <v>268</v>
      </c>
      <c r="B42" s="27">
        <f>SUM('- 25 -'!H42,'- 25 -'!F42,'- 25 -'!D42,'- 25 -'!B42)</f>
        <v>73095</v>
      </c>
      <c r="C42" s="79">
        <f>B42/'- 3 -'!D42*100</f>
        <v>0.38088519605882437</v>
      </c>
      <c r="D42" s="27">
        <f>SUM('- 26 -'!B42,'- 26 -'!E42,'- 26 -'!H42,'- 27 -'!B42)</f>
        <v>787385</v>
      </c>
      <c r="E42" s="79">
        <f>D42/'- 3 -'!D42*100</f>
        <v>4.1029248252107182</v>
      </c>
      <c r="F42" s="27">
        <f>D42/'- 7 -'!E42</f>
        <v>537.90476841098507</v>
      </c>
      <c r="G42" s="27">
        <f>SUM('- 28 -'!B42,'- 28 -'!E42,'- 28 -'!H42,'- 29 -'!B42,'- 29 -'!E42)</f>
        <v>400159</v>
      </c>
      <c r="H42" s="79">
        <f>G42/'- 3 -'!D42*100</f>
        <v>2.085158207397265</v>
      </c>
      <c r="I42" s="27">
        <f>G42/'- 7 -'!E42</f>
        <v>273.36999590107939</v>
      </c>
    </row>
    <row r="43" spans="1:9" ht="14.1" customHeight="1">
      <c r="A43" s="330" t="s">
        <v>269</v>
      </c>
      <c r="B43" s="331">
        <f>SUM('- 25 -'!H43,'- 25 -'!F43,'- 25 -'!D43,'- 25 -'!B43)</f>
        <v>13350</v>
      </c>
      <c r="C43" s="337">
        <f>B43/'- 3 -'!D43*100</f>
        <v>0.11803667607305506</v>
      </c>
      <c r="D43" s="331">
        <f>SUM('- 26 -'!B43,'- 26 -'!E43,'- 26 -'!H43,'- 27 -'!B43)</f>
        <v>549351</v>
      </c>
      <c r="E43" s="337">
        <f>D43/'- 3 -'!D43*100</f>
        <v>4.8571959578583419</v>
      </c>
      <c r="F43" s="331">
        <f>D43/'- 7 -'!E43</f>
        <v>564.7111430921052</v>
      </c>
      <c r="G43" s="331">
        <f>SUM('- 28 -'!B43,'- 28 -'!E43,'- 28 -'!H43,'- 29 -'!B43,'- 29 -'!E43)</f>
        <v>392274</v>
      </c>
      <c r="H43" s="337">
        <f>G43/'- 3 -'!D43*100</f>
        <v>3.4683684696540524</v>
      </c>
      <c r="I43" s="331">
        <f>G43/'- 7 -'!E43</f>
        <v>403.2421875</v>
      </c>
    </row>
    <row r="44" spans="1:9" ht="14.1" customHeight="1">
      <c r="A44" s="26" t="s">
        <v>270</v>
      </c>
      <c r="B44" s="27">
        <f>SUM('- 25 -'!H44,'- 25 -'!F44,'- 25 -'!D44,'- 25 -'!B44)</f>
        <v>10550</v>
      </c>
      <c r="C44" s="79">
        <f>B44/'- 3 -'!D44*100</f>
        <v>0.10900069915424757</v>
      </c>
      <c r="D44" s="27">
        <f>SUM('- 26 -'!B44,'- 26 -'!E44,'- 26 -'!H44,'- 27 -'!B44)</f>
        <v>392713</v>
      </c>
      <c r="E44" s="79">
        <f>D44/'- 3 -'!D44*100</f>
        <v>4.0574399589537462</v>
      </c>
      <c r="F44" s="27">
        <f>D44/'- 7 -'!E44</f>
        <v>548.86512928022364</v>
      </c>
      <c r="G44" s="27">
        <f>SUM('- 28 -'!B44,'- 28 -'!E44,'- 28 -'!H44,'- 29 -'!B44,'- 29 -'!E44)</f>
        <v>223934</v>
      </c>
      <c r="H44" s="79">
        <f>G44/'- 3 -'!D44*100</f>
        <v>2.3136457407021109</v>
      </c>
      <c r="I44" s="27">
        <f>G44/'- 7 -'!E44</f>
        <v>312.97554157931518</v>
      </c>
    </row>
    <row r="45" spans="1:9" ht="14.1" customHeight="1">
      <c r="A45" s="330" t="s">
        <v>271</v>
      </c>
      <c r="B45" s="331">
        <f>SUM('- 25 -'!H45,'- 25 -'!F45,'- 25 -'!D45,'- 25 -'!B45)</f>
        <v>36041</v>
      </c>
      <c r="C45" s="337">
        <f>B45/'- 3 -'!D45*100</f>
        <v>0.23219772853269477</v>
      </c>
      <c r="D45" s="331">
        <f>SUM('- 26 -'!B45,'- 26 -'!E45,'- 26 -'!H45,'- 27 -'!B45)</f>
        <v>539885</v>
      </c>
      <c r="E45" s="337">
        <f>D45/'- 3 -'!D45*100</f>
        <v>3.478262830356369</v>
      </c>
      <c r="F45" s="331">
        <f>D45/'- 7 -'!E45</f>
        <v>325.82076041038022</v>
      </c>
      <c r="G45" s="331">
        <f>SUM('- 28 -'!B45,'- 28 -'!E45,'- 28 -'!H45,'- 29 -'!B45,'- 29 -'!E45)</f>
        <v>491551</v>
      </c>
      <c r="H45" s="337">
        <f>G45/'- 3 -'!D45*100</f>
        <v>3.1668662261861389</v>
      </c>
      <c r="I45" s="331">
        <f>G45/'- 7 -'!E45</f>
        <v>296.65117682558844</v>
      </c>
    </row>
    <row r="46" spans="1:9" ht="14.1" customHeight="1">
      <c r="A46" s="26" t="s">
        <v>272</v>
      </c>
      <c r="B46" s="27">
        <f>SUM('- 25 -'!H46,'- 25 -'!F46,'- 25 -'!D46,'- 25 -'!B46)</f>
        <v>7811855</v>
      </c>
      <c r="C46" s="79">
        <f>B46/'- 3 -'!D46*100</f>
        <v>2.3245984973102183</v>
      </c>
      <c r="D46" s="27">
        <f>SUM('- 26 -'!B46,'- 26 -'!E46,'- 26 -'!H46,'- 27 -'!B46)</f>
        <v>9394308</v>
      </c>
      <c r="E46" s="79">
        <f>D46/'- 3 -'!D46*100</f>
        <v>2.7954940612785775</v>
      </c>
      <c r="F46" s="27">
        <f>D46/'- 7 -'!E46</f>
        <v>310.58951885660252</v>
      </c>
      <c r="G46" s="27">
        <f>SUM('- 28 -'!B46,'- 28 -'!E46,'- 28 -'!H46,'- 29 -'!B46,'- 29 -'!E46)</f>
        <v>9818400</v>
      </c>
      <c r="H46" s="79">
        <f>G46/'- 3 -'!D46*100</f>
        <v>2.9216924643366582</v>
      </c>
      <c r="I46" s="27">
        <f>G46/'- 7 -'!E46</f>
        <v>324.6106186790625</v>
      </c>
    </row>
    <row r="47" spans="1:9" ht="5.0999999999999996" customHeight="1">
      <c r="A47"/>
      <c r="B47"/>
      <c r="C47"/>
      <c r="D47"/>
      <c r="E47"/>
      <c r="F47"/>
      <c r="G47"/>
      <c r="H47"/>
      <c r="I47"/>
    </row>
    <row r="48" spans="1:9" ht="14.1" customHeight="1">
      <c r="A48" s="332" t="s">
        <v>273</v>
      </c>
      <c r="B48" s="333">
        <f>SUM(B11:B46)</f>
        <v>19414497</v>
      </c>
      <c r="C48" s="340">
        <f>B48/'- 3 -'!D48*100</f>
        <v>1.0069135631033628</v>
      </c>
      <c r="D48" s="333">
        <f>SUM(D11:D46)</f>
        <v>66924500</v>
      </c>
      <c r="E48" s="340">
        <f>D48/'- 3 -'!D48*100</f>
        <v>3.4709725806396632</v>
      </c>
      <c r="F48" s="333">
        <f>D48/'- 7 -'!E48</f>
        <v>388.53003172356171</v>
      </c>
      <c r="G48" s="333">
        <f>SUM(G11:G46)</f>
        <v>68920652</v>
      </c>
      <c r="H48" s="340">
        <f>G48/'- 3 -'!D48*100</f>
        <v>3.5745010172927429</v>
      </c>
      <c r="I48" s="333">
        <f>G48/'- 7 -'!E48</f>
        <v>400.11868759525373</v>
      </c>
    </row>
    <row r="49" spans="1:9" ht="5.0999999999999996" customHeight="1">
      <c r="A49"/>
      <c r="B49"/>
      <c r="C49"/>
      <c r="D49"/>
      <c r="E49"/>
      <c r="F49"/>
      <c r="G49"/>
      <c r="H49"/>
      <c r="I49"/>
    </row>
    <row r="50" spans="1:9" ht="14.1" customHeight="1">
      <c r="A50" s="26" t="s">
        <v>274</v>
      </c>
      <c r="B50" s="27">
        <f>SUM('- 25 -'!H50,'- 25 -'!F50,'- 25 -'!D50,'- 25 -'!B50)</f>
        <v>9120</v>
      </c>
      <c r="C50" s="79">
        <f>B50/'- 3 -'!D50*100</f>
        <v>0.28230618148387188</v>
      </c>
      <c r="D50" s="27">
        <f>SUM('- 26 -'!B50,'- 26 -'!E50,'- 26 -'!H50,'- 27 -'!B50)</f>
        <v>204726</v>
      </c>
      <c r="E50" s="79">
        <f>D50/'- 3 -'!D50*100</f>
        <v>6.3372165910599954</v>
      </c>
      <c r="F50" s="27">
        <f>D50/'- 7 -'!E50</f>
        <v>1131.0828729281768</v>
      </c>
      <c r="G50" s="27">
        <f>SUM('- 28 -'!B50,'- 28 -'!E50,'- 28 -'!H50,'- 29 -'!B50,'- 29 -'!E50)</f>
        <v>49574</v>
      </c>
      <c r="H50" s="79">
        <f>G50/'- 3 -'!D50*100</f>
        <v>1.5345445878159498</v>
      </c>
      <c r="I50" s="27">
        <f>G50/'- 7 -'!E50</f>
        <v>273.88950276243094</v>
      </c>
    </row>
    <row r="51" spans="1:9" ht="14.1" customHeight="1">
      <c r="A51" s="330" t="s">
        <v>275</v>
      </c>
      <c r="B51" s="331">
        <f>SUM('- 25 -'!H51,'- 25 -'!F51,'- 25 -'!D51,'- 25 -'!B51)</f>
        <v>4269983</v>
      </c>
      <c r="C51" s="337">
        <f>B51/'- 3 -'!D51*100</f>
        <v>27.76598784300073</v>
      </c>
      <c r="D51" s="331">
        <f>SUM('- 26 -'!B51,'- 26 -'!E51,'- 26 -'!H51,'- 27 -'!B51)</f>
        <v>1455202</v>
      </c>
      <c r="E51" s="337">
        <f>D51/'- 3 -'!D51*100</f>
        <v>9.4625952939649505</v>
      </c>
      <c r="F51" s="331">
        <f>D51/'- 7 -'!E51</f>
        <v>2264.9058365758756</v>
      </c>
      <c r="G51" s="331">
        <f>SUM('- 28 -'!B51,'- 28 -'!E51,'- 28 -'!H51,'- 29 -'!B51,'- 29 -'!E51)</f>
        <v>314052</v>
      </c>
      <c r="H51" s="337">
        <f>G51/'- 3 -'!D51*100</f>
        <v>2.042154269483055</v>
      </c>
      <c r="I51" s="331">
        <f>G51/'- 7 -'!E51</f>
        <v>488.79688715953307</v>
      </c>
    </row>
    <row r="52" spans="1:9"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sheetPr codeName="Sheet12">
    <pageSetUpPr fitToPage="1"/>
  </sheetPr>
  <dimension ref="A1:J52"/>
  <sheetViews>
    <sheetView showGridLines="0" showZeros="0" workbookViewId="0"/>
  </sheetViews>
  <sheetFormatPr defaultColWidth="15.83203125" defaultRowHeight="12"/>
  <cols>
    <col min="1" max="1" width="32.83203125" style="1" customWidth="1"/>
    <col min="2" max="2" width="15.83203125" style="1"/>
    <col min="3" max="3" width="7.83203125" style="1" customWidth="1"/>
    <col min="4" max="4" width="9.83203125" style="1" customWidth="1"/>
    <col min="5" max="5" width="15.83203125" style="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481</v>
      </c>
      <c r="C2" s="9"/>
      <c r="D2" s="9"/>
      <c r="E2" s="9"/>
      <c r="F2" s="9"/>
      <c r="G2" s="9"/>
      <c r="H2" s="82"/>
      <c r="I2" s="82"/>
      <c r="J2" s="153" t="s">
        <v>20</v>
      </c>
    </row>
    <row r="3" spans="1:10" ht="15.95" customHeight="1">
      <c r="A3" s="154"/>
      <c r="B3" s="10" t="str">
        <f>OPYEAR</f>
        <v>OPERATING FUND 2011/2012 ACTUAL</v>
      </c>
      <c r="C3" s="11"/>
      <c r="D3" s="11"/>
      <c r="E3" s="11"/>
      <c r="F3" s="11"/>
      <c r="G3" s="11"/>
      <c r="H3" s="84"/>
      <c r="I3" s="84"/>
      <c r="J3" s="74"/>
    </row>
    <row r="4" spans="1:10" ht="15.95" customHeight="1">
      <c r="B4" s="7"/>
      <c r="C4" s="7"/>
      <c r="D4" s="7"/>
      <c r="E4" s="7"/>
      <c r="F4" s="7"/>
      <c r="G4" s="7"/>
      <c r="H4" s="7"/>
      <c r="I4" s="7"/>
      <c r="J4" s="7"/>
    </row>
    <row r="5" spans="1:10" ht="15.95" customHeight="1">
      <c r="B5" s="7"/>
      <c r="C5" s="7"/>
      <c r="D5" s="7"/>
      <c r="E5" s="7"/>
      <c r="F5" s="7"/>
      <c r="G5" s="7"/>
      <c r="H5" s="7"/>
      <c r="I5" s="7"/>
      <c r="J5" s="7"/>
    </row>
    <row r="6" spans="1:10" ht="15.95" customHeight="1">
      <c r="B6" s="358" t="s">
        <v>38</v>
      </c>
      <c r="C6" s="361"/>
      <c r="D6" s="359"/>
      <c r="E6" s="358" t="s">
        <v>39</v>
      </c>
      <c r="F6" s="361"/>
      <c r="G6" s="359"/>
      <c r="H6" s="358" t="s">
        <v>18</v>
      </c>
      <c r="I6" s="361"/>
      <c r="J6" s="359"/>
    </row>
    <row r="7" spans="1:10" ht="15.95" customHeight="1">
      <c r="B7" s="344" t="s">
        <v>66</v>
      </c>
      <c r="C7" s="345"/>
      <c r="D7" s="346"/>
      <c r="E7" s="344" t="s">
        <v>67</v>
      </c>
      <c r="F7" s="345"/>
      <c r="G7" s="346"/>
      <c r="H7" s="344" t="s">
        <v>68</v>
      </c>
      <c r="I7" s="345"/>
      <c r="J7" s="346"/>
    </row>
    <row r="8" spans="1:10" ht="15.95" customHeight="1">
      <c r="A8" s="75"/>
      <c r="B8" s="155"/>
      <c r="C8" s="156"/>
      <c r="D8" s="157" t="s">
        <v>75</v>
      </c>
      <c r="E8" s="155"/>
      <c r="F8" s="157"/>
      <c r="G8" s="157" t="s">
        <v>75</v>
      </c>
      <c r="H8" s="155"/>
      <c r="I8" s="157"/>
      <c r="J8" s="157" t="s">
        <v>75</v>
      </c>
    </row>
    <row r="9" spans="1:10" ht="15.95" customHeight="1">
      <c r="A9" s="42" t="s">
        <v>95</v>
      </c>
      <c r="B9" s="87" t="s">
        <v>96</v>
      </c>
      <c r="C9" s="87" t="s">
        <v>97</v>
      </c>
      <c r="D9" s="87" t="s">
        <v>98</v>
      </c>
      <c r="E9" s="87" t="s">
        <v>96</v>
      </c>
      <c r="F9" s="87" t="s">
        <v>97</v>
      </c>
      <c r="G9" s="87" t="s">
        <v>98</v>
      </c>
      <c r="H9" s="87" t="s">
        <v>96</v>
      </c>
      <c r="I9" s="87" t="s">
        <v>97</v>
      </c>
      <c r="J9" s="87" t="s">
        <v>98</v>
      </c>
    </row>
    <row r="10" spans="1:10" ht="5.0999999999999996" customHeight="1">
      <c r="A10" s="5"/>
    </row>
    <row r="11" spans="1:10" ht="14.1" customHeight="1">
      <c r="A11" s="330" t="s">
        <v>238</v>
      </c>
      <c r="B11" s="331">
        <f>SUM('- 31 -'!D11,'- 31 -'!B11,'- 30 -'!F11,'- 30 -'!D11,'- 30 -'!B11)</f>
        <v>1067446</v>
      </c>
      <c r="C11" s="337">
        <f>B11/'- 3 -'!D11*100</f>
        <v>7.0917290975243468</v>
      </c>
      <c r="D11" s="331">
        <f>B11/'- 7 -'!E11</f>
        <v>745.16300174520075</v>
      </c>
      <c r="E11" s="331">
        <f>SUM('- 33 -'!D11,'- 33 -'!B11,'- 32 -'!F11,'- 32 -'!D11,'- 32 -'!B11)</f>
        <v>1605280</v>
      </c>
      <c r="F11" s="337">
        <f>E11/'- 3 -'!D11*100</f>
        <v>10.664905658622434</v>
      </c>
      <c r="G11" s="331">
        <f>E11/'- 7 -'!E11</f>
        <v>1120.6143106457243</v>
      </c>
      <c r="H11" s="331">
        <f>SUM('- 34 -'!B11,'- 34 -'!D11,'- 34 -'!F11)</f>
        <v>255440</v>
      </c>
      <c r="I11" s="337">
        <f>H11/'- 3 -'!D11*100</f>
        <v>1.6970519170727318</v>
      </c>
      <c r="J11" s="331">
        <f>H11/'- 7 -'!E11</f>
        <v>178.31762652705061</v>
      </c>
    </row>
    <row r="12" spans="1:10" ht="14.1" customHeight="1">
      <c r="A12" s="26" t="s">
        <v>239</v>
      </c>
      <c r="B12" s="27">
        <f>SUM('- 31 -'!D12,'- 31 -'!B12,'- 30 -'!F12,'- 30 -'!D12,'- 30 -'!B12)</f>
        <v>2149364</v>
      </c>
      <c r="C12" s="79">
        <f>B12/'- 3 -'!D12*100</f>
        <v>7.5161354485264438</v>
      </c>
      <c r="D12" s="27">
        <f>B12/'- 7 -'!E12</f>
        <v>918.79862524152327</v>
      </c>
      <c r="E12" s="27">
        <f>SUM('- 33 -'!D12,'- 33 -'!B12,'- 32 -'!F12,'- 32 -'!D12,'- 32 -'!B12)</f>
        <v>3082363</v>
      </c>
      <c r="F12" s="79">
        <f>E12/'- 3 -'!D12*100</f>
        <v>10.77875027660569</v>
      </c>
      <c r="G12" s="27">
        <f>E12/'- 7 -'!E12</f>
        <v>1317.6320469196178</v>
      </c>
      <c r="H12" s="27">
        <f>SUM('- 34 -'!B12,'- 34 -'!D12,'- 34 -'!F12)</f>
        <v>466046</v>
      </c>
      <c r="I12" s="79">
        <f>H12/'- 3 -'!D12*100</f>
        <v>1.6297215647251722</v>
      </c>
      <c r="J12" s="27">
        <f>H12/'- 7 -'!E12</f>
        <v>199.22285108493068</v>
      </c>
    </row>
    <row r="13" spans="1:10" ht="14.1" customHeight="1">
      <c r="A13" s="330" t="s">
        <v>240</v>
      </c>
      <c r="B13" s="331">
        <f>SUM('- 31 -'!D13,'- 31 -'!B13,'- 30 -'!F13,'- 30 -'!D13,'- 30 -'!B13)</f>
        <v>1804888</v>
      </c>
      <c r="C13" s="337">
        <f>B13/'- 3 -'!D13*100</f>
        <v>2.4567823132929671</v>
      </c>
      <c r="D13" s="331">
        <f>B13/'- 7 -'!E13</f>
        <v>237.20436325404125</v>
      </c>
      <c r="E13" s="331">
        <f>SUM('- 33 -'!D13,'- 33 -'!B13,'- 32 -'!F13,'- 32 -'!D13,'- 32 -'!B13)</f>
        <v>6107523</v>
      </c>
      <c r="F13" s="337">
        <f>E13/'- 3 -'!D13*100</f>
        <v>8.3134546212451976</v>
      </c>
      <c r="G13" s="331">
        <f>E13/'- 7 -'!E13</f>
        <v>802.67091602050209</v>
      </c>
      <c r="H13" s="331">
        <f>SUM('- 34 -'!B13,'- 34 -'!D13,'- 34 -'!F13)</f>
        <v>1215932</v>
      </c>
      <c r="I13" s="337">
        <f>H13/'- 3 -'!D13*100</f>
        <v>1.6551055975589313</v>
      </c>
      <c r="J13" s="331">
        <f>H13/'- 7 -'!E13</f>
        <v>159.80181364174004</v>
      </c>
    </row>
    <row r="14" spans="1:10" ht="14.1" customHeight="1">
      <c r="A14" s="26" t="s">
        <v>653</v>
      </c>
      <c r="B14" s="27">
        <f>SUM('- 31 -'!D14,'- 31 -'!B14,'- 30 -'!F14,'- 30 -'!D14,'- 30 -'!B14)</f>
        <v>7049787</v>
      </c>
      <c r="C14" s="79">
        <f>B14/'- 3 -'!D14*100</f>
        <v>10.603866157056034</v>
      </c>
      <c r="D14" s="27">
        <f>B14/'- 7 -'!E14</f>
        <v>1423.6241922455574</v>
      </c>
      <c r="E14" s="27">
        <f>SUM('- 33 -'!D14,'- 33 -'!B14,'- 32 -'!F14,'- 32 -'!D14,'- 32 -'!B14)</f>
        <v>6921560</v>
      </c>
      <c r="F14" s="79">
        <f>E14/'- 3 -'!D14*100</f>
        <v>10.410994805663314</v>
      </c>
      <c r="G14" s="27">
        <f>E14/'- 7 -'!E14</f>
        <v>1397.7302100161551</v>
      </c>
      <c r="H14" s="27">
        <f>SUM('- 34 -'!B14,'- 34 -'!D14,'- 34 -'!F14)</f>
        <v>982131</v>
      </c>
      <c r="I14" s="79">
        <f>H14/'- 3 -'!D14*100</f>
        <v>1.4772624580991738</v>
      </c>
      <c r="J14" s="27">
        <f>H14/'- 7 -'!E14</f>
        <v>198.33016962843297</v>
      </c>
    </row>
    <row r="15" spans="1:10" ht="14.1" customHeight="1">
      <c r="A15" s="330" t="s">
        <v>241</v>
      </c>
      <c r="B15" s="331">
        <f>SUM('- 31 -'!D15,'- 31 -'!B15,'- 30 -'!F15,'- 30 -'!D15,'- 30 -'!B15)</f>
        <v>1245759</v>
      </c>
      <c r="C15" s="337">
        <f>B15/'- 3 -'!D15*100</f>
        <v>6.8059798658088448</v>
      </c>
      <c r="D15" s="331">
        <f>B15/'- 7 -'!E15</f>
        <v>812.6281800391389</v>
      </c>
      <c r="E15" s="331">
        <f>SUM('- 33 -'!D15,'- 33 -'!B15,'- 32 -'!F15,'- 32 -'!D15,'- 32 -'!B15)</f>
        <v>2279820</v>
      </c>
      <c r="F15" s="337">
        <f>E15/'- 3 -'!D15*100</f>
        <v>12.455385847237164</v>
      </c>
      <c r="G15" s="331">
        <f>E15/'- 7 -'!E15</f>
        <v>1487.1624266144813</v>
      </c>
      <c r="H15" s="331">
        <f>SUM('- 34 -'!B15,'- 34 -'!D15,'- 34 -'!F15)</f>
        <v>296043</v>
      </c>
      <c r="I15" s="337">
        <f>H15/'- 3 -'!D15*100</f>
        <v>1.6173775966408015</v>
      </c>
      <c r="J15" s="331">
        <f>H15/'- 7 -'!E15</f>
        <v>193.11350293542074</v>
      </c>
    </row>
    <row r="16" spans="1:10" ht="14.1" customHeight="1">
      <c r="A16" s="26" t="s">
        <v>242</v>
      </c>
      <c r="B16" s="27">
        <f>SUM('- 31 -'!D16,'- 31 -'!B16,'- 30 -'!F16,'- 30 -'!D16,'- 30 -'!B16)</f>
        <v>316471</v>
      </c>
      <c r="C16" s="79">
        <f>B16/'- 3 -'!D16*100</f>
        <v>2.5119943840469849</v>
      </c>
      <c r="D16" s="27">
        <f>B16/'- 7 -'!E16</f>
        <v>319.82920667003538</v>
      </c>
      <c r="E16" s="27">
        <f>SUM('- 33 -'!D16,'- 33 -'!B16,'- 32 -'!F16,'- 32 -'!D16,'- 32 -'!B16)</f>
        <v>1978536</v>
      </c>
      <c r="F16" s="79">
        <f>E16/'- 3 -'!D16*100</f>
        <v>15.704665895563213</v>
      </c>
      <c r="G16" s="27">
        <f>E16/'- 7 -'!E16</f>
        <v>1999.5310763011621</v>
      </c>
      <c r="H16" s="27">
        <f>SUM('- 34 -'!B16,'- 34 -'!D16,'- 34 -'!F16)</f>
        <v>209480</v>
      </c>
      <c r="I16" s="79">
        <f>H16/'- 3 -'!D16*100</f>
        <v>1.6627513534262617</v>
      </c>
      <c r="J16" s="27">
        <f>H16/'- 7 -'!E16</f>
        <v>211.70288024254674</v>
      </c>
    </row>
    <row r="17" spans="1:10" ht="14.1" customHeight="1">
      <c r="A17" s="330" t="s">
        <v>243</v>
      </c>
      <c r="B17" s="331">
        <f>SUM('- 31 -'!D17,'- 31 -'!B17,'- 30 -'!F17,'- 30 -'!D17,'- 30 -'!B17)</f>
        <v>1312946</v>
      </c>
      <c r="C17" s="337">
        <f>B17/'- 3 -'!D17*100</f>
        <v>8.2472855232828941</v>
      </c>
      <c r="D17" s="331">
        <f>B17/'- 7 -'!E17</f>
        <v>992.77580340264649</v>
      </c>
      <c r="E17" s="331">
        <f>SUM('- 33 -'!D17,'- 33 -'!B17,'- 32 -'!F17,'- 32 -'!D17,'- 32 -'!B17)</f>
        <v>1835255</v>
      </c>
      <c r="F17" s="337">
        <f>E17/'- 3 -'!D17*100</f>
        <v>11.528175563223886</v>
      </c>
      <c r="G17" s="331">
        <f>E17/'- 7 -'!E17</f>
        <v>1387.7164461247637</v>
      </c>
      <c r="H17" s="331">
        <f>SUM('- 34 -'!B17,'- 34 -'!D17,'- 34 -'!F17)</f>
        <v>305382</v>
      </c>
      <c r="I17" s="337">
        <f>H17/'- 3 -'!D17*100</f>
        <v>1.9182605740610634</v>
      </c>
      <c r="J17" s="331">
        <f>H17/'- 7 -'!E17</f>
        <v>230.91266540642721</v>
      </c>
    </row>
    <row r="18" spans="1:10" ht="14.1" customHeight="1">
      <c r="A18" s="26" t="s">
        <v>244</v>
      </c>
      <c r="B18" s="27">
        <f>SUM('- 31 -'!D18,'- 31 -'!B18,'- 30 -'!F18,'- 30 -'!D18,'- 30 -'!B18)</f>
        <v>9048977</v>
      </c>
      <c r="C18" s="79">
        <f>B18/'- 3 -'!D18*100</f>
        <v>8.3025005839244521</v>
      </c>
      <c r="D18" s="27">
        <f>B18/'- 7 -'!E18</f>
        <v>1565.5398695524298</v>
      </c>
      <c r="E18" s="27">
        <f>SUM('- 33 -'!D18,'- 33 -'!B18,'- 32 -'!F18,'- 32 -'!D18,'- 32 -'!B18)</f>
        <v>18239955</v>
      </c>
      <c r="F18" s="79">
        <f>E18/'- 3 -'!D18*100</f>
        <v>16.735288092593862</v>
      </c>
      <c r="G18" s="27">
        <f>E18/'- 7 -'!E18</f>
        <v>3155.6469611252401</v>
      </c>
      <c r="H18" s="27">
        <f>SUM('- 34 -'!B18,'- 34 -'!D18,'- 34 -'!F18)</f>
        <v>1934626</v>
      </c>
      <c r="I18" s="79">
        <f>H18/'- 3 -'!D18*100</f>
        <v>1.7750330777363481</v>
      </c>
      <c r="J18" s="27">
        <f>H18/'- 7 -'!E18</f>
        <v>334.70458988598813</v>
      </c>
    </row>
    <row r="19" spans="1:10" ht="14.1" customHeight="1">
      <c r="A19" s="330" t="s">
        <v>245</v>
      </c>
      <c r="B19" s="331">
        <f>SUM('- 31 -'!D19,'- 31 -'!B19,'- 30 -'!F19,'- 30 -'!D19,'- 30 -'!B19)</f>
        <v>1922294</v>
      </c>
      <c r="C19" s="337">
        <f>B19/'- 3 -'!D19*100</f>
        <v>5.1779854204089872</v>
      </c>
      <c r="D19" s="331">
        <f>B19/'- 7 -'!E19</f>
        <v>464.2773645058449</v>
      </c>
      <c r="E19" s="331">
        <f>SUM('- 33 -'!D19,'- 33 -'!B19,'- 32 -'!F19,'- 32 -'!D19,'- 32 -'!B19)</f>
        <v>3180012</v>
      </c>
      <c r="F19" s="337">
        <f>E19/'- 3 -'!D19*100</f>
        <v>8.5658363251019995</v>
      </c>
      <c r="G19" s="331">
        <f>E19/'- 7 -'!E19</f>
        <v>768.04463336875676</v>
      </c>
      <c r="H19" s="331">
        <f>SUM('- 34 -'!B19,'- 34 -'!D19,'- 34 -'!F19)</f>
        <v>645982</v>
      </c>
      <c r="I19" s="337">
        <f>H19/'- 3 -'!D19*100</f>
        <v>1.7400488051498044</v>
      </c>
      <c r="J19" s="331">
        <f>H19/'- 7 -'!E19</f>
        <v>156.01922519563328</v>
      </c>
    </row>
    <row r="20" spans="1:10" ht="14.1" customHeight="1">
      <c r="A20" s="26" t="s">
        <v>246</v>
      </c>
      <c r="B20" s="27">
        <f>SUM('- 31 -'!D20,'- 31 -'!B20,'- 30 -'!F20,'- 30 -'!D20,'- 30 -'!B20)</f>
        <v>3135532</v>
      </c>
      <c r="C20" s="79">
        <f>B20/'- 3 -'!D20*100</f>
        <v>4.9893952365709024</v>
      </c>
      <c r="D20" s="27">
        <f>B20/'- 7 -'!E20</f>
        <v>429.70152117308481</v>
      </c>
      <c r="E20" s="27">
        <f>SUM('- 33 -'!D20,'- 33 -'!B20,'- 32 -'!F20,'- 32 -'!D20,'- 32 -'!B20)</f>
        <v>6291082</v>
      </c>
      <c r="F20" s="79">
        <f>E20/'- 3 -'!D20*100</f>
        <v>10.010643987583908</v>
      </c>
      <c r="G20" s="27">
        <f>E20/'- 7 -'!E20</f>
        <v>862.14636151843229</v>
      </c>
      <c r="H20" s="27">
        <f>SUM('- 34 -'!B20,'- 34 -'!D20,'- 34 -'!F20)</f>
        <v>1066967</v>
      </c>
      <c r="I20" s="79">
        <f>H20/'- 3 -'!D20*100</f>
        <v>1.6978044132154753</v>
      </c>
      <c r="J20" s="27">
        <f>H20/'- 7 -'!E20</f>
        <v>146.2199534055091</v>
      </c>
    </row>
    <row r="21" spans="1:10" ht="14.1" customHeight="1">
      <c r="A21" s="330" t="s">
        <v>247</v>
      </c>
      <c r="B21" s="331">
        <f>SUM('- 31 -'!D21,'- 31 -'!B21,'- 30 -'!F21,'- 30 -'!D21,'- 30 -'!B21)</f>
        <v>1984037</v>
      </c>
      <c r="C21" s="337">
        <f>B21/'- 3 -'!D21*100</f>
        <v>6.3094442955625691</v>
      </c>
      <c r="D21" s="331">
        <f>B21/'- 7 -'!E21</f>
        <v>697.86739359831165</v>
      </c>
      <c r="E21" s="331">
        <f>SUM('- 33 -'!D21,'- 33 -'!B21,'- 32 -'!F21,'- 32 -'!D21,'- 32 -'!B21)</f>
        <v>3345335</v>
      </c>
      <c r="F21" s="337">
        <f>E21/'- 3 -'!D21*100</f>
        <v>10.638513713451818</v>
      </c>
      <c r="G21" s="331">
        <f>E21/'- 7 -'!E21</f>
        <v>1176.6918747801617</v>
      </c>
      <c r="H21" s="331">
        <f>SUM('- 34 -'!B21,'- 34 -'!D21,'- 34 -'!F21)</f>
        <v>523179</v>
      </c>
      <c r="I21" s="337">
        <f>H21/'- 3 -'!D21*100</f>
        <v>1.663763708594209</v>
      </c>
      <c r="J21" s="331">
        <f>H21/'- 7 -'!E21</f>
        <v>184.02356665494196</v>
      </c>
    </row>
    <row r="22" spans="1:10" ht="14.1" customHeight="1">
      <c r="A22" s="26" t="s">
        <v>248</v>
      </c>
      <c r="B22" s="27">
        <f>SUM('- 31 -'!D22,'- 31 -'!B22,'- 30 -'!F22,'- 30 -'!D22,'- 30 -'!B22)</f>
        <v>514915</v>
      </c>
      <c r="C22" s="79">
        <f>B22/'- 3 -'!D22*100</f>
        <v>2.8266206662055859</v>
      </c>
      <c r="D22" s="27">
        <f>B22/'- 7 -'!E22</f>
        <v>328.97712752363913</v>
      </c>
      <c r="E22" s="27">
        <f>SUM('- 33 -'!D22,'- 33 -'!B22,'- 32 -'!F22,'- 32 -'!D22,'- 32 -'!B22)</f>
        <v>2226095</v>
      </c>
      <c r="F22" s="79">
        <f>E22/'- 3 -'!D22*100</f>
        <v>12.220125908037103</v>
      </c>
      <c r="G22" s="27">
        <f>E22/'- 7 -'!E22</f>
        <v>1422.2431638129312</v>
      </c>
      <c r="H22" s="27">
        <f>SUM('- 34 -'!B22,'- 34 -'!D22,'- 34 -'!F22)</f>
        <v>329451</v>
      </c>
      <c r="I22" s="79">
        <f>H22/'- 3 -'!D22*100</f>
        <v>1.8085179206317481</v>
      </c>
      <c r="J22" s="27">
        <f>H22/'- 7 -'!E22</f>
        <v>210.48492205468949</v>
      </c>
    </row>
    <row r="23" spans="1:10" ht="14.1" customHeight="1">
      <c r="A23" s="330" t="s">
        <v>249</v>
      </c>
      <c r="B23" s="331">
        <f>SUM('- 31 -'!D23,'- 31 -'!B23,'- 30 -'!F23,'- 30 -'!D23,'- 30 -'!B23)</f>
        <v>1530346</v>
      </c>
      <c r="C23" s="337">
        <f>B23/'- 3 -'!D23*100</f>
        <v>10.017912297886038</v>
      </c>
      <c r="D23" s="331">
        <f>B23/'- 7 -'!E23</f>
        <v>1282.2337662337663</v>
      </c>
      <c r="E23" s="331">
        <f>SUM('- 33 -'!D23,'- 33 -'!B23,'- 32 -'!F23,'- 32 -'!D23,'- 32 -'!B23)</f>
        <v>1290992</v>
      </c>
      <c r="F23" s="337">
        <f>E23/'- 3 -'!D23*100</f>
        <v>8.4510591939812905</v>
      </c>
      <c r="G23" s="331">
        <f>E23/'- 7 -'!E23</f>
        <v>1081.6857980728948</v>
      </c>
      <c r="H23" s="331">
        <f>SUM('- 34 -'!B23,'- 34 -'!D23,'- 34 -'!F23)</f>
        <v>258092</v>
      </c>
      <c r="I23" s="337">
        <f>H23/'- 3 -'!D23*100</f>
        <v>1.6895153258060618</v>
      </c>
      <c r="J23" s="331">
        <f>H23/'- 7 -'!E23</f>
        <v>216.24801005446167</v>
      </c>
    </row>
    <row r="24" spans="1:10" ht="14.1" customHeight="1">
      <c r="A24" s="26" t="s">
        <v>250</v>
      </c>
      <c r="B24" s="27">
        <f>SUM('- 31 -'!D24,'- 31 -'!B24,'- 30 -'!F24,'- 30 -'!D24,'- 30 -'!B24)</f>
        <v>2290538</v>
      </c>
      <c r="C24" s="79">
        <f>B24/'- 3 -'!D24*100</f>
        <v>4.6702027089213809</v>
      </c>
      <c r="D24" s="27">
        <f>B24/'- 7 -'!E24</f>
        <v>528.8094193697334</v>
      </c>
      <c r="E24" s="27">
        <f>SUM('- 33 -'!D24,'- 33 -'!B24,'- 32 -'!F24,'- 32 -'!D24,'- 32 -'!B24)</f>
        <v>5027709</v>
      </c>
      <c r="F24" s="79">
        <f>E24/'- 3 -'!D24*100</f>
        <v>10.251050273546392</v>
      </c>
      <c r="G24" s="27">
        <f>E24/'- 7 -'!E24</f>
        <v>1160.731617222671</v>
      </c>
      <c r="H24" s="27">
        <f>SUM('- 34 -'!B24,'- 34 -'!D24,'- 34 -'!F24)</f>
        <v>859393</v>
      </c>
      <c r="I24" s="79">
        <f>H24/'- 3 -'!D24*100</f>
        <v>1.7522256852442841</v>
      </c>
      <c r="J24" s="27">
        <f>H24/'- 7 -'!E24</f>
        <v>198.40540228558237</v>
      </c>
    </row>
    <row r="25" spans="1:10" ht="14.1" customHeight="1">
      <c r="A25" s="330" t="s">
        <v>251</v>
      </c>
      <c r="B25" s="331">
        <f>SUM('- 31 -'!D25,'- 31 -'!B25,'- 30 -'!F25,'- 30 -'!D25,'- 30 -'!B25)</f>
        <v>3121848</v>
      </c>
      <c r="C25" s="337">
        <f>B25/'- 3 -'!D25*100</f>
        <v>2.1481564686012171</v>
      </c>
      <c r="D25" s="331">
        <f>B25/'- 7 -'!E25</f>
        <v>226.54920174165457</v>
      </c>
      <c r="E25" s="331">
        <f>SUM('- 33 -'!D25,'- 33 -'!B25,'- 32 -'!F25,'- 32 -'!D25,'- 32 -'!B25)</f>
        <v>15986674</v>
      </c>
      <c r="F25" s="337">
        <f>E25/'- 3 -'!D25*100</f>
        <v>11.000496233166668</v>
      </c>
      <c r="G25" s="331">
        <f>E25/'- 7 -'!E25</f>
        <v>1160.1359941944847</v>
      </c>
      <c r="H25" s="331">
        <f>SUM('- 34 -'!B25,'- 34 -'!D25,'- 34 -'!F25)</f>
        <v>2559208</v>
      </c>
      <c r="I25" s="337">
        <f>H25/'- 3 -'!D25*100</f>
        <v>1.7610015669231764</v>
      </c>
      <c r="J25" s="331">
        <f>H25/'- 7 -'!E25</f>
        <v>185.71901306240929</v>
      </c>
    </row>
    <row r="26" spans="1:10" ht="14.1" customHeight="1">
      <c r="A26" s="26" t="s">
        <v>252</v>
      </c>
      <c r="B26" s="27">
        <f>SUM('- 31 -'!D26,'- 31 -'!B26,'- 30 -'!F26,'- 30 -'!D26,'- 30 -'!B26)</f>
        <v>2924443</v>
      </c>
      <c r="C26" s="79">
        <f>B26/'- 3 -'!D26*100</f>
        <v>8.1351540670206788</v>
      </c>
      <c r="D26" s="27">
        <f>B26/'- 7 -'!E26</f>
        <v>940.78912658838669</v>
      </c>
      <c r="E26" s="27">
        <f>SUM('- 33 -'!D26,'- 33 -'!B26,'- 32 -'!F26,'- 32 -'!D26,'- 32 -'!B26)</f>
        <v>4230897</v>
      </c>
      <c r="F26" s="79">
        <f>E26/'- 3 -'!D26*100</f>
        <v>11.769420343188628</v>
      </c>
      <c r="G26" s="27">
        <f>E26/'- 7 -'!E26</f>
        <v>1361.0735081228888</v>
      </c>
      <c r="H26" s="27">
        <f>SUM('- 34 -'!B26,'- 34 -'!D26,'- 34 -'!F26)</f>
        <v>652839</v>
      </c>
      <c r="I26" s="79">
        <f>H26/'- 3 -'!D26*100</f>
        <v>1.8160538078395485</v>
      </c>
      <c r="J26" s="27">
        <f>H26/'- 7 -'!E26</f>
        <v>210.01737172269583</v>
      </c>
    </row>
    <row r="27" spans="1:10" ht="14.1" customHeight="1">
      <c r="A27" s="330" t="s">
        <v>253</v>
      </c>
      <c r="B27" s="331">
        <f>SUM('- 31 -'!D27,'- 31 -'!B27,'- 30 -'!F27,'- 30 -'!D27,'- 30 -'!B27)</f>
        <v>224467</v>
      </c>
      <c r="C27" s="337">
        <f>B27/'- 3 -'!D27*100</f>
        <v>0.56323838673844062</v>
      </c>
      <c r="D27" s="331">
        <f>B27/'- 7 -'!E27</f>
        <v>80.301577648195178</v>
      </c>
      <c r="E27" s="331">
        <f>SUM('- 33 -'!D27,'- 33 -'!B27,'- 32 -'!F27,'- 32 -'!D27,'- 32 -'!B27)</f>
        <v>5723084</v>
      </c>
      <c r="F27" s="337">
        <f>E27/'- 3 -'!D27*100</f>
        <v>14.360510005161478</v>
      </c>
      <c r="G27" s="331">
        <f>E27/'- 7 -'!E27</f>
        <v>2047.3952706328478</v>
      </c>
      <c r="H27" s="331">
        <f>SUM('- 34 -'!B27,'- 34 -'!D27,'- 34 -'!F27)</f>
        <v>606176</v>
      </c>
      <c r="I27" s="337">
        <f>H27/'- 3 -'!D27*100</f>
        <v>1.5210324560829027</v>
      </c>
      <c r="J27" s="331">
        <f>H27/'- 7 -'!E27</f>
        <v>216.85543591027795</v>
      </c>
    </row>
    <row r="28" spans="1:10" ht="14.1" customHeight="1">
      <c r="A28" s="26" t="s">
        <v>254</v>
      </c>
      <c r="B28" s="27">
        <f>SUM('- 31 -'!D28,'- 31 -'!B28,'- 30 -'!F28,'- 30 -'!D28,'- 30 -'!B28)</f>
        <v>2046036</v>
      </c>
      <c r="C28" s="79">
        <f>B28/'- 3 -'!D28*100</f>
        <v>8.2591799715099636</v>
      </c>
      <c r="D28" s="27">
        <f>B28/'- 7 -'!E28</f>
        <v>1021.4857713429856</v>
      </c>
      <c r="E28" s="27">
        <f>SUM('- 33 -'!D28,'- 33 -'!B28,'- 32 -'!F28,'- 32 -'!D28,'- 32 -'!B28)</f>
        <v>2862403</v>
      </c>
      <c r="F28" s="79">
        <f>E28/'- 3 -'!D28*100</f>
        <v>11.554587274119339</v>
      </c>
      <c r="G28" s="27">
        <f>E28/'- 7 -'!E28</f>
        <v>1429.0579131303045</v>
      </c>
      <c r="H28" s="27">
        <f>SUM('- 34 -'!B28,'- 34 -'!D28,'- 34 -'!F28)</f>
        <v>417353</v>
      </c>
      <c r="I28" s="79">
        <f>H28/'- 3 -'!D28*100</f>
        <v>1.6847179319667873</v>
      </c>
      <c r="J28" s="27">
        <f>H28/'- 7 -'!E28</f>
        <v>208.36395406889665</v>
      </c>
    </row>
    <row r="29" spans="1:10" ht="14.1" customHeight="1">
      <c r="A29" s="330" t="s">
        <v>255</v>
      </c>
      <c r="B29" s="331">
        <f>SUM('- 31 -'!D29,'- 31 -'!B29,'- 30 -'!F29,'- 30 -'!D29,'- 30 -'!B29)</f>
        <v>2192378</v>
      </c>
      <c r="C29" s="337">
        <f>B29/'- 3 -'!D29*100</f>
        <v>1.6253327419189982</v>
      </c>
      <c r="D29" s="331">
        <f>B29/'- 7 -'!E29</f>
        <v>179.9331932635173</v>
      </c>
      <c r="E29" s="331">
        <f>SUM('- 33 -'!D29,'- 33 -'!B29,'- 32 -'!F29,'- 32 -'!D29,'- 32 -'!B29)</f>
        <v>15635660</v>
      </c>
      <c r="F29" s="337">
        <f>E29/'- 3 -'!D29*100</f>
        <v>11.591591477160055</v>
      </c>
      <c r="G29" s="331">
        <f>E29/'- 7 -'!E29</f>
        <v>1283.2523554709301</v>
      </c>
      <c r="H29" s="331">
        <f>SUM('- 34 -'!B29,'- 34 -'!D29,'- 34 -'!F29)</f>
        <v>2396020</v>
      </c>
      <c r="I29" s="337">
        <f>H29/'- 3 -'!D29*100</f>
        <v>1.7763039750867589</v>
      </c>
      <c r="J29" s="331">
        <f>H29/'- 7 -'!E29</f>
        <v>196.64653163060964</v>
      </c>
    </row>
    <row r="30" spans="1:10" ht="14.1" customHeight="1">
      <c r="A30" s="26" t="s">
        <v>256</v>
      </c>
      <c r="B30" s="27">
        <f>SUM('- 31 -'!D30,'- 31 -'!B30,'- 30 -'!F30,'- 30 -'!D30,'- 30 -'!B30)</f>
        <v>1088282</v>
      </c>
      <c r="C30" s="79">
        <f>B30/'- 3 -'!D30*100</f>
        <v>8.4463660467077872</v>
      </c>
      <c r="D30" s="27">
        <f>B30/'- 7 -'!E30</f>
        <v>991.14936247723131</v>
      </c>
      <c r="E30" s="27">
        <f>SUM('- 33 -'!D30,'- 33 -'!B30,'- 32 -'!F30,'- 32 -'!D30,'- 32 -'!B30)</f>
        <v>1507115</v>
      </c>
      <c r="F30" s="79">
        <f>E30/'- 3 -'!D30*100</f>
        <v>11.697009565980148</v>
      </c>
      <c r="G30" s="27">
        <f>E30/'- 7 -'!E30</f>
        <v>1372.6001821493626</v>
      </c>
      <c r="H30" s="27">
        <f>SUM('- 34 -'!B30,'- 34 -'!D30,'- 34 -'!F30)</f>
        <v>251970</v>
      </c>
      <c r="I30" s="79">
        <f>H30/'- 3 -'!D30*100</f>
        <v>1.9555876627463848</v>
      </c>
      <c r="J30" s="27">
        <f>H30/'- 7 -'!E30</f>
        <v>229.48087431693989</v>
      </c>
    </row>
    <row r="31" spans="1:10" ht="14.1" customHeight="1">
      <c r="A31" s="330" t="s">
        <v>257</v>
      </c>
      <c r="B31" s="331">
        <f>SUM('- 31 -'!D31,'- 31 -'!B31,'- 30 -'!F31,'- 30 -'!D31,'- 30 -'!B31)</f>
        <v>945659</v>
      </c>
      <c r="C31" s="337">
        <f>B31/'- 3 -'!D31*100</f>
        <v>2.9508505898384176</v>
      </c>
      <c r="D31" s="331">
        <f>B31/'- 7 -'!E31</f>
        <v>295.65702673128027</v>
      </c>
      <c r="E31" s="331">
        <f>SUM('- 33 -'!D31,'- 33 -'!B31,'- 32 -'!F31,'- 32 -'!D31,'- 32 -'!B31)</f>
        <v>3620229</v>
      </c>
      <c r="F31" s="337">
        <f>E31/'- 3 -'!D31*100</f>
        <v>11.296624766432874</v>
      </c>
      <c r="G31" s="331">
        <f>E31/'- 7 -'!E31</f>
        <v>1131.8521181803972</v>
      </c>
      <c r="H31" s="331">
        <f>SUM('- 34 -'!B31,'- 34 -'!D31,'- 34 -'!F31)</f>
        <v>575596</v>
      </c>
      <c r="I31" s="337">
        <f>H31/'- 3 -'!D31*100</f>
        <v>1.7960996470277699</v>
      </c>
      <c r="J31" s="331">
        <f>H31/'- 7 -'!E31</f>
        <v>179.95810536188839</v>
      </c>
    </row>
    <row r="32" spans="1:10" ht="14.1" customHeight="1">
      <c r="A32" s="26" t="s">
        <v>258</v>
      </c>
      <c r="B32" s="27">
        <f>SUM('- 31 -'!D32,'- 31 -'!B32,'- 30 -'!F32,'- 30 -'!D32,'- 30 -'!B32)</f>
        <v>1809770</v>
      </c>
      <c r="C32" s="79">
        <f>B32/'- 3 -'!D32*100</f>
        <v>7.646429783122227</v>
      </c>
      <c r="D32" s="27">
        <f>B32/'- 7 -'!E32</f>
        <v>877.46424242424246</v>
      </c>
      <c r="E32" s="27">
        <f>SUM('- 33 -'!D32,'- 33 -'!B32,'- 32 -'!F32,'- 32 -'!D32,'- 32 -'!B32)</f>
        <v>2546027</v>
      </c>
      <c r="F32" s="79">
        <f>E32/'- 3 -'!D32*100</f>
        <v>10.757177255360258</v>
      </c>
      <c r="G32" s="27">
        <f>E32/'- 7 -'!E32</f>
        <v>1234.4373333333333</v>
      </c>
      <c r="H32" s="27">
        <f>SUM('- 34 -'!B32,'- 34 -'!D32,'- 34 -'!F32)</f>
        <v>406115</v>
      </c>
      <c r="I32" s="79">
        <f>H32/'- 3 -'!D32*100</f>
        <v>1.7158698792513323</v>
      </c>
      <c r="J32" s="27">
        <f>H32/'- 7 -'!E32</f>
        <v>196.90424242424243</v>
      </c>
    </row>
    <row r="33" spans="1:10" ht="14.1" customHeight="1">
      <c r="A33" s="330" t="s">
        <v>259</v>
      </c>
      <c r="B33" s="331">
        <f>SUM('- 31 -'!D33,'- 31 -'!B33,'- 30 -'!F33,'- 30 -'!D33,'- 30 -'!B33)</f>
        <v>2300827</v>
      </c>
      <c r="C33" s="337">
        <f>B33/'- 3 -'!D33*100</f>
        <v>9.3947029000905005</v>
      </c>
      <c r="D33" s="331">
        <f>B33/'- 7 -'!E33</f>
        <v>1129.2402453987729</v>
      </c>
      <c r="E33" s="331">
        <f>SUM('- 33 -'!D33,'- 33 -'!B33,'- 32 -'!F33,'- 32 -'!D33,'- 32 -'!B33)</f>
        <v>3037720</v>
      </c>
      <c r="F33" s="337">
        <f>E33/'- 3 -'!D33*100</f>
        <v>12.403573538411585</v>
      </c>
      <c r="G33" s="331">
        <f>E33/'- 7 -'!E33</f>
        <v>1490.9055214723926</v>
      </c>
      <c r="H33" s="331">
        <f>SUM('- 34 -'!B33,'- 34 -'!D33,'- 34 -'!F33)</f>
        <v>396955</v>
      </c>
      <c r="I33" s="337">
        <f>H33/'- 3 -'!D33*100</f>
        <v>1.6208408062428963</v>
      </c>
      <c r="J33" s="331">
        <f>H33/'- 7 -'!E33</f>
        <v>194.82453987730062</v>
      </c>
    </row>
    <row r="34" spans="1:10" ht="14.1" customHeight="1">
      <c r="A34" s="26" t="s">
        <v>260</v>
      </c>
      <c r="B34" s="27">
        <f>SUM('- 31 -'!D34,'- 31 -'!B34,'- 30 -'!F34,'- 30 -'!D34,'- 30 -'!B34)</f>
        <v>2307081</v>
      </c>
      <c r="C34" s="79">
        <f>B34/'- 3 -'!D34*100</f>
        <v>10.195350553075034</v>
      </c>
      <c r="D34" s="27">
        <f>B34/'- 7 -'!E34</f>
        <v>1157.4178497968194</v>
      </c>
      <c r="E34" s="27">
        <f>SUM('- 33 -'!D34,'- 33 -'!B34,'- 32 -'!F34,'- 32 -'!D34,'- 32 -'!B34)</f>
        <v>2318652</v>
      </c>
      <c r="F34" s="79">
        <f>E34/'- 3 -'!D34*100</f>
        <v>10.246484605693746</v>
      </c>
      <c r="G34" s="27">
        <f>E34/'- 7 -'!E34</f>
        <v>1163.2227963678322</v>
      </c>
      <c r="H34" s="27">
        <f>SUM('- 34 -'!B34,'- 34 -'!D34,'- 34 -'!F34)</f>
        <v>389387</v>
      </c>
      <c r="I34" s="79">
        <f>H34/'- 3 -'!D34*100</f>
        <v>1.7207618483313887</v>
      </c>
      <c r="J34" s="27">
        <f>H34/'- 7 -'!E34</f>
        <v>195.34791551698189</v>
      </c>
    </row>
    <row r="35" spans="1:10" ht="14.1" customHeight="1">
      <c r="A35" s="330" t="s">
        <v>261</v>
      </c>
      <c r="B35" s="331">
        <f>SUM('- 31 -'!D35,'- 31 -'!B35,'- 30 -'!F35,'- 30 -'!D35,'- 30 -'!B35)</f>
        <v>3272912</v>
      </c>
      <c r="C35" s="337">
        <f>B35/'- 3 -'!D35*100</f>
        <v>2.0342685321702794</v>
      </c>
      <c r="D35" s="331">
        <f>B35/'- 7 -'!E35</f>
        <v>207.59963210808411</v>
      </c>
      <c r="E35" s="331">
        <f>SUM('- 33 -'!D35,'- 33 -'!B35,'- 32 -'!F35,'- 32 -'!D35,'- 32 -'!B35)</f>
        <v>18351802</v>
      </c>
      <c r="F35" s="337">
        <f>E35/'- 3 -'!D35*100</f>
        <v>11.406506901871975</v>
      </c>
      <c r="G35" s="331">
        <f>E35/'- 7 -'!E35</f>
        <v>1164.04820652691</v>
      </c>
      <c r="H35" s="331">
        <f>SUM('- 34 -'!B35,'- 34 -'!D35,'- 34 -'!F35)</f>
        <v>2782577</v>
      </c>
      <c r="I35" s="337">
        <f>H35/'- 3 -'!D35*100</f>
        <v>1.729502299310455</v>
      </c>
      <c r="J35" s="331">
        <f>H35/'- 7 -'!E35</f>
        <v>176.49785924962734</v>
      </c>
    </row>
    <row r="36" spans="1:10" ht="14.1" customHeight="1">
      <c r="A36" s="26" t="s">
        <v>262</v>
      </c>
      <c r="B36" s="27">
        <f>SUM('- 31 -'!D36,'- 31 -'!B36,'- 30 -'!F36,'- 30 -'!D36,'- 30 -'!B36)</f>
        <v>1539195</v>
      </c>
      <c r="C36" s="79">
        <f>B36/'- 3 -'!D36*100</f>
        <v>7.5577843148067005</v>
      </c>
      <c r="D36" s="27">
        <f>B36/'- 7 -'!E36</f>
        <v>922.22588376273222</v>
      </c>
      <c r="E36" s="27">
        <f>SUM('- 33 -'!D36,'- 33 -'!B36,'- 32 -'!F36,'- 32 -'!D36,'- 32 -'!B36)</f>
        <v>2200743</v>
      </c>
      <c r="F36" s="79">
        <f>E36/'- 3 -'!D36*100</f>
        <v>10.806129779735929</v>
      </c>
      <c r="G36" s="27">
        <f>E36/'- 7 -'!E36</f>
        <v>1318.5997603355302</v>
      </c>
      <c r="H36" s="27">
        <f>SUM('- 34 -'!B36,'- 34 -'!D36,'- 34 -'!F36)</f>
        <v>347866</v>
      </c>
      <c r="I36" s="79">
        <f>H36/'- 3 -'!D36*100</f>
        <v>1.7080981931818566</v>
      </c>
      <c r="J36" s="27">
        <f>H36/'- 7 -'!E36</f>
        <v>208.42780107849012</v>
      </c>
    </row>
    <row r="37" spans="1:10" ht="14.1" customHeight="1">
      <c r="A37" s="330" t="s">
        <v>263</v>
      </c>
      <c r="B37" s="331">
        <f>SUM('- 31 -'!D37,'- 31 -'!B37,'- 30 -'!F37,'- 30 -'!D37,'- 30 -'!B37)</f>
        <v>2342114</v>
      </c>
      <c r="C37" s="337">
        <f>B37/'- 3 -'!D37*100</f>
        <v>6.2446150482191731</v>
      </c>
      <c r="D37" s="331">
        <f>B37/'- 7 -'!E37</f>
        <v>636.87668252889193</v>
      </c>
      <c r="E37" s="331">
        <f>SUM('- 33 -'!D37,'- 33 -'!B37,'- 32 -'!F37,'- 32 -'!D37,'- 32 -'!B37)</f>
        <v>3649502</v>
      </c>
      <c r="F37" s="337">
        <f>E37/'- 3 -'!D37*100</f>
        <v>9.7304123999540444</v>
      </c>
      <c r="G37" s="331">
        <f>E37/'- 7 -'!E37</f>
        <v>992.38667573079533</v>
      </c>
      <c r="H37" s="331">
        <f>SUM('- 34 -'!B37,'- 34 -'!D37,'- 34 -'!F37)</f>
        <v>679901</v>
      </c>
      <c r="I37" s="337">
        <f>H37/'- 3 -'!D37*100</f>
        <v>1.8127725703784119</v>
      </c>
      <c r="J37" s="331">
        <f>H37/'- 7 -'!E37</f>
        <v>184.88130523453432</v>
      </c>
    </row>
    <row r="38" spans="1:10" ht="14.1" customHeight="1">
      <c r="A38" s="26" t="s">
        <v>264</v>
      </c>
      <c r="B38" s="27">
        <f>SUM('- 31 -'!D38,'- 31 -'!B38,'- 30 -'!F38,'- 30 -'!D38,'- 30 -'!B38)</f>
        <v>3288467</v>
      </c>
      <c r="C38" s="79">
        <f>B38/'- 3 -'!D38*100</f>
        <v>3.202933462614252</v>
      </c>
      <c r="D38" s="27">
        <f>B38/'- 7 -'!E38</f>
        <v>323.74448688666615</v>
      </c>
      <c r="E38" s="27">
        <f>SUM('- 33 -'!D38,'- 33 -'!B38,'- 32 -'!F38,'- 32 -'!D38,'- 32 -'!B38)</f>
        <v>10234800</v>
      </c>
      <c r="F38" s="79">
        <f>E38/'- 3 -'!D38*100</f>
        <v>9.9685912624832014</v>
      </c>
      <c r="G38" s="27">
        <f>E38/'- 7 -'!E38</f>
        <v>1007.6002205245334</v>
      </c>
      <c r="H38" s="27">
        <f>SUM('- 34 -'!B38,'- 34 -'!D38,'- 34 -'!F38)</f>
        <v>1675535</v>
      </c>
      <c r="I38" s="79">
        <f>H38/'- 3 -'!D38*100</f>
        <v>1.6319540744308427</v>
      </c>
      <c r="J38" s="27">
        <f>H38/'- 7 -'!E38</f>
        <v>164.95382767582893</v>
      </c>
    </row>
    <row r="39" spans="1:10" ht="14.1" customHeight="1">
      <c r="A39" s="330" t="s">
        <v>265</v>
      </c>
      <c r="B39" s="331">
        <f>SUM('- 31 -'!D39,'- 31 -'!B39,'- 30 -'!F39,'- 30 -'!D39,'- 30 -'!B39)</f>
        <v>1827709</v>
      </c>
      <c r="C39" s="337">
        <f>B39/'- 3 -'!D39*100</f>
        <v>9.6197620529861698</v>
      </c>
      <c r="D39" s="331">
        <f>B39/'- 7 -'!E39</f>
        <v>1150.1535460323455</v>
      </c>
      <c r="E39" s="331">
        <f>SUM('- 33 -'!D39,'- 33 -'!B39,'- 32 -'!F39,'- 32 -'!D39,'- 32 -'!B39)</f>
        <v>2016343</v>
      </c>
      <c r="F39" s="337">
        <f>E39/'- 3 -'!D39*100</f>
        <v>10.61259745244144</v>
      </c>
      <c r="G39" s="331">
        <f>E39/'- 7 -'!E39</f>
        <v>1268.8584733496948</v>
      </c>
      <c r="H39" s="331">
        <f>SUM('- 34 -'!B39,'- 34 -'!D39,'- 34 -'!F39)</f>
        <v>415675</v>
      </c>
      <c r="I39" s="337">
        <f>H39/'- 3 -'!D39*100</f>
        <v>2.1878179684922632</v>
      </c>
      <c r="J39" s="331">
        <f>H39/'- 7 -'!E39</f>
        <v>261.57888112768234</v>
      </c>
    </row>
    <row r="40" spans="1:10" ht="14.1" customHeight="1">
      <c r="A40" s="26" t="s">
        <v>266</v>
      </c>
      <c r="B40" s="27">
        <f>SUM('- 31 -'!D40,'- 31 -'!B40,'- 30 -'!F40,'- 30 -'!D40,'- 30 -'!B40)</f>
        <v>1692564</v>
      </c>
      <c r="C40" s="79">
        <f>B40/'- 3 -'!D40*100</f>
        <v>1.8630615567045841</v>
      </c>
      <c r="D40" s="27">
        <f>B40/'- 7 -'!E40</f>
        <v>206.43541895353093</v>
      </c>
      <c r="E40" s="27">
        <f>SUM('- 33 -'!D40,'- 33 -'!B40,'- 32 -'!F40,'- 32 -'!D40,'- 32 -'!B40)</f>
        <v>9531067</v>
      </c>
      <c r="F40" s="79">
        <f>E40/'- 3 -'!D40*100</f>
        <v>10.491162828747209</v>
      </c>
      <c r="G40" s="27">
        <f>E40/'- 7 -'!E40</f>
        <v>1162.4670081717284</v>
      </c>
      <c r="H40" s="27">
        <f>SUM('- 34 -'!B40,'- 34 -'!D40,'- 34 -'!F40)</f>
        <v>1588238</v>
      </c>
      <c r="I40" s="79">
        <f>H40/'- 3 -'!D40*100</f>
        <v>1.7482264544781616</v>
      </c>
      <c r="J40" s="27">
        <f>H40/'- 7 -'!E40</f>
        <v>193.71118429076716</v>
      </c>
    </row>
    <row r="41" spans="1:10" ht="14.1" customHeight="1">
      <c r="A41" s="330" t="s">
        <v>267</v>
      </c>
      <c r="B41" s="331">
        <f>SUM('- 31 -'!D41,'- 31 -'!B41,'- 30 -'!F41,'- 30 -'!D41,'- 30 -'!B41)</f>
        <v>4458717</v>
      </c>
      <c r="C41" s="337">
        <f>B41/'- 3 -'!D41*100</f>
        <v>8.0749889729289599</v>
      </c>
      <c r="D41" s="331">
        <f>B41/'- 7 -'!E41</f>
        <v>980.47652556349647</v>
      </c>
      <c r="E41" s="331">
        <f>SUM('- 33 -'!D41,'- 33 -'!B41,'- 32 -'!F41,'- 32 -'!D41,'- 32 -'!B41)</f>
        <v>5142558</v>
      </c>
      <c r="F41" s="337">
        <f>E41/'- 3 -'!D41*100</f>
        <v>9.3134637481247644</v>
      </c>
      <c r="G41" s="331">
        <f>E41/'- 7 -'!E41</f>
        <v>1130.8538757559099</v>
      </c>
      <c r="H41" s="331">
        <f>SUM('- 34 -'!B41,'- 34 -'!D41,'- 34 -'!F41)</f>
        <v>995461</v>
      </c>
      <c r="I41" s="337">
        <f>H41/'- 3 -'!D41*100</f>
        <v>1.8028362414526051</v>
      </c>
      <c r="J41" s="331">
        <f>H41/'- 7 -'!E41</f>
        <v>218.90291368884002</v>
      </c>
    </row>
    <row r="42" spans="1:10" ht="14.1" customHeight="1">
      <c r="A42" s="26" t="s">
        <v>268</v>
      </c>
      <c r="B42" s="27">
        <f>SUM('- 31 -'!D42,'- 31 -'!B42,'- 30 -'!F42,'- 30 -'!D42,'- 30 -'!B42)</f>
        <v>1467945</v>
      </c>
      <c r="C42" s="79">
        <f>B42/'- 3 -'!D42*100</f>
        <v>7.649203353561405</v>
      </c>
      <c r="D42" s="27">
        <f>B42/'- 7 -'!E42</f>
        <v>1002.8316709933051</v>
      </c>
      <c r="E42" s="27">
        <f>SUM('- 33 -'!D42,'- 33 -'!B42,'- 32 -'!F42,'- 32 -'!D42,'- 32 -'!B42)</f>
        <v>1916400</v>
      </c>
      <c r="F42" s="79">
        <f>E42/'- 3 -'!D42*100</f>
        <v>9.9860235272882001</v>
      </c>
      <c r="G42" s="27">
        <f>E42/'- 7 -'!E42</f>
        <v>1309.1952452520836</v>
      </c>
      <c r="H42" s="27">
        <f>SUM('- 34 -'!B42,'- 34 -'!D42,'- 34 -'!F42)</f>
        <v>305362</v>
      </c>
      <c r="I42" s="79">
        <f>H42/'- 3 -'!D42*100</f>
        <v>1.5911877042056872</v>
      </c>
      <c r="J42" s="27">
        <f>H42/'- 7 -'!E42</f>
        <v>208.609099603771</v>
      </c>
    </row>
    <row r="43" spans="1:10" ht="14.1" customHeight="1">
      <c r="A43" s="330" t="s">
        <v>269</v>
      </c>
      <c r="B43" s="331">
        <f>SUM('- 31 -'!D43,'- 31 -'!B43,'- 30 -'!F43,'- 30 -'!D43,'- 30 -'!B43)</f>
        <v>983110</v>
      </c>
      <c r="C43" s="337">
        <f>B43/'- 3 -'!D43*100</f>
        <v>8.6923622931970908</v>
      </c>
      <c r="D43" s="331">
        <f>B43/'- 7 -'!E43</f>
        <v>1010.5982730263157</v>
      </c>
      <c r="E43" s="331">
        <f>SUM('- 33 -'!D43,'- 33 -'!B43,'- 32 -'!F43,'- 32 -'!D43,'- 32 -'!B43)</f>
        <v>888728</v>
      </c>
      <c r="F43" s="337">
        <f>E43/'- 3 -'!D43*100</f>
        <v>7.8578650976070472</v>
      </c>
      <c r="G43" s="331">
        <f>E43/'- 7 -'!E43</f>
        <v>913.57730263157885</v>
      </c>
      <c r="H43" s="331">
        <f>SUM('- 34 -'!B43,'- 34 -'!D43,'- 34 -'!F43)</f>
        <v>210345</v>
      </c>
      <c r="I43" s="337">
        <f>H43/'- 3 -'!D43*100</f>
        <v>1.859807088283653</v>
      </c>
      <c r="J43" s="331">
        <f>H43/'- 7 -'!E43</f>
        <v>216.22635690789471</v>
      </c>
    </row>
    <row r="44" spans="1:10" ht="14.1" customHeight="1">
      <c r="A44" s="26" t="s">
        <v>270</v>
      </c>
      <c r="B44" s="27">
        <f>SUM('- 31 -'!D44,'- 31 -'!B44,'- 30 -'!F44,'- 30 -'!D44,'- 30 -'!B44)</f>
        <v>935950</v>
      </c>
      <c r="C44" s="79">
        <f>B44/'- 3 -'!D44*100</f>
        <v>9.6700667652528907</v>
      </c>
      <c r="D44" s="27">
        <f>B44/'- 7 -'!E44</f>
        <v>1308.1062194269741</v>
      </c>
      <c r="E44" s="27">
        <f>SUM('- 33 -'!D44,'- 33 -'!B44,'- 32 -'!F44,'- 32 -'!D44,'- 32 -'!B44)</f>
        <v>1138561</v>
      </c>
      <c r="F44" s="79">
        <f>E44/'- 3 -'!D44*100</f>
        <v>11.763407111825522</v>
      </c>
      <c r="G44" s="27">
        <f>E44/'- 7 -'!E44</f>
        <v>1591.2802236198463</v>
      </c>
      <c r="H44" s="27">
        <f>SUM('- 34 -'!B44,'- 34 -'!D44,'- 34 -'!F44)</f>
        <v>149224</v>
      </c>
      <c r="I44" s="79">
        <f>H44/'- 3 -'!D44*100</f>
        <v>1.5417554815728378</v>
      </c>
      <c r="J44" s="27">
        <f>H44/'- 7 -'!E44</f>
        <v>208.55904961565338</v>
      </c>
    </row>
    <row r="45" spans="1:10" ht="14.1" customHeight="1">
      <c r="A45" s="330" t="s">
        <v>271</v>
      </c>
      <c r="B45" s="331">
        <f>SUM('- 31 -'!D45,'- 31 -'!B45,'- 30 -'!F45,'- 30 -'!D45,'- 30 -'!B45)</f>
        <v>642849</v>
      </c>
      <c r="C45" s="337">
        <f>B45/'- 3 -'!D45*100</f>
        <v>4.1416186451406531</v>
      </c>
      <c r="D45" s="331">
        <f>B45/'- 7 -'!E45</f>
        <v>387.95956547978273</v>
      </c>
      <c r="E45" s="331">
        <f>SUM('- 33 -'!D45,'- 33 -'!B45,'- 32 -'!F45,'- 32 -'!D45,'- 32 -'!B45)</f>
        <v>1503675</v>
      </c>
      <c r="F45" s="337">
        <f>E45/'- 3 -'!D45*100</f>
        <v>9.6875758012097268</v>
      </c>
      <c r="G45" s="331">
        <f>E45/'- 7 -'!E45</f>
        <v>907.46831623415812</v>
      </c>
      <c r="H45" s="331">
        <f>SUM('- 34 -'!B45,'- 34 -'!D45,'- 34 -'!F45)</f>
        <v>283280</v>
      </c>
      <c r="I45" s="337">
        <f>H45/'- 3 -'!D45*100</f>
        <v>1.8250595859921135</v>
      </c>
      <c r="J45" s="331">
        <f>H45/'- 7 -'!E45</f>
        <v>170.95956547978275</v>
      </c>
    </row>
    <row r="46" spans="1:10" ht="14.1" customHeight="1">
      <c r="A46" s="26" t="s">
        <v>272</v>
      </c>
      <c r="B46" s="27">
        <f>SUM('- 31 -'!D46,'- 31 -'!B46,'- 30 -'!F46,'- 30 -'!D46,'- 30 -'!B46)</f>
        <v>4858926</v>
      </c>
      <c r="C46" s="79">
        <f>B46/'- 3 -'!D46*100</f>
        <v>1.4458860383534449</v>
      </c>
      <c r="D46" s="27">
        <f>B46/'- 7 -'!E46</f>
        <v>160.64317760284592</v>
      </c>
      <c r="E46" s="27">
        <f>SUM('- 33 -'!D46,'- 33 -'!B46,'- 32 -'!F46,'- 32 -'!D46,'- 32 -'!B46)</f>
        <v>40728710</v>
      </c>
      <c r="F46" s="79">
        <f>E46/'- 3 -'!D46*100</f>
        <v>12.11977156045314</v>
      </c>
      <c r="G46" s="27">
        <f>E46/'- 7 -'!E46</f>
        <v>1346.5505327853948</v>
      </c>
      <c r="H46" s="27">
        <f>SUM('- 34 -'!B46,'- 34 -'!D46,'- 34 -'!F46)</f>
        <v>6662014</v>
      </c>
      <c r="I46" s="79">
        <f>H46/'- 3 -'!D46*100</f>
        <v>1.9824366598534711</v>
      </c>
      <c r="J46" s="27">
        <f>H46/'- 7 -'!E46</f>
        <v>220.25589568448788</v>
      </c>
    </row>
    <row r="47" spans="1:10" ht="5.0999999999999996" customHeight="1">
      <c r="A47" s="28"/>
      <c r="B47" s="29"/>
      <c r="C47"/>
      <c r="D47"/>
      <c r="E47"/>
      <c r="F47"/>
      <c r="G47"/>
      <c r="H47"/>
      <c r="I47"/>
      <c r="J47"/>
    </row>
    <row r="48" spans="1:10" ht="14.1" customHeight="1">
      <c r="A48" s="332" t="s">
        <v>273</v>
      </c>
      <c r="B48" s="333">
        <f>SUM(B11:B46)</f>
        <v>81644549</v>
      </c>
      <c r="C48" s="340">
        <f>B48/'- 3 -'!D48*100</f>
        <v>4.2344132707407818</v>
      </c>
      <c r="D48" s="333">
        <f>B48/'- 7 -'!E48</f>
        <v>473.98724253488467</v>
      </c>
      <c r="E48" s="333">
        <f>SUM(E11:E46)</f>
        <v>218182867</v>
      </c>
      <c r="F48" s="340">
        <f>E48/'- 3 -'!D48*100</f>
        <v>11.315837233335333</v>
      </c>
      <c r="G48" s="333">
        <f>E48/'- 7 -'!E48</f>
        <v>1266.6601354817392</v>
      </c>
      <c r="H48" s="333">
        <f>SUM(H11:H46)</f>
        <v>34095241</v>
      </c>
      <c r="I48" s="340">
        <f>H48/'- 3 -'!D48*100</f>
        <v>1.768315738500867</v>
      </c>
      <c r="J48" s="333">
        <f>H48/'- 7 -'!E48</f>
        <v>197.93984366491318</v>
      </c>
    </row>
    <row r="49" spans="1:10" ht="5.0999999999999996" customHeight="1">
      <c r="A49" s="28" t="s">
        <v>18</v>
      </c>
      <c r="B49" s="29"/>
      <c r="C49"/>
      <c r="D49"/>
      <c r="E49"/>
      <c r="F49"/>
      <c r="G49"/>
      <c r="H49"/>
      <c r="I49"/>
      <c r="J49"/>
    </row>
    <row r="50" spans="1:10" ht="14.1" customHeight="1">
      <c r="A50" s="330" t="s">
        <v>274</v>
      </c>
      <c r="B50" s="331">
        <f>SUM('- 31 -'!D50,'- 31 -'!B50,'- 30 -'!F50,'- 30 -'!D50,'- 30 -'!B50)</f>
        <v>36997</v>
      </c>
      <c r="C50" s="337">
        <f>B50/'- 3 -'!D50*100</f>
        <v>1.1452282671446061</v>
      </c>
      <c r="D50" s="331">
        <f>B50/'- 7 -'!E50</f>
        <v>204.40331491712706</v>
      </c>
      <c r="E50" s="331">
        <f>SUM('- 33 -'!D50,'- 33 -'!B50,'- 32 -'!F50,'- 32 -'!D50,'- 32 -'!B50)</f>
        <v>483867</v>
      </c>
      <c r="F50" s="337">
        <f>E50/'- 3 -'!D50*100</f>
        <v>14.977921613602701</v>
      </c>
      <c r="G50" s="331">
        <f>E50/'- 7 -'!E50</f>
        <v>2673.2983425414363</v>
      </c>
      <c r="H50" s="331">
        <f>SUM('- 34 -'!B50,'- 34 -'!D50,'- 34 -'!F50)</f>
        <v>51589</v>
      </c>
      <c r="I50" s="337">
        <f>H50/'- 3 -'!D50*100</f>
        <v>1.5969181575188012</v>
      </c>
      <c r="J50" s="331">
        <f>H50/'- 7 -'!E50</f>
        <v>285.02209944751382</v>
      </c>
    </row>
    <row r="51" spans="1:10" ht="14.1" customHeight="1">
      <c r="A51" s="26" t="s">
        <v>275</v>
      </c>
      <c r="B51" s="27">
        <f>SUM('- 31 -'!D51,'- 31 -'!B51,'- 30 -'!F51,'- 30 -'!D51,'- 30 -'!B51)</f>
        <v>0</v>
      </c>
      <c r="C51" s="79">
        <f>B51/'- 3 -'!D51*100</f>
        <v>0</v>
      </c>
      <c r="D51" s="27">
        <f>B51/'- 7 -'!E51</f>
        <v>0</v>
      </c>
      <c r="E51" s="27">
        <f>SUM('- 33 -'!D51,'- 33 -'!B51,'- 32 -'!F51,'- 32 -'!D51,'- 32 -'!B51)</f>
        <v>1145352</v>
      </c>
      <c r="F51" s="79">
        <f>E51/'- 3 -'!D51*100</f>
        <v>7.4477649461266155</v>
      </c>
      <c r="G51" s="27">
        <f>E51/'- 7 -'!E51</f>
        <v>1782.6490272373542</v>
      </c>
      <c r="H51" s="27">
        <f>SUM('- 34 -'!B51,'- 34 -'!D51,'- 34 -'!F51)</f>
        <v>128614</v>
      </c>
      <c r="I51" s="79">
        <f>H51/'- 3 -'!D51*100</f>
        <v>0.83632528758069891</v>
      </c>
      <c r="J51" s="27">
        <f>H51/'- 7 -'!E51</f>
        <v>200.1774319066148</v>
      </c>
    </row>
    <row r="52" spans="1:10"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sheetPr codeName="Sheet13">
    <pageSetUpPr fitToPage="1"/>
  </sheetPr>
  <dimension ref="A1:G52"/>
  <sheetViews>
    <sheetView showGridLines="0" showZeros="0" workbookViewId="0"/>
  </sheetViews>
  <sheetFormatPr defaultColWidth="15.83203125" defaultRowHeight="12"/>
  <cols>
    <col min="1" max="1" width="33.83203125" style="1" customWidth="1"/>
    <col min="2" max="2" width="21.83203125" style="1" customWidth="1"/>
    <col min="3" max="3" width="12.83203125" style="1" customWidth="1"/>
    <col min="4" max="4" width="15.33203125" style="1" customWidth="1"/>
    <col min="5" max="5" width="20.83203125" style="1" customWidth="1"/>
    <col min="6" max="6" width="12.83203125" style="1" customWidth="1"/>
    <col min="7" max="7" width="15.33203125" style="1" customWidth="1"/>
    <col min="8" max="16384" width="15.83203125" style="1"/>
  </cols>
  <sheetData>
    <row r="1" spans="1:7" ht="6.95" customHeight="1">
      <c r="A1" s="6"/>
      <c r="B1" s="100"/>
      <c r="C1" s="100"/>
      <c r="D1" s="100"/>
      <c r="E1" s="100"/>
      <c r="F1" s="100"/>
      <c r="G1" s="100"/>
    </row>
    <row r="2" spans="1:7" ht="15.95" customHeight="1">
      <c r="A2" s="152"/>
      <c r="B2" s="101" t="s">
        <v>483</v>
      </c>
      <c r="C2" s="230"/>
      <c r="D2" s="102"/>
      <c r="E2" s="102"/>
      <c r="F2" s="102"/>
      <c r="G2" s="153" t="s">
        <v>443</v>
      </c>
    </row>
    <row r="3" spans="1:7" ht="15.95" customHeight="1">
      <c r="A3" s="154"/>
      <c r="B3" s="231" t="str">
        <f>OPYEAR</f>
        <v>OPERATING FUND 2011/2012 ACTUAL</v>
      </c>
      <c r="C3" s="105"/>
      <c r="D3" s="232"/>
      <c r="E3" s="105"/>
      <c r="F3" s="105"/>
      <c r="G3" s="107"/>
    </row>
    <row r="4" spans="1:7" ht="15.95" customHeight="1">
      <c r="B4" s="100"/>
      <c r="C4" s="100"/>
      <c r="D4" s="100"/>
      <c r="E4" s="100"/>
      <c r="F4" s="100"/>
      <c r="G4" s="100"/>
    </row>
    <row r="5" spans="1:7" ht="15.95" customHeight="1">
      <c r="B5" s="211" t="s">
        <v>24</v>
      </c>
      <c r="C5" s="196"/>
      <c r="D5" s="197"/>
      <c r="E5" s="197"/>
      <c r="F5" s="197"/>
      <c r="G5" s="198"/>
    </row>
    <row r="6" spans="1:7" ht="15.95" customHeight="1">
      <c r="B6" s="358"/>
      <c r="C6" s="361"/>
      <c r="D6" s="359"/>
      <c r="E6" s="358" t="s">
        <v>198</v>
      </c>
      <c r="F6" s="361"/>
      <c r="G6" s="359"/>
    </row>
    <row r="7" spans="1:7" ht="15.95" customHeight="1">
      <c r="B7" s="344" t="s">
        <v>45</v>
      </c>
      <c r="C7" s="345"/>
      <c r="D7" s="346"/>
      <c r="E7" s="344" t="s">
        <v>233</v>
      </c>
      <c r="F7" s="345"/>
      <c r="G7" s="346"/>
    </row>
    <row r="8" spans="1:7" ht="15.95" customHeight="1">
      <c r="A8" s="75"/>
      <c r="B8" s="155"/>
      <c r="C8" s="156"/>
      <c r="D8" s="157" t="s">
        <v>75</v>
      </c>
      <c r="E8" s="155"/>
      <c r="F8" s="157"/>
      <c r="G8" s="157" t="s">
        <v>75</v>
      </c>
    </row>
    <row r="9" spans="1:7" ht="15.95" customHeight="1">
      <c r="A9" s="42" t="s">
        <v>95</v>
      </c>
      <c r="B9" s="87" t="s">
        <v>96</v>
      </c>
      <c r="C9" s="87" t="s">
        <v>97</v>
      </c>
      <c r="D9" s="87" t="s">
        <v>98</v>
      </c>
      <c r="E9" s="87" t="s">
        <v>96</v>
      </c>
      <c r="F9" s="87" t="s">
        <v>97</v>
      </c>
      <c r="G9" s="87" t="s">
        <v>98</v>
      </c>
    </row>
    <row r="10" spans="1:7" ht="5.0999999999999996" customHeight="1">
      <c r="A10" s="5"/>
    </row>
    <row r="11" spans="1:7" ht="14.1" customHeight="1">
      <c r="A11" s="330" t="s">
        <v>238</v>
      </c>
      <c r="B11" s="331">
        <v>1060868</v>
      </c>
      <c r="C11" s="337">
        <f>B11/'- 3 -'!D11*100</f>
        <v>7.0480272203300762</v>
      </c>
      <c r="D11" s="331">
        <f>B11/'- 7 -'!C11</f>
        <v>740.57102966841182</v>
      </c>
      <c r="E11" s="331">
        <v>0</v>
      </c>
      <c r="F11" s="337">
        <f>E11/'- 3 -'!D11*100</f>
        <v>0</v>
      </c>
      <c r="G11" s="331" t="str">
        <f>IF('- 7 -'!B11=0,"",E11/'- 7 -'!B11)</f>
        <v/>
      </c>
    </row>
    <row r="12" spans="1:7" ht="14.1" customHeight="1">
      <c r="A12" s="26" t="s">
        <v>239</v>
      </c>
      <c r="B12" s="27">
        <v>2357422</v>
      </c>
      <c r="C12" s="79">
        <f>B12/'- 3 -'!D12*100</f>
        <v>8.2436958380879659</v>
      </c>
      <c r="D12" s="27">
        <f>B12/'- 7 -'!C12</f>
        <v>1007.7381461279348</v>
      </c>
      <c r="E12" s="27">
        <v>1169974</v>
      </c>
      <c r="F12" s="79">
        <f>E12/'- 3 -'!D12*100</f>
        <v>4.0912954042471528</v>
      </c>
      <c r="G12" s="27">
        <f>IF('- 7 -'!B12=0,"",E12/'- 7 -'!B12)</f>
        <v>7527.3370649166827</v>
      </c>
    </row>
    <row r="13" spans="1:7" ht="14.1" customHeight="1">
      <c r="A13" s="330" t="s">
        <v>240</v>
      </c>
      <c r="B13" s="331">
        <v>4876621</v>
      </c>
      <c r="C13" s="337">
        <f>B13/'- 3 -'!D13*100</f>
        <v>6.6379721187315015</v>
      </c>
      <c r="D13" s="331">
        <f>B13/'- 7 -'!C13</f>
        <v>640.901695360757</v>
      </c>
      <c r="E13" s="331">
        <v>2935815</v>
      </c>
      <c r="F13" s="337">
        <f>E13/'- 3 -'!D13*100</f>
        <v>3.9961805758031481</v>
      </c>
      <c r="G13" s="331">
        <f>IF('- 7 -'!B13=0,"",E13/'- 7 -'!B13)</f>
        <v>7231.0714285714284</v>
      </c>
    </row>
    <row r="14" spans="1:7" ht="14.1" customHeight="1">
      <c r="A14" s="26" t="s">
        <v>653</v>
      </c>
      <c r="B14" s="27">
        <v>4944703</v>
      </c>
      <c r="C14" s="79">
        <f>B14/'- 3 -'!D14*100</f>
        <v>7.4375252469888018</v>
      </c>
      <c r="D14" s="27">
        <f>B14/'- 7 -'!C14</f>
        <v>998.52645395799675</v>
      </c>
      <c r="E14" s="27">
        <v>0</v>
      </c>
      <c r="F14" s="79">
        <f>E14/'- 3 -'!D14*100</f>
        <v>0</v>
      </c>
      <c r="G14" s="27" t="str">
        <f>IF('- 7 -'!B14=0,"",E14/'- 7 -'!B14)</f>
        <v/>
      </c>
    </row>
    <row r="15" spans="1:7" ht="14.1" customHeight="1">
      <c r="A15" s="330" t="s">
        <v>241</v>
      </c>
      <c r="B15" s="331">
        <v>1380717</v>
      </c>
      <c r="C15" s="337">
        <f>B15/'- 3 -'!D15*100</f>
        <v>7.543298585344349</v>
      </c>
      <c r="D15" s="331">
        <f>B15/'- 7 -'!C15</f>
        <v>900.66340508806263</v>
      </c>
      <c r="E15" s="331">
        <v>125122</v>
      </c>
      <c r="F15" s="337">
        <f>E15/'- 3 -'!D15*100</f>
        <v>0.68358150554781005</v>
      </c>
      <c r="G15" s="331">
        <f>IF('- 7 -'!B15=0,"",E15/'- 7 -'!B15)</f>
        <v>6256.1</v>
      </c>
    </row>
    <row r="16" spans="1:7" ht="14.1" customHeight="1">
      <c r="A16" s="26" t="s">
        <v>242</v>
      </c>
      <c r="B16" s="27">
        <v>872847</v>
      </c>
      <c r="C16" s="79">
        <f>B16/'- 3 -'!D16*100</f>
        <v>6.9282391186941572</v>
      </c>
      <c r="D16" s="27">
        <f>B16/'- 7 -'!C16</f>
        <v>882.10914603335016</v>
      </c>
      <c r="E16" s="27">
        <v>99801</v>
      </c>
      <c r="F16" s="79">
        <f>E16/'- 3 -'!D16*100</f>
        <v>0.79217227335924356</v>
      </c>
      <c r="G16" s="27">
        <f>IF('- 7 -'!B16=0,"",E16/'- 7 -'!B16)</f>
        <v>9072.818181818182</v>
      </c>
    </row>
    <row r="17" spans="1:7" ht="14.1" customHeight="1">
      <c r="A17" s="330" t="s">
        <v>243</v>
      </c>
      <c r="B17" s="331">
        <v>1128428</v>
      </c>
      <c r="C17" s="337">
        <f>B17/'- 3 -'!D17*100</f>
        <v>7.088233566701958</v>
      </c>
      <c r="D17" s="331">
        <f>B17/'- 7 -'!C17</f>
        <v>853.25368620037807</v>
      </c>
      <c r="E17" s="331">
        <v>177852</v>
      </c>
      <c r="F17" s="337">
        <f>E17/'- 3 -'!D17*100</f>
        <v>1.1171794002852433</v>
      </c>
      <c r="G17" s="331">
        <f>IF('- 7 -'!B17=0,"",E17/'- 7 -'!B17)</f>
        <v>5096.0458452722069</v>
      </c>
    </row>
    <row r="18" spans="1:7" ht="14.1" customHeight="1">
      <c r="A18" s="26" t="s">
        <v>244</v>
      </c>
      <c r="B18" s="27">
        <v>6281574</v>
      </c>
      <c r="C18" s="79">
        <f>B18/'- 3 -'!D18*100</f>
        <v>5.7633887016139678</v>
      </c>
      <c r="D18" s="27">
        <f>B18/'- 7 -'!C18</f>
        <v>1086.7587065967716</v>
      </c>
      <c r="E18" s="27">
        <v>0</v>
      </c>
      <c r="F18" s="79">
        <f>E18/'- 3 -'!D18*100</f>
        <v>0</v>
      </c>
      <c r="G18" s="27" t="str">
        <f>IF('- 7 -'!B18=0,"",E18/'- 7 -'!B18)</f>
        <v/>
      </c>
    </row>
    <row r="19" spans="1:7" ht="14.1" customHeight="1">
      <c r="A19" s="330" t="s">
        <v>245</v>
      </c>
      <c r="B19" s="331">
        <v>2470833</v>
      </c>
      <c r="C19" s="337">
        <f>B19/'- 3 -'!D19*100</f>
        <v>6.6555569804959065</v>
      </c>
      <c r="D19" s="331">
        <f>B19/'- 7 -'!C19</f>
        <v>596.76190706211969</v>
      </c>
      <c r="E19" s="331">
        <v>953572</v>
      </c>
      <c r="F19" s="337">
        <f>E19/'- 3 -'!D19*100</f>
        <v>2.5685883185975915</v>
      </c>
      <c r="G19" s="331">
        <f>IF('- 7 -'!B19=0,"",E19/'- 7 -'!B19)</f>
        <v>8813.0499075785574</v>
      </c>
    </row>
    <row r="20" spans="1:7" ht="14.1" customHeight="1">
      <c r="A20" s="26" t="s">
        <v>246</v>
      </c>
      <c r="B20" s="27">
        <v>4617214</v>
      </c>
      <c r="C20" s="79">
        <f>B20/'- 3 -'!D20*100</f>
        <v>7.3471122405475322</v>
      </c>
      <c r="D20" s="27">
        <f>B20/'- 7 -'!C20</f>
        <v>632.75510483760445</v>
      </c>
      <c r="E20" s="27">
        <v>2676081</v>
      </c>
      <c r="F20" s="79">
        <f>E20/'- 3 -'!D20*100</f>
        <v>4.2582967719920886</v>
      </c>
      <c r="G20" s="27">
        <f>IF('- 7 -'!B20=0,"",E20/'- 7 -'!B20)</f>
        <v>6673.5187032418953</v>
      </c>
    </row>
    <row r="21" spans="1:7" ht="14.1" customHeight="1">
      <c r="A21" s="330" t="s">
        <v>247</v>
      </c>
      <c r="B21" s="331">
        <v>2507094</v>
      </c>
      <c r="C21" s="337">
        <f>B21/'- 3 -'!D21*100</f>
        <v>7.9728200314505937</v>
      </c>
      <c r="D21" s="331">
        <f>B21/'- 7 -'!C21</f>
        <v>881.84804783679215</v>
      </c>
      <c r="E21" s="331">
        <v>0</v>
      </c>
      <c r="F21" s="337">
        <f>E21/'- 3 -'!D21*100</f>
        <v>0</v>
      </c>
      <c r="G21" s="331" t="str">
        <f>IF('- 7 -'!B21=0,"",E21/'- 7 -'!B21)</f>
        <v/>
      </c>
    </row>
    <row r="22" spans="1:7" ht="14.1" customHeight="1">
      <c r="A22" s="26" t="s">
        <v>248</v>
      </c>
      <c r="B22" s="27">
        <v>1247023</v>
      </c>
      <c r="C22" s="79">
        <f>B22/'- 3 -'!D22*100</f>
        <v>6.8455201014413811</v>
      </c>
      <c r="D22" s="27">
        <f>B22/'- 7 -'!C22</f>
        <v>796.71799131101454</v>
      </c>
      <c r="E22" s="27">
        <v>0</v>
      </c>
      <c r="F22" s="79">
        <f>E22/'- 3 -'!D22*100</f>
        <v>0</v>
      </c>
      <c r="G22" s="27" t="str">
        <f>IF('- 7 -'!B22=0,"",E22/'- 7 -'!B22)</f>
        <v/>
      </c>
    </row>
    <row r="23" spans="1:7" ht="14.1" customHeight="1">
      <c r="A23" s="330" t="s">
        <v>249</v>
      </c>
      <c r="B23" s="331">
        <v>992696</v>
      </c>
      <c r="C23" s="337">
        <f>B23/'- 3 -'!D23*100</f>
        <v>6.4983614597367376</v>
      </c>
      <c r="D23" s="331">
        <f>B23/'- 7 -'!C23</f>
        <v>831.7519899455383</v>
      </c>
      <c r="E23" s="331">
        <v>192351</v>
      </c>
      <c r="F23" s="337">
        <f>E23/'- 3 -'!D23*100</f>
        <v>1.2591632535457191</v>
      </c>
      <c r="G23" s="331">
        <f>IF('- 7 -'!B23=0,"",E23/'- 7 -'!B23)</f>
        <v>8743.2272727272721</v>
      </c>
    </row>
    <row r="24" spans="1:7" ht="14.1" customHeight="1">
      <c r="A24" s="26" t="s">
        <v>250</v>
      </c>
      <c r="B24" s="27">
        <v>3862539</v>
      </c>
      <c r="C24" s="79">
        <f>B24/'- 3 -'!D24*100</f>
        <v>7.8753725548820768</v>
      </c>
      <c r="D24" s="27">
        <f>B24/'- 7 -'!C24</f>
        <v>891.73242525683941</v>
      </c>
      <c r="E24" s="27">
        <v>1835612</v>
      </c>
      <c r="F24" s="79">
        <f>E24/'- 3 -'!D24*100</f>
        <v>3.7426491657979883</v>
      </c>
      <c r="G24" s="27">
        <f>IF('- 7 -'!B24=0,"",E24/'- 7 -'!B24)</f>
        <v>5127.4078212290506</v>
      </c>
    </row>
    <row r="25" spans="1:7" ht="14.1" customHeight="1">
      <c r="A25" s="330" t="s">
        <v>251</v>
      </c>
      <c r="B25" s="331">
        <v>12399033</v>
      </c>
      <c r="C25" s="337">
        <f>B25/'- 3 -'!D25*100</f>
        <v>8.531825682528412</v>
      </c>
      <c r="D25" s="331">
        <f>B25/'- 7 -'!C25</f>
        <v>899.78468795355593</v>
      </c>
      <c r="E25" s="331">
        <v>2028638</v>
      </c>
      <c r="F25" s="337">
        <f>E25/'- 3 -'!D25*100</f>
        <v>1.3959141643508064</v>
      </c>
      <c r="G25" s="331">
        <f>IF('- 7 -'!B25=0,"",E25/'- 7 -'!B25)</f>
        <v>17191.847457627118</v>
      </c>
    </row>
    <row r="26" spans="1:7" ht="14.1" customHeight="1">
      <c r="A26" s="26" t="s">
        <v>252</v>
      </c>
      <c r="B26" s="27">
        <v>2750533</v>
      </c>
      <c r="C26" s="79">
        <f>B26/'- 3 -'!D26*100</f>
        <v>7.651374884524877</v>
      </c>
      <c r="D26" s="27">
        <f>B26/'- 7 -'!C26</f>
        <v>884.84252855074794</v>
      </c>
      <c r="E26" s="27">
        <v>827533</v>
      </c>
      <c r="F26" s="79">
        <f>E26/'- 3 -'!D26*100</f>
        <v>2.3020139050560475</v>
      </c>
      <c r="G26" s="27">
        <f>IF('- 7 -'!B26=0,"",E26/'- 7 -'!B26)</f>
        <v>4539.402084476138</v>
      </c>
    </row>
    <row r="27" spans="1:7" ht="14.1" customHeight="1">
      <c r="A27" s="330" t="s">
        <v>253</v>
      </c>
      <c r="B27" s="331">
        <v>2754244</v>
      </c>
      <c r="C27" s="337">
        <f>B27/'- 3 -'!D27*100</f>
        <v>6.9110200931274068</v>
      </c>
      <c r="D27" s="331">
        <f>B27/'- 7 -'!C27</f>
        <v>985.31248882052012</v>
      </c>
      <c r="E27" s="331">
        <v>893158</v>
      </c>
      <c r="F27" s="337">
        <f>E27/'- 3 -'!D27*100</f>
        <v>2.2411350934548602</v>
      </c>
      <c r="G27" s="331">
        <f>IF('- 7 -'!B27=0,"",E27/'- 7 -'!B27)</f>
        <v>4273.4832535885171</v>
      </c>
    </row>
    <row r="28" spans="1:7" ht="14.1" customHeight="1">
      <c r="A28" s="26" t="s">
        <v>254</v>
      </c>
      <c r="B28" s="27">
        <v>1585440</v>
      </c>
      <c r="C28" s="79">
        <f>B28/'- 3 -'!D28*100</f>
        <v>6.399904153216637</v>
      </c>
      <c r="D28" s="27">
        <f>B28/'- 7 -'!C28</f>
        <v>791.53270094857714</v>
      </c>
      <c r="E28" s="27">
        <v>0</v>
      </c>
      <c r="F28" s="79">
        <f>E28/'- 3 -'!D28*100</f>
        <v>0</v>
      </c>
      <c r="G28" s="27" t="str">
        <f>IF('- 7 -'!B28=0,"",E28/'- 7 -'!B28)</f>
        <v/>
      </c>
    </row>
    <row r="29" spans="1:7" ht="14.1" customHeight="1">
      <c r="A29" s="330" t="s">
        <v>255</v>
      </c>
      <c r="B29" s="331">
        <v>10380992</v>
      </c>
      <c r="C29" s="337">
        <f>B29/'- 3 -'!D29*100</f>
        <v>7.6960114502148746</v>
      </c>
      <c r="D29" s="331">
        <f>B29/'- 7 -'!C29</f>
        <v>851.99041397196413</v>
      </c>
      <c r="E29" s="331">
        <v>0</v>
      </c>
      <c r="F29" s="337">
        <f>E29/'- 3 -'!D29*100</f>
        <v>0</v>
      </c>
      <c r="G29" s="331" t="str">
        <f>IF('- 7 -'!B29=0,"",E29/'- 7 -'!B29)</f>
        <v/>
      </c>
    </row>
    <row r="30" spans="1:7" ht="14.1" customHeight="1">
      <c r="A30" s="26" t="s">
        <v>256</v>
      </c>
      <c r="B30" s="27">
        <v>770808</v>
      </c>
      <c r="C30" s="79">
        <f>B30/'- 3 -'!D30*100</f>
        <v>5.9823892334254687</v>
      </c>
      <c r="D30" s="27">
        <f>B30/'- 7 -'!C30</f>
        <v>702.01092896174862</v>
      </c>
      <c r="E30" s="27">
        <v>0</v>
      </c>
      <c r="F30" s="79">
        <f>E30/'- 3 -'!D30*100</f>
        <v>0</v>
      </c>
      <c r="G30" s="27" t="str">
        <f>IF('- 7 -'!B30=0,"",E30/'- 7 -'!B30)</f>
        <v/>
      </c>
    </row>
    <row r="31" spans="1:7" ht="14.1" customHeight="1">
      <c r="A31" s="330" t="s">
        <v>257</v>
      </c>
      <c r="B31" s="331">
        <v>2458314</v>
      </c>
      <c r="C31" s="337">
        <f>B31/'- 3 -'!D31*100</f>
        <v>7.6709652389582716</v>
      </c>
      <c r="D31" s="331">
        <f>B31/'- 7 -'!C31</f>
        <v>768.58339846803187</v>
      </c>
      <c r="E31" s="331">
        <v>708415</v>
      </c>
      <c r="F31" s="337">
        <f>E31/'- 3 -'!D31*100</f>
        <v>2.2105503364324588</v>
      </c>
      <c r="G31" s="331">
        <f>IF('- 7 -'!B31=0,"",E31/'- 7 -'!B31)</f>
        <v>6559.3981481481478</v>
      </c>
    </row>
    <row r="32" spans="1:7" ht="14.1" customHeight="1">
      <c r="A32" s="26" t="s">
        <v>258</v>
      </c>
      <c r="B32" s="27">
        <v>1800642</v>
      </c>
      <c r="C32" s="79">
        <f>B32/'- 3 -'!D32*100</f>
        <v>7.6078632188293387</v>
      </c>
      <c r="D32" s="27">
        <f>B32/'- 7 -'!C32</f>
        <v>873.03854545454544</v>
      </c>
      <c r="E32" s="27">
        <v>307294</v>
      </c>
      <c r="F32" s="79">
        <f>E32/'- 3 -'!D32*100</f>
        <v>1.2983428799100227</v>
      </c>
      <c r="G32" s="27">
        <f>IF('- 7 -'!B32=0,"",E32/'- 7 -'!B32)</f>
        <v>6482.9957805907179</v>
      </c>
    </row>
    <row r="33" spans="1:7" ht="14.1" customHeight="1">
      <c r="A33" s="330" t="s">
        <v>259</v>
      </c>
      <c r="B33" s="331">
        <v>2069246</v>
      </c>
      <c r="C33" s="337">
        <f>B33/'- 3 -'!D33*100</f>
        <v>8.4491147736012593</v>
      </c>
      <c r="D33" s="331">
        <f>B33/'- 7 -'!C33</f>
        <v>1015.5808588957055</v>
      </c>
      <c r="E33" s="331">
        <v>297129</v>
      </c>
      <c r="F33" s="337">
        <f>E33/'- 3 -'!D33*100</f>
        <v>1.213232754136226</v>
      </c>
      <c r="G33" s="331">
        <f>IF('- 7 -'!B33=0,"",E33/'- 7 -'!B33)</f>
        <v>4363.1277533039647</v>
      </c>
    </row>
    <row r="34" spans="1:7" ht="14.1" customHeight="1">
      <c r="A34" s="26" t="s">
        <v>260</v>
      </c>
      <c r="B34" s="27">
        <v>1963584</v>
      </c>
      <c r="C34" s="79">
        <f>B34/'- 3 -'!D34*100</f>
        <v>8.6773837678041161</v>
      </c>
      <c r="D34" s="27">
        <f>B34/'- 7 -'!C34</f>
        <v>985.09205839562537</v>
      </c>
      <c r="E34" s="27">
        <v>291612</v>
      </c>
      <c r="F34" s="79">
        <f>E34/'- 3 -'!D34*100</f>
        <v>1.2886788827454765</v>
      </c>
      <c r="G34" s="27">
        <f>IF('- 7 -'!B34=0,"",E34/'- 7 -'!B34)</f>
        <v>16022.637362637362</v>
      </c>
    </row>
    <row r="35" spans="1:7" ht="14.1" customHeight="1">
      <c r="A35" s="330" t="s">
        <v>261</v>
      </c>
      <c r="B35" s="331">
        <v>11659926</v>
      </c>
      <c r="C35" s="337">
        <f>B35/'- 3 -'!D35*100</f>
        <v>7.247191659670067</v>
      </c>
      <c r="D35" s="331">
        <f>B35/'- 7 -'!C35</f>
        <v>739.58491643144839</v>
      </c>
      <c r="E35" s="331">
        <v>3688164</v>
      </c>
      <c r="F35" s="337">
        <f>E35/'- 3 -'!D35*100</f>
        <v>2.2923671539849733</v>
      </c>
      <c r="G35" s="331">
        <f>IF('- 7 -'!B35=0,"",E35/'- 7 -'!B35)</f>
        <v>7405.9518072289156</v>
      </c>
    </row>
    <row r="36" spans="1:7" ht="14.1" customHeight="1">
      <c r="A36" s="26" t="s">
        <v>262</v>
      </c>
      <c r="B36" s="27">
        <v>1491637</v>
      </c>
      <c r="C36" s="79">
        <f>B36/'- 3 -'!D36*100</f>
        <v>7.324264126368214</v>
      </c>
      <c r="D36" s="27">
        <f>B36/'- 7 -'!C36</f>
        <v>893.73097663271415</v>
      </c>
      <c r="E36" s="27">
        <v>113613</v>
      </c>
      <c r="F36" s="79">
        <f>E36/'- 3 -'!D36*100</f>
        <v>0.55786469508940306</v>
      </c>
      <c r="G36" s="27">
        <f>IF('- 7 -'!B36=0,"",E36/'- 7 -'!B36)</f>
        <v>12086.489361702128</v>
      </c>
    </row>
    <row r="37" spans="1:7" ht="14.1" customHeight="1">
      <c r="A37" s="330" t="s">
        <v>263</v>
      </c>
      <c r="B37" s="331">
        <v>3334279</v>
      </c>
      <c r="C37" s="337">
        <f>B37/'- 3 -'!D37*100</f>
        <v>8.8899553217141332</v>
      </c>
      <c r="D37" s="331">
        <f>B37/'- 7 -'!C37</f>
        <v>906.67002039428962</v>
      </c>
      <c r="E37" s="331">
        <v>0</v>
      </c>
      <c r="F37" s="337">
        <f>E37/'- 3 -'!D37*100</f>
        <v>0</v>
      </c>
      <c r="G37" s="331" t="str">
        <f>IF('- 7 -'!B37=0,"",E37/'- 7 -'!B37)</f>
        <v/>
      </c>
    </row>
    <row r="38" spans="1:7" ht="14.1" customHeight="1">
      <c r="A38" s="26" t="s">
        <v>264</v>
      </c>
      <c r="B38" s="27">
        <v>8121571</v>
      </c>
      <c r="C38" s="79">
        <f>B38/'- 3 -'!D38*100</f>
        <v>7.9103276769684765</v>
      </c>
      <c r="D38" s="27">
        <f>B38/'- 7 -'!C38</f>
        <v>799.556095928172</v>
      </c>
      <c r="E38" s="27">
        <v>555503</v>
      </c>
      <c r="F38" s="79">
        <f>E38/'- 3 -'!D38*100</f>
        <v>0.54105428069754236</v>
      </c>
      <c r="G38" s="27">
        <f>IF('- 7 -'!B38=0,"",E38/'- 7 -'!B38)</f>
        <v>4253.468606431853</v>
      </c>
    </row>
    <row r="39" spans="1:7" ht="14.1" customHeight="1">
      <c r="A39" s="330" t="s">
        <v>265</v>
      </c>
      <c r="B39" s="331">
        <v>1198515</v>
      </c>
      <c r="C39" s="337">
        <f>B39/'- 3 -'!D39*100</f>
        <v>6.3081317195104472</v>
      </c>
      <c r="D39" s="331">
        <f>B39/'- 7 -'!C39</f>
        <v>754.20993014914109</v>
      </c>
      <c r="E39" s="331">
        <v>92655</v>
      </c>
      <c r="F39" s="337">
        <f>E39/'- 3 -'!D39*100</f>
        <v>0.48767011215649403</v>
      </c>
      <c r="G39" s="331">
        <f>IF('- 7 -'!B39=0,"",E39/'- 7 -'!B39)</f>
        <v>2154.7674418604652</v>
      </c>
    </row>
    <row r="40" spans="1:7" ht="14.1" customHeight="1">
      <c r="A40" s="26" t="s">
        <v>266</v>
      </c>
      <c r="B40" s="27">
        <v>7333184</v>
      </c>
      <c r="C40" s="79">
        <f>B40/'- 3 -'!D40*100</f>
        <v>8.0718798217622201</v>
      </c>
      <c r="D40" s="27">
        <f>B40/'- 7 -'!C40</f>
        <v>894.39980485425053</v>
      </c>
      <c r="E40" s="27">
        <v>1804852</v>
      </c>
      <c r="F40" s="79">
        <f>E40/'- 3 -'!D40*100</f>
        <v>1.9866606974633647</v>
      </c>
      <c r="G40" s="27">
        <f>IF('- 7 -'!B40=0,"",E40/'- 7 -'!B40)</f>
        <v>4711.1772383189764</v>
      </c>
    </row>
    <row r="41" spans="1:7" ht="14.1" customHeight="1">
      <c r="A41" s="330" t="s">
        <v>267</v>
      </c>
      <c r="B41" s="331">
        <v>3754330</v>
      </c>
      <c r="C41" s="337">
        <f>B41/'- 3 -'!D41*100</f>
        <v>6.7993042282648535</v>
      </c>
      <c r="D41" s="331">
        <f>B41/'- 7 -'!C41</f>
        <v>825.58108851017039</v>
      </c>
      <c r="E41" s="331">
        <v>0</v>
      </c>
      <c r="F41" s="337">
        <f>E41/'- 3 -'!D41*100</f>
        <v>0</v>
      </c>
      <c r="G41" s="331" t="str">
        <f>IF('- 7 -'!B41=0,"",E41/'- 7 -'!B41)</f>
        <v/>
      </c>
    </row>
    <row r="42" spans="1:7" ht="14.1" customHeight="1">
      <c r="A42" s="26" t="s">
        <v>268</v>
      </c>
      <c r="B42" s="27">
        <v>1378175</v>
      </c>
      <c r="C42" s="79">
        <f>B42/'- 3 -'!D42*100</f>
        <v>7.1814276637029923</v>
      </c>
      <c r="D42" s="27">
        <f>B42/'- 7 -'!C42</f>
        <v>941.50498702008474</v>
      </c>
      <c r="E42" s="27">
        <v>882092</v>
      </c>
      <c r="F42" s="79">
        <f>E42/'- 3 -'!D42*100</f>
        <v>4.596426354222868</v>
      </c>
      <c r="G42" s="27">
        <f>IF('- 7 -'!B42=0,"",E42/'- 7 -'!B42)</f>
        <v>6452.7578639356261</v>
      </c>
    </row>
    <row r="43" spans="1:7" ht="14.1" customHeight="1">
      <c r="A43" s="330" t="s">
        <v>269</v>
      </c>
      <c r="B43" s="331">
        <v>649198</v>
      </c>
      <c r="C43" s="337">
        <f>B43/'- 3 -'!D43*100</f>
        <v>5.7400130362003896</v>
      </c>
      <c r="D43" s="331">
        <f>B43/'- 7 -'!C43</f>
        <v>667.3499177631578</v>
      </c>
      <c r="E43" s="331">
        <v>84564</v>
      </c>
      <c r="F43" s="337">
        <f>E43/'- 3 -'!D43*100</f>
        <v>0.74768939890950026</v>
      </c>
      <c r="G43" s="331">
        <f>IF('- 7 -'!B43=0,"",E43/'- 7 -'!B43)</f>
        <v>6711.4285714285716</v>
      </c>
    </row>
    <row r="44" spans="1:7" ht="14.1" customHeight="1">
      <c r="A44" s="26" t="s">
        <v>270</v>
      </c>
      <c r="B44" s="27">
        <v>500833</v>
      </c>
      <c r="C44" s="79">
        <f>B44/'- 3 -'!D44*100</f>
        <v>5.1745163184378455</v>
      </c>
      <c r="D44" s="27">
        <f>B44/'- 7 -'!C44</f>
        <v>699.97624039133473</v>
      </c>
      <c r="E44" s="27">
        <v>0</v>
      </c>
      <c r="F44" s="79">
        <f>E44/'- 3 -'!D44*100</f>
        <v>0</v>
      </c>
      <c r="G44" s="27" t="str">
        <f>IF('- 7 -'!B44=0,"",E44/'- 7 -'!B44)</f>
        <v/>
      </c>
    </row>
    <row r="45" spans="1:7" ht="14.1" customHeight="1">
      <c r="A45" s="330" t="s">
        <v>271</v>
      </c>
      <c r="B45" s="331">
        <v>1106410</v>
      </c>
      <c r="C45" s="337">
        <f>B45/'- 3 -'!D45*100</f>
        <v>7.1281565113581413</v>
      </c>
      <c r="D45" s="331">
        <f>B45/'- 7 -'!C45</f>
        <v>667.71876885938445</v>
      </c>
      <c r="E45" s="331">
        <v>326663</v>
      </c>
      <c r="F45" s="337">
        <f>E45/'- 3 -'!D45*100</f>
        <v>2.1045588800442738</v>
      </c>
      <c r="G45" s="331">
        <f>IF('- 7 -'!B45=0,"",E45/'- 7 -'!B45)</f>
        <v>6950.2765957446809</v>
      </c>
    </row>
    <row r="46" spans="1:7" ht="14.1" customHeight="1">
      <c r="A46" s="26" t="s">
        <v>272</v>
      </c>
      <c r="B46" s="27">
        <v>26605640</v>
      </c>
      <c r="C46" s="79">
        <f>B46/'- 3 -'!D46*100</f>
        <v>7.9171247756104828</v>
      </c>
      <c r="D46" s="27">
        <f>B46/'- 7 -'!C46</f>
        <v>879.62124793779151</v>
      </c>
      <c r="E46" s="27">
        <v>4889280</v>
      </c>
      <c r="F46" s="79">
        <f>E46/'- 3 -'!D46*100</f>
        <v>1.4549185745164117</v>
      </c>
      <c r="G46" s="27">
        <f>IF('- 7 -'!B46=0,"",E46/'- 7 -'!B46)</f>
        <v>8151.5171723907979</v>
      </c>
    </row>
    <row r="47" spans="1:7" ht="5.0999999999999996" customHeight="1">
      <c r="A47" s="28"/>
      <c r="B47" s="29"/>
      <c r="C47"/>
      <c r="D47" s="29"/>
      <c r="E47" s="29"/>
      <c r="F47"/>
      <c r="G47" s="29"/>
    </row>
    <row r="48" spans="1:7" ht="14.1" customHeight="1">
      <c r="A48" s="332" t="s">
        <v>273</v>
      </c>
      <c r="B48" s="333">
        <f>SUM(B11:B46)</f>
        <v>144667113</v>
      </c>
      <c r="C48" s="340">
        <f>B48/'- 3 -'!D48*100</f>
        <v>7.5030158244484433</v>
      </c>
      <c r="D48" s="333">
        <f>B48/'- 7 -'!C48</f>
        <v>839.86459373243122</v>
      </c>
      <c r="E48" s="333">
        <f>SUM(E11:E46)</f>
        <v>27957345</v>
      </c>
      <c r="F48" s="340">
        <f>E48/'- 3 -'!D48*100</f>
        <v>1.4499798716835151</v>
      </c>
      <c r="G48" s="333">
        <f>E48/'- 7 -'!B48</f>
        <v>6773.0556504422539</v>
      </c>
    </row>
    <row r="49" spans="1:7" ht="5.0999999999999996" customHeight="1">
      <c r="A49" s="28" t="s">
        <v>18</v>
      </c>
      <c r="B49" s="29"/>
      <c r="C49"/>
      <c r="D49" s="29"/>
      <c r="E49" s="29"/>
      <c r="F49"/>
    </row>
    <row r="50" spans="1:7" ht="14.1" customHeight="1">
      <c r="A50" s="26" t="s">
        <v>274</v>
      </c>
      <c r="B50" s="27">
        <v>200245</v>
      </c>
      <c r="C50" s="79">
        <f>B50/'- 3 -'!D50*100</f>
        <v>6.1985089157059123</v>
      </c>
      <c r="D50" s="27">
        <f>B50/'- 7 -'!C50</f>
        <v>1106.3259668508288</v>
      </c>
      <c r="E50" s="27">
        <v>0</v>
      </c>
      <c r="F50" s="79">
        <f>E50/'- 3 -'!D50*100</f>
        <v>0</v>
      </c>
      <c r="G50" s="27" t="str">
        <f>IF('- 7 -'!B50=0,"",E50/'- 7 -'!B50)</f>
        <v/>
      </c>
    </row>
    <row r="51" spans="1:7" ht="14.1" customHeight="1">
      <c r="A51" s="330" t="s">
        <v>275</v>
      </c>
      <c r="B51" s="331">
        <v>451183</v>
      </c>
      <c r="C51" s="337">
        <f>B51/'- 3 -'!D51*100</f>
        <v>2.9338621940575864</v>
      </c>
      <c r="D51" s="331">
        <f>B51/'- 7 -'!C51</f>
        <v>702.23035019455256</v>
      </c>
      <c r="E51" s="331">
        <v>4129204</v>
      </c>
      <c r="F51" s="337">
        <f>E51/'- 3 -'!D51*100</f>
        <v>26.850558436712742</v>
      </c>
      <c r="G51" s="331">
        <f>IF('- 7 -'!B51=0,"",E51/'- 7 -'!B51)</f>
        <v>7156.3327556325821</v>
      </c>
    </row>
    <row r="52" spans="1:7" ht="50.1" customHeight="1">
      <c r="B52" s="96"/>
      <c r="C52" s="96"/>
      <c r="D52" s="96"/>
      <c r="E52" s="96"/>
      <c r="F52" s="96"/>
      <c r="G52" s="96"/>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sheetPr codeName="Sheet14">
    <pageSetUpPr fitToPage="1"/>
  </sheetPr>
  <dimension ref="A1:J53"/>
  <sheetViews>
    <sheetView showGridLines="0" showZeros="0" workbookViewId="0"/>
  </sheetViews>
  <sheetFormatPr defaultColWidth="15.83203125" defaultRowHeight="12"/>
  <cols>
    <col min="1" max="1" width="32.83203125" style="1" customWidth="1"/>
    <col min="2" max="2" width="16.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6"/>
      <c r="C1" s="6"/>
      <c r="D1" s="6"/>
      <c r="E1" s="6"/>
      <c r="F1" s="6"/>
      <c r="G1" s="6"/>
      <c r="H1" s="100"/>
      <c r="I1" s="100"/>
      <c r="J1" s="100"/>
    </row>
    <row r="2" spans="1:10" ht="15.95" customHeight="1">
      <c r="A2" s="152"/>
      <c r="B2" s="101" t="s">
        <v>483</v>
      </c>
      <c r="C2" s="102"/>
      <c r="D2" s="102"/>
      <c r="E2" s="190"/>
      <c r="F2" s="190"/>
      <c r="G2" s="190"/>
      <c r="H2" s="190"/>
      <c r="I2" s="71"/>
      <c r="J2" s="153" t="s">
        <v>457</v>
      </c>
    </row>
    <row r="3" spans="1:10" ht="15.95" customHeight="1">
      <c r="A3" s="154"/>
      <c r="B3" s="83" t="str">
        <f>OPYEAR</f>
        <v>OPERATING FUND 2011/2012 ACTUAL</v>
      </c>
      <c r="C3" s="105"/>
      <c r="D3" s="105"/>
      <c r="E3" s="36"/>
      <c r="F3" s="36"/>
      <c r="G3" s="36"/>
      <c r="H3" s="36"/>
      <c r="I3" s="73"/>
      <c r="J3" s="209"/>
    </row>
    <row r="4" spans="1:10" ht="15.95" customHeight="1">
      <c r="H4" s="100"/>
      <c r="I4" s="100"/>
      <c r="J4" s="100"/>
    </row>
    <row r="5" spans="1:10" ht="15.95" customHeight="1">
      <c r="B5" s="211" t="s">
        <v>24</v>
      </c>
      <c r="C5" s="46"/>
      <c r="D5" s="46"/>
      <c r="E5" s="46"/>
      <c r="F5" s="46"/>
      <c r="G5" s="46"/>
      <c r="H5" s="46"/>
      <c r="I5" s="227"/>
      <c r="J5" s="228"/>
    </row>
    <row r="6" spans="1:10" ht="15.95" customHeight="1">
      <c r="B6" s="380" t="s">
        <v>407</v>
      </c>
      <c r="C6" s="381"/>
      <c r="D6" s="381"/>
      <c r="E6" s="381"/>
      <c r="F6" s="381"/>
      <c r="G6" s="382"/>
      <c r="H6" s="383"/>
      <c r="I6" s="381"/>
      <c r="J6" s="382"/>
    </row>
    <row r="7" spans="1:10" ht="15.95" customHeight="1">
      <c r="B7" s="343" t="s">
        <v>46</v>
      </c>
      <c r="C7" s="335"/>
      <c r="D7" s="336"/>
      <c r="E7" s="343" t="s">
        <v>47</v>
      </c>
      <c r="F7" s="335"/>
      <c r="G7" s="336"/>
      <c r="H7" s="343" t="s">
        <v>48</v>
      </c>
      <c r="I7" s="335"/>
      <c r="J7" s="336"/>
    </row>
    <row r="8" spans="1:10" ht="15.95" customHeight="1">
      <c r="A8" s="75"/>
      <c r="B8" s="229"/>
      <c r="C8" s="214"/>
      <c r="D8" s="200" t="s">
        <v>75</v>
      </c>
      <c r="E8" s="229"/>
      <c r="F8" s="214"/>
      <c r="G8" s="200" t="s">
        <v>75</v>
      </c>
      <c r="H8" s="201"/>
      <c r="I8" s="199"/>
      <c r="J8" s="200" t="s">
        <v>75</v>
      </c>
    </row>
    <row r="9" spans="1:10" ht="15.95" customHeight="1">
      <c r="A9" s="42" t="s">
        <v>95</v>
      </c>
      <c r="B9" s="112" t="s">
        <v>96</v>
      </c>
      <c r="C9" s="112" t="s">
        <v>97</v>
      </c>
      <c r="D9" s="112" t="s">
        <v>98</v>
      </c>
      <c r="E9" s="112" t="s">
        <v>96</v>
      </c>
      <c r="F9" s="112" t="s">
        <v>97</v>
      </c>
      <c r="G9" s="112" t="s">
        <v>98</v>
      </c>
      <c r="H9" s="202" t="s">
        <v>96</v>
      </c>
      <c r="I9" s="112" t="s">
        <v>97</v>
      </c>
      <c r="J9" s="112" t="s">
        <v>98</v>
      </c>
    </row>
    <row r="10" spans="1:10" ht="5.0999999999999996" customHeight="1">
      <c r="A10" s="5"/>
      <c r="B10" s="96"/>
      <c r="C10" s="96"/>
      <c r="D10" s="96"/>
      <c r="E10" s="96"/>
      <c r="F10" s="96"/>
      <c r="G10" s="96"/>
      <c r="H10" s="96"/>
      <c r="I10" s="96"/>
      <c r="J10" s="96"/>
    </row>
    <row r="11" spans="1:10" ht="14.1" customHeight="1">
      <c r="A11" s="330" t="s">
        <v>238</v>
      </c>
      <c r="B11" s="331">
        <v>8121030</v>
      </c>
      <c r="C11" s="337">
        <f>B11/'- 3 -'!D11*100</f>
        <v>53.953216137273586</v>
      </c>
      <c r="D11" s="331">
        <f>B11/'- 6 -'!B11</f>
        <v>5669.1308900523563</v>
      </c>
      <c r="E11" s="331">
        <v>0</v>
      </c>
      <c r="F11" s="337">
        <f>E11/'- 3 -'!D11*100</f>
        <v>0</v>
      </c>
      <c r="G11" s="331" t="str">
        <f>IF('- 6 -'!C11=0,"",E11/'- 6 -'!C11)</f>
        <v/>
      </c>
      <c r="H11" s="331">
        <v>0</v>
      </c>
      <c r="I11" s="337">
        <f>H11/'- 3 -'!D11*100</f>
        <v>0</v>
      </c>
      <c r="J11" s="331" t="str">
        <f>IF('- 6 -'!D11=0,"",H11/'- 6 -'!D11)</f>
        <v/>
      </c>
    </row>
    <row r="12" spans="1:10" ht="14.1" customHeight="1">
      <c r="A12" s="26" t="s">
        <v>239</v>
      </c>
      <c r="B12" s="27">
        <v>12888100</v>
      </c>
      <c r="C12" s="79">
        <f>B12/'- 3 -'!D12*100</f>
        <v>45.068543659498182</v>
      </c>
      <c r="D12" s="27">
        <f>B12/'- 6 -'!B12</f>
        <v>5901.4419224411486</v>
      </c>
      <c r="E12" s="27">
        <v>0</v>
      </c>
      <c r="F12" s="79">
        <f>E12/'- 3 -'!D12*100</f>
        <v>0</v>
      </c>
      <c r="G12" s="27" t="str">
        <f>IF('- 6 -'!C12=0,"",E12/'- 6 -'!C12)</f>
        <v/>
      </c>
      <c r="H12" s="27">
        <v>0</v>
      </c>
      <c r="I12" s="79">
        <f>H12/'- 3 -'!D12*100</f>
        <v>0</v>
      </c>
      <c r="J12" s="27" t="str">
        <f>IF('- 6 -'!D12=0,"",H12/'- 6 -'!D12)</f>
        <v/>
      </c>
    </row>
    <row r="13" spans="1:10" ht="14.1" customHeight="1">
      <c r="A13" s="330" t="s">
        <v>240</v>
      </c>
      <c r="B13" s="331">
        <v>28755465</v>
      </c>
      <c r="C13" s="337">
        <f>B13/'- 3 -'!D13*100</f>
        <v>39.141441365068061</v>
      </c>
      <c r="D13" s="331">
        <f>B13/'- 6 -'!B13</f>
        <v>5223.5177111716621</v>
      </c>
      <c r="E13" s="331">
        <v>0</v>
      </c>
      <c r="F13" s="337">
        <f>E13/'- 3 -'!D13*100</f>
        <v>0</v>
      </c>
      <c r="G13" s="331" t="str">
        <f>IF('- 6 -'!C13=0,"",E13/'- 6 -'!C13)</f>
        <v/>
      </c>
      <c r="H13" s="331">
        <v>1442646</v>
      </c>
      <c r="I13" s="337">
        <f>H13/'- 3 -'!D13*100</f>
        <v>1.9637047712339193</v>
      </c>
      <c r="J13" s="331">
        <f>IF('- 6 -'!D13=0,"",H13/'- 6 -'!D13)</f>
        <v>4550.9337539432181</v>
      </c>
    </row>
    <row r="14" spans="1:10" ht="14.1" customHeight="1">
      <c r="A14" s="26" t="s">
        <v>653</v>
      </c>
      <c r="B14" s="27">
        <v>0</v>
      </c>
      <c r="C14" s="79">
        <f>B14/'- 3 -'!D14*100</f>
        <v>0</v>
      </c>
      <c r="D14" s="27"/>
      <c r="E14" s="27">
        <v>31834943</v>
      </c>
      <c r="F14" s="79">
        <f>E14/'- 3 -'!D14*100</f>
        <v>47.884209081708129</v>
      </c>
      <c r="G14" s="27">
        <f>IF('- 6 -'!C14=0,"",E14/'- 6 -'!C14)</f>
        <v>6428.7041599353797</v>
      </c>
      <c r="H14" s="27">
        <v>0</v>
      </c>
      <c r="I14" s="79">
        <f>H14/'- 3 -'!D14*100</f>
        <v>0</v>
      </c>
      <c r="J14" s="27" t="str">
        <f>IF('- 6 -'!D14=0,"",H14/'- 6 -'!D14)</f>
        <v/>
      </c>
    </row>
    <row r="15" spans="1:10" ht="14.1" customHeight="1">
      <c r="A15" s="330" t="s">
        <v>241</v>
      </c>
      <c r="B15" s="331">
        <v>8307963</v>
      </c>
      <c r="C15" s="337">
        <f>B15/'- 3 -'!D15*100</f>
        <v>45.389059122900058</v>
      </c>
      <c r="D15" s="331">
        <f>B15/'- 6 -'!B15</f>
        <v>5491.052875082617</v>
      </c>
      <c r="E15" s="331">
        <v>0</v>
      </c>
      <c r="F15" s="337">
        <f>E15/'- 3 -'!D15*100</f>
        <v>0</v>
      </c>
      <c r="G15" s="331" t="str">
        <f>IF('- 6 -'!C15=0,"",E15/'- 6 -'!C15)</f>
        <v/>
      </c>
      <c r="H15" s="331">
        <v>0</v>
      </c>
      <c r="I15" s="337">
        <f>H15/'- 3 -'!D15*100</f>
        <v>0</v>
      </c>
      <c r="J15" s="331" t="str">
        <f>IF('- 6 -'!D15=0,"",H15/'- 6 -'!D15)</f>
        <v/>
      </c>
    </row>
    <row r="16" spans="1:10" ht="14.1" customHeight="1">
      <c r="A16" s="26" t="s">
        <v>242</v>
      </c>
      <c r="B16" s="27">
        <v>3761556</v>
      </c>
      <c r="C16" s="79">
        <f>B16/'- 3 -'!D16*100</f>
        <v>29.857419944570722</v>
      </c>
      <c r="D16" s="27">
        <f>B16/'- 6 -'!B16</f>
        <v>6343.2647554806072</v>
      </c>
      <c r="E16" s="27">
        <v>0</v>
      </c>
      <c r="F16" s="79">
        <f>E16/'- 3 -'!D16*100</f>
        <v>0</v>
      </c>
      <c r="G16" s="27" t="str">
        <f>IF('- 6 -'!C16=0,"",E16/'- 6 -'!C16)</f>
        <v/>
      </c>
      <c r="H16" s="27">
        <v>0</v>
      </c>
      <c r="I16" s="79">
        <f>H16/'- 3 -'!D16*100</f>
        <v>0</v>
      </c>
      <c r="J16" s="27" t="str">
        <f>IF('- 6 -'!D16=0,"",H16/'- 6 -'!D16)</f>
        <v/>
      </c>
    </row>
    <row r="17" spans="1:10" ht="14.1" customHeight="1">
      <c r="A17" s="330" t="s">
        <v>243</v>
      </c>
      <c r="B17" s="331">
        <v>7644702</v>
      </c>
      <c r="C17" s="337">
        <f>B17/'- 3 -'!D17*100</f>
        <v>48.020284257244235</v>
      </c>
      <c r="D17" s="331">
        <f>B17/'- 6 -'!B17</f>
        <v>5937.1714818266546</v>
      </c>
      <c r="E17" s="331">
        <v>0</v>
      </c>
      <c r="F17" s="337">
        <f>E17/'- 3 -'!D17*100</f>
        <v>0</v>
      </c>
      <c r="G17" s="331" t="str">
        <f>IF('- 6 -'!C17=0,"",E17/'- 6 -'!C17)</f>
        <v/>
      </c>
      <c r="H17" s="331">
        <v>0</v>
      </c>
      <c r="I17" s="337">
        <f>H17/'- 3 -'!D17*100</f>
        <v>0</v>
      </c>
      <c r="J17" s="331" t="str">
        <f>IF('- 6 -'!D17=0,"",H17/'- 6 -'!D17)</f>
        <v/>
      </c>
    </row>
    <row r="18" spans="1:10" ht="14.1" customHeight="1">
      <c r="A18" s="26" t="s">
        <v>244</v>
      </c>
      <c r="B18" s="27">
        <v>40452327</v>
      </c>
      <c r="C18" s="79">
        <f>B18/'- 3 -'!D18*100</f>
        <v>37.115296959932913</v>
      </c>
      <c r="D18" s="27">
        <f>B18/'- 6 -'!B18</f>
        <v>6998.5514091451705</v>
      </c>
      <c r="E18" s="27">
        <v>0</v>
      </c>
      <c r="F18" s="79">
        <f>E18/'- 3 -'!D18*100</f>
        <v>0</v>
      </c>
      <c r="G18" s="27" t="str">
        <f>IF('- 6 -'!C18=0,"",E18/'- 6 -'!C18)</f>
        <v/>
      </c>
      <c r="H18" s="27">
        <v>0</v>
      </c>
      <c r="I18" s="79">
        <f>H18/'- 3 -'!D18*100</f>
        <v>0</v>
      </c>
      <c r="J18" s="27" t="str">
        <f>IF('- 6 -'!D18=0,"",H18/'- 6 -'!D18)</f>
        <v/>
      </c>
    </row>
    <row r="19" spans="1:10" ht="14.1" customHeight="1">
      <c r="A19" s="330" t="s">
        <v>245</v>
      </c>
      <c r="B19" s="331">
        <v>19349395</v>
      </c>
      <c r="C19" s="337">
        <f>B19/'- 3 -'!D19*100</f>
        <v>52.120479595594929</v>
      </c>
      <c r="D19" s="331">
        <f>B19/'- 6 -'!B19</f>
        <v>4798.7190615544869</v>
      </c>
      <c r="E19" s="331">
        <v>0</v>
      </c>
      <c r="F19" s="337">
        <f>E19/'- 3 -'!D19*100</f>
        <v>0</v>
      </c>
      <c r="G19" s="331" t="str">
        <f>IF('- 6 -'!C19=0,"",E19/'- 6 -'!C19)</f>
        <v/>
      </c>
      <c r="H19" s="331">
        <v>0</v>
      </c>
      <c r="I19" s="337">
        <f>H19/'- 3 -'!D19*100</f>
        <v>0</v>
      </c>
      <c r="J19" s="331" t="str">
        <f>IF('- 6 -'!D19=0,"",H19/'- 6 -'!D19)</f>
        <v/>
      </c>
    </row>
    <row r="20" spans="1:10" ht="14.1" customHeight="1">
      <c r="A20" s="26" t="s">
        <v>246</v>
      </c>
      <c r="B20" s="27">
        <v>31967955</v>
      </c>
      <c r="C20" s="79">
        <f>B20/'- 3 -'!D20*100</f>
        <v>50.868803890348737</v>
      </c>
      <c r="D20" s="27">
        <f>B20/'- 6 -'!B20</f>
        <v>4635.7243329466355</v>
      </c>
      <c r="E20" s="27">
        <v>0</v>
      </c>
      <c r="F20" s="79">
        <f>E20/'- 3 -'!D20*100</f>
        <v>0</v>
      </c>
      <c r="G20" s="27" t="str">
        <f>IF('- 6 -'!C20=0,"",E20/'- 6 -'!C20)</f>
        <v/>
      </c>
      <c r="H20" s="27">
        <v>0</v>
      </c>
      <c r="I20" s="79">
        <f>H20/'- 3 -'!D20*100</f>
        <v>0</v>
      </c>
      <c r="J20" s="27" t="str">
        <f>IF('- 6 -'!D20=0,"",H20/'- 6 -'!D20)</f>
        <v/>
      </c>
    </row>
    <row r="21" spans="1:10" ht="14.1" customHeight="1">
      <c r="A21" s="330" t="s">
        <v>247</v>
      </c>
      <c r="B21" s="331">
        <v>13499719</v>
      </c>
      <c r="C21" s="337">
        <f>B21/'- 3 -'!D21*100</f>
        <v>42.930512402867301</v>
      </c>
      <c r="D21" s="331">
        <f>B21/'- 6 -'!B21</f>
        <v>5337.9671807038358</v>
      </c>
      <c r="E21" s="331">
        <v>0</v>
      </c>
      <c r="F21" s="337">
        <f>E21/'- 3 -'!D21*100</f>
        <v>0</v>
      </c>
      <c r="G21" s="331" t="str">
        <f>IF('- 6 -'!C21=0,"",E21/'- 6 -'!C21)</f>
        <v/>
      </c>
      <c r="H21" s="331">
        <v>0</v>
      </c>
      <c r="I21" s="337">
        <f>H21/'- 3 -'!D21*100</f>
        <v>0</v>
      </c>
      <c r="J21" s="331" t="str">
        <f>IF('- 6 -'!D21=0,"",H21/'- 6 -'!D21)</f>
        <v/>
      </c>
    </row>
    <row r="22" spans="1:10" ht="14.1" customHeight="1">
      <c r="A22" s="26" t="s">
        <v>248</v>
      </c>
      <c r="B22" s="27">
        <v>4217012</v>
      </c>
      <c r="C22" s="79">
        <f>B22/'- 3 -'!D22*100</f>
        <v>23.149244572088502</v>
      </c>
      <c r="D22" s="27">
        <f>B22/'- 6 -'!B22</f>
        <v>4731.8357271095147</v>
      </c>
      <c r="E22" s="27">
        <v>0</v>
      </c>
      <c r="F22" s="79">
        <f>E22/'- 3 -'!D22*100</f>
        <v>0</v>
      </c>
      <c r="G22" s="27" t="str">
        <f>IF('- 6 -'!C22=0,"",E22/'- 6 -'!C22)</f>
        <v/>
      </c>
      <c r="H22" s="27">
        <v>0</v>
      </c>
      <c r="I22" s="79">
        <f>H22/'- 3 -'!D22*100</f>
        <v>0</v>
      </c>
      <c r="J22" s="27" t="str">
        <f>IF('- 6 -'!D22=0,"",H22/'- 6 -'!D22)</f>
        <v/>
      </c>
    </row>
    <row r="23" spans="1:10" ht="14.1" customHeight="1">
      <c r="A23" s="330" t="s">
        <v>249</v>
      </c>
      <c r="B23" s="331">
        <v>6669392</v>
      </c>
      <c r="C23" s="337">
        <f>B23/'- 3 -'!D23*100</f>
        <v>43.659005307442079</v>
      </c>
      <c r="D23" s="331">
        <f>B23/'- 6 -'!B23</f>
        <v>5693.0362782757147</v>
      </c>
      <c r="E23" s="331">
        <v>0</v>
      </c>
      <c r="F23" s="337">
        <f>E23/'- 3 -'!D23*100</f>
        <v>0</v>
      </c>
      <c r="G23" s="331" t="str">
        <f>IF('- 6 -'!C23=0,"",E23/'- 6 -'!C23)</f>
        <v/>
      </c>
      <c r="H23" s="331">
        <v>0</v>
      </c>
      <c r="I23" s="337">
        <f>H23/'- 3 -'!D23*100</f>
        <v>0</v>
      </c>
      <c r="J23" s="331" t="str">
        <f>IF('- 6 -'!D23=0,"",H23/'- 6 -'!D23)</f>
        <v/>
      </c>
    </row>
    <row r="24" spans="1:10" ht="14.1" customHeight="1">
      <c r="A24" s="26" t="s">
        <v>250</v>
      </c>
      <c r="B24" s="27">
        <v>18009531</v>
      </c>
      <c r="C24" s="79">
        <f>B24/'- 3 -'!D24*100</f>
        <v>36.719827596225684</v>
      </c>
      <c r="D24" s="27">
        <f>B24/'- 6 -'!B24</f>
        <v>5954.5481897834352</v>
      </c>
      <c r="E24" s="27">
        <v>0</v>
      </c>
      <c r="F24" s="79">
        <f>E24/'- 3 -'!D24*100</f>
        <v>0</v>
      </c>
      <c r="G24" s="27" t="str">
        <f>IF('- 6 -'!C24=0,"",E24/'- 6 -'!C24)</f>
        <v/>
      </c>
      <c r="H24" s="27">
        <v>1227490</v>
      </c>
      <c r="I24" s="79">
        <f>H24/'- 3 -'!D24*100</f>
        <v>2.5027426408878202</v>
      </c>
      <c r="J24" s="27">
        <f>IF('- 6 -'!D24=0,"",H24/'- 6 -'!D24)</f>
        <v>4640.7939508506615</v>
      </c>
    </row>
    <row r="25" spans="1:10" ht="14.1" customHeight="1">
      <c r="A25" s="330" t="s">
        <v>251</v>
      </c>
      <c r="B25" s="331">
        <v>47529585</v>
      </c>
      <c r="C25" s="337">
        <f>B25/'- 3 -'!D25*100</f>
        <v>32.705303226704629</v>
      </c>
      <c r="D25" s="331">
        <f>B25/'- 6 -'!B25</f>
        <v>4840.819371594439</v>
      </c>
      <c r="E25" s="331">
        <v>0</v>
      </c>
      <c r="F25" s="337">
        <f>E25/'- 3 -'!D25*100</f>
        <v>0</v>
      </c>
      <c r="G25" s="331" t="str">
        <f>IF('- 6 -'!C25=0,"",E25/'- 6 -'!C25)</f>
        <v/>
      </c>
      <c r="H25" s="331">
        <v>16461992</v>
      </c>
      <c r="I25" s="337">
        <f>H25/'- 3 -'!D25*100</f>
        <v>11.327564506939956</v>
      </c>
      <c r="J25" s="331">
        <f>IF('- 6 -'!D25=0,"",H25/'- 6 -'!D25)</f>
        <v>4465.4799945748</v>
      </c>
    </row>
    <row r="26" spans="1:10" ht="14.1" customHeight="1">
      <c r="A26" s="26" t="s">
        <v>252</v>
      </c>
      <c r="B26" s="27">
        <v>14496284</v>
      </c>
      <c r="C26" s="79">
        <f>B26/'- 3 -'!D26*100</f>
        <v>40.325458126312178</v>
      </c>
      <c r="D26" s="27">
        <f>B26/'- 6 -'!B26</f>
        <v>6072.505026809652</v>
      </c>
      <c r="E26" s="27">
        <v>0</v>
      </c>
      <c r="F26" s="79">
        <f>E26/'- 3 -'!D26*100</f>
        <v>0</v>
      </c>
      <c r="G26" s="27" t="str">
        <f>IF('- 6 -'!C26=0,"",E26/'- 6 -'!C26)</f>
        <v/>
      </c>
      <c r="H26" s="27">
        <v>742166</v>
      </c>
      <c r="I26" s="79">
        <f>H26/'- 3 -'!D26*100</f>
        <v>2.0645417788291542</v>
      </c>
      <c r="J26" s="27">
        <f>IF('- 6 -'!D26=0,"",H26/'- 6 -'!D26)</f>
        <v>4134.6295264623959</v>
      </c>
    </row>
    <row r="27" spans="1:10" ht="14.1" customHeight="1">
      <c r="A27" s="330" t="s">
        <v>253</v>
      </c>
      <c r="B27" s="331">
        <v>15197250</v>
      </c>
      <c r="C27" s="337">
        <f>B27/'- 3 -'!D27*100</f>
        <v>38.133331727428825</v>
      </c>
      <c r="D27" s="331">
        <f>B27/'- 6 -'!B27</f>
        <v>6661.6622101433386</v>
      </c>
      <c r="E27" s="331">
        <v>0</v>
      </c>
      <c r="F27" s="337">
        <f>E27/'- 3 -'!D27*100</f>
        <v>0</v>
      </c>
      <c r="G27" s="331" t="str">
        <f>IF('- 6 -'!C27=0,"",E27/'- 6 -'!C27)</f>
        <v/>
      </c>
      <c r="H27" s="331">
        <v>0</v>
      </c>
      <c r="I27" s="337">
        <f>H27/'- 3 -'!D27*100</f>
        <v>0</v>
      </c>
      <c r="J27" s="331" t="str">
        <f>IF('- 6 -'!D27=0,"",H27/'- 6 -'!D27)</f>
        <v/>
      </c>
    </row>
    <row r="28" spans="1:10" ht="14.1" customHeight="1">
      <c r="A28" s="26" t="s">
        <v>254</v>
      </c>
      <c r="B28" s="27">
        <v>12502735</v>
      </c>
      <c r="C28" s="79">
        <f>B28/'- 3 -'!D28*100</f>
        <v>50.469463147811979</v>
      </c>
      <c r="D28" s="27">
        <f>B28/'- 6 -'!B28</f>
        <v>6242.0044932601095</v>
      </c>
      <c r="E28" s="27">
        <v>0</v>
      </c>
      <c r="F28" s="79">
        <f>E28/'- 3 -'!D28*100</f>
        <v>0</v>
      </c>
      <c r="G28" s="27" t="str">
        <f>IF('- 6 -'!C28=0,"",E28/'- 6 -'!C28)</f>
        <v/>
      </c>
      <c r="H28" s="27">
        <v>0</v>
      </c>
      <c r="I28" s="79">
        <f>H28/'- 3 -'!D28*100</f>
        <v>0</v>
      </c>
      <c r="J28" s="27" t="str">
        <f>IF('- 6 -'!D28=0,"",H28/'- 6 -'!D28)</f>
        <v/>
      </c>
    </row>
    <row r="29" spans="1:10" ht="14.1" customHeight="1">
      <c r="A29" s="330" t="s">
        <v>255</v>
      </c>
      <c r="B29" s="331">
        <v>40792389</v>
      </c>
      <c r="C29" s="337">
        <f>B29/'- 3 -'!D29*100</f>
        <v>30.241685267228728</v>
      </c>
      <c r="D29" s="331">
        <f>B29/'- 6 -'!B29</f>
        <v>5486.166229574339</v>
      </c>
      <c r="E29" s="331">
        <v>0</v>
      </c>
      <c r="F29" s="337">
        <f>E29/'- 3 -'!D29*100</f>
        <v>0</v>
      </c>
      <c r="G29" s="331" t="str">
        <f>IF('- 6 -'!C29=0,"",E29/'- 6 -'!C29)</f>
        <v/>
      </c>
      <c r="H29" s="331">
        <v>6745763</v>
      </c>
      <c r="I29" s="337">
        <f>H29/'- 3 -'!D29*100</f>
        <v>5.0010123587838082</v>
      </c>
      <c r="J29" s="331">
        <f>IF('- 6 -'!D29=0,"",H29/'- 6 -'!D29)</f>
        <v>5149.4374045801524</v>
      </c>
    </row>
    <row r="30" spans="1:10" ht="14.1" customHeight="1">
      <c r="A30" s="26" t="s">
        <v>256</v>
      </c>
      <c r="B30" s="27">
        <v>6688035</v>
      </c>
      <c r="C30" s="79">
        <f>B30/'- 3 -'!D30*100</f>
        <v>51.907126777060832</v>
      </c>
      <c r="D30" s="27">
        <f>B30/'- 6 -'!B30</f>
        <v>6091.1065573770493</v>
      </c>
      <c r="E30" s="27">
        <v>0</v>
      </c>
      <c r="F30" s="79">
        <f>E30/'- 3 -'!D30*100</f>
        <v>0</v>
      </c>
      <c r="G30" s="27" t="str">
        <f>IF('- 6 -'!C30=0,"",E30/'- 6 -'!C30)</f>
        <v/>
      </c>
      <c r="H30" s="27">
        <v>0</v>
      </c>
      <c r="I30" s="79">
        <f>H30/'- 3 -'!D30*100</f>
        <v>0</v>
      </c>
      <c r="J30" s="27" t="str">
        <f>IF('- 6 -'!D30=0,"",H30/'- 6 -'!D30)</f>
        <v/>
      </c>
    </row>
    <row r="31" spans="1:10" ht="14.1" customHeight="1">
      <c r="A31" s="330" t="s">
        <v>257</v>
      </c>
      <c r="B31" s="331">
        <v>12488214</v>
      </c>
      <c r="C31" s="337">
        <f>B31/'- 3 -'!D31*100</f>
        <v>38.968437510697179</v>
      </c>
      <c r="D31" s="331">
        <f>B31/'- 6 -'!B31</f>
        <v>5217.5533737204933</v>
      </c>
      <c r="E31" s="331">
        <v>0</v>
      </c>
      <c r="F31" s="337">
        <f>E31/'- 3 -'!D31*100</f>
        <v>0</v>
      </c>
      <c r="G31" s="331" t="str">
        <f>IF('- 6 -'!C31=0,"",E31/'- 6 -'!C31)</f>
        <v/>
      </c>
      <c r="H31" s="331">
        <v>0</v>
      </c>
      <c r="I31" s="337">
        <f>H31/'- 3 -'!D31*100</f>
        <v>0</v>
      </c>
      <c r="J31" s="331" t="str">
        <f>IF('- 6 -'!D31=0,"",H31/'- 6 -'!D31)</f>
        <v/>
      </c>
    </row>
    <row r="32" spans="1:10" ht="14.1" customHeight="1">
      <c r="A32" s="26" t="s">
        <v>258</v>
      </c>
      <c r="B32" s="27">
        <v>9904226</v>
      </c>
      <c r="C32" s="79">
        <f>B32/'- 3 -'!D32*100</f>
        <v>41.846184136754125</v>
      </c>
      <c r="D32" s="27">
        <f>B32/'- 6 -'!B32</f>
        <v>5673.498310133471</v>
      </c>
      <c r="E32" s="27">
        <v>0</v>
      </c>
      <c r="F32" s="79">
        <f>E32/'- 3 -'!D32*100</f>
        <v>0</v>
      </c>
      <c r="G32" s="27" t="str">
        <f>IF('- 6 -'!C32=0,"",E32/'- 6 -'!C32)</f>
        <v/>
      </c>
      <c r="H32" s="27">
        <v>446171</v>
      </c>
      <c r="I32" s="79">
        <f>H32/'- 3 -'!D32*100</f>
        <v>1.8851098331641187</v>
      </c>
      <c r="J32" s="27">
        <f>IF('- 6 -'!D32=0,"",H32/'- 6 -'!D32)</f>
        <v>5408.1333333333332</v>
      </c>
    </row>
    <row r="33" spans="1:10" ht="14.1" customHeight="1">
      <c r="A33" s="330" t="s">
        <v>259</v>
      </c>
      <c r="B33" s="331">
        <v>9780998</v>
      </c>
      <c r="C33" s="337">
        <f>B33/'- 3 -'!D33*100</f>
        <v>39.937626895190029</v>
      </c>
      <c r="D33" s="331">
        <f>B33/'- 6 -'!B33</f>
        <v>5890.7480125271013</v>
      </c>
      <c r="E33" s="331">
        <v>0</v>
      </c>
      <c r="F33" s="337">
        <f>E33/'- 3 -'!D33*100</f>
        <v>0</v>
      </c>
      <c r="G33" s="331" t="str">
        <f>IF('- 6 -'!C33=0,"",E33/'- 6 -'!C33)</f>
        <v/>
      </c>
      <c r="H33" s="331">
        <v>0</v>
      </c>
      <c r="I33" s="337">
        <f>H33/'- 3 -'!D33*100</f>
        <v>0</v>
      </c>
      <c r="J33" s="331" t="str">
        <f>IF('- 6 -'!D33=0,"",H33/'- 6 -'!D33)</f>
        <v/>
      </c>
    </row>
    <row r="34" spans="1:10" ht="14.1" customHeight="1">
      <c r="A34" s="26" t="s">
        <v>260</v>
      </c>
      <c r="B34" s="27">
        <v>8742915</v>
      </c>
      <c r="C34" s="79">
        <f>B34/'- 3 -'!D34*100</f>
        <v>38.636304178630063</v>
      </c>
      <c r="D34" s="27">
        <f>B34/'- 6 -'!B34</f>
        <v>5282.4089178901577</v>
      </c>
      <c r="E34" s="27">
        <v>0</v>
      </c>
      <c r="F34" s="79">
        <f>E34/'- 3 -'!D34*100</f>
        <v>0</v>
      </c>
      <c r="G34" s="27" t="str">
        <f>IF('- 6 -'!C34=0,"",E34/'- 6 -'!C34)</f>
        <v/>
      </c>
      <c r="H34" s="27">
        <v>1235194</v>
      </c>
      <c r="I34" s="79">
        <f>H34/'- 3 -'!D34*100</f>
        <v>5.4585148206998211</v>
      </c>
      <c r="J34" s="27">
        <f>IF('- 6 -'!D34=0,"",H34/'- 6 -'!D34)</f>
        <v>6768.186301369863</v>
      </c>
    </row>
    <row r="35" spans="1:10" ht="14.1" customHeight="1">
      <c r="A35" s="330" t="s">
        <v>261</v>
      </c>
      <c r="B35" s="331">
        <v>47363859</v>
      </c>
      <c r="C35" s="337">
        <f>B35/'- 3 -'!D35*100</f>
        <v>29.438862983743558</v>
      </c>
      <c r="D35" s="331">
        <f>B35/'- 6 -'!B35</f>
        <v>5107.7169200905855</v>
      </c>
      <c r="E35" s="331">
        <v>0</v>
      </c>
      <c r="F35" s="337">
        <f>E35/'- 3 -'!D35*100</f>
        <v>0</v>
      </c>
      <c r="G35" s="331" t="str">
        <f>IF('- 6 -'!C35=0,"",E35/'- 6 -'!C35)</f>
        <v/>
      </c>
      <c r="H35" s="331">
        <v>5081896</v>
      </c>
      <c r="I35" s="337">
        <f>H35/'- 3 -'!D35*100</f>
        <v>3.1586370536580319</v>
      </c>
      <c r="J35" s="331">
        <f>IF('- 6 -'!D35=0,"",H35/'- 6 -'!D35)</f>
        <v>4557.7542600896859</v>
      </c>
    </row>
    <row r="36" spans="1:10" ht="14.1" customHeight="1">
      <c r="A36" s="26" t="s">
        <v>262</v>
      </c>
      <c r="B36" s="27">
        <v>10171039</v>
      </c>
      <c r="C36" s="79">
        <f>B36/'- 3 -'!D36*100</f>
        <v>49.942027501055577</v>
      </c>
      <c r="D36" s="27">
        <f>B36/'- 6 -'!B36</f>
        <v>6128.6087008917812</v>
      </c>
      <c r="E36" s="27">
        <v>0</v>
      </c>
      <c r="F36" s="79">
        <f>E36/'- 3 -'!D36*100</f>
        <v>0</v>
      </c>
      <c r="G36" s="27" t="str">
        <f>IF('- 6 -'!C36=0,"",E36/'- 6 -'!C36)</f>
        <v/>
      </c>
      <c r="H36" s="27">
        <v>0</v>
      </c>
      <c r="I36" s="79">
        <f>H36/'- 3 -'!D36*100</f>
        <v>0</v>
      </c>
      <c r="J36" s="27" t="str">
        <f>IF('- 6 -'!D36=0,"",H36/'- 6 -'!D36)</f>
        <v/>
      </c>
    </row>
    <row r="37" spans="1:10" ht="14.1" customHeight="1">
      <c r="A37" s="330" t="s">
        <v>263</v>
      </c>
      <c r="B37" s="331">
        <v>8762696</v>
      </c>
      <c r="C37" s="337">
        <f>B37/'- 3 -'!D37*100</f>
        <v>23.363364594793403</v>
      </c>
      <c r="D37" s="331">
        <f>B37/'- 6 -'!B37</f>
        <v>4777.9149400218103</v>
      </c>
      <c r="E37" s="331">
        <v>0</v>
      </c>
      <c r="F37" s="337">
        <f>E37/'- 3 -'!D37*100</f>
        <v>0</v>
      </c>
      <c r="G37" s="331" t="str">
        <f>IF('- 6 -'!C37=0,"",E37/'- 6 -'!C37)</f>
        <v/>
      </c>
      <c r="H37" s="331">
        <v>3197211</v>
      </c>
      <c r="I37" s="337">
        <f>H37/'- 3 -'!D37*100</f>
        <v>8.5245004824410202</v>
      </c>
      <c r="J37" s="331">
        <f>IF('- 6 -'!D37=0,"",H37/'- 6 -'!D37)</f>
        <v>4822.3393665158374</v>
      </c>
    </row>
    <row r="38" spans="1:10" ht="14.1" customHeight="1">
      <c r="A38" s="26" t="s">
        <v>264</v>
      </c>
      <c r="B38" s="27">
        <v>30278543</v>
      </c>
      <c r="C38" s="79">
        <f>B38/'- 3 -'!D38*100</f>
        <v>29.490993394157378</v>
      </c>
      <c r="D38" s="27">
        <f>B38/'- 6 -'!B38</f>
        <v>5439.4220785053449</v>
      </c>
      <c r="E38" s="27">
        <v>0</v>
      </c>
      <c r="F38" s="79">
        <f>E38/'- 3 -'!D38*100</f>
        <v>0</v>
      </c>
      <c r="G38" s="27" t="str">
        <f>IF('- 6 -'!C38=0,"",E38/'- 6 -'!C38)</f>
        <v/>
      </c>
      <c r="H38" s="27">
        <v>1235592</v>
      </c>
      <c r="I38" s="79">
        <f>H38/'- 3 -'!D38*100</f>
        <v>1.2034540601862413</v>
      </c>
      <c r="J38" s="27">
        <f>IF('- 6 -'!D38=0,"",H38/'- 6 -'!D38)</f>
        <v>4942.3680000000004</v>
      </c>
    </row>
    <row r="39" spans="1:10" ht="14.1" customHeight="1">
      <c r="A39" s="330" t="s">
        <v>265</v>
      </c>
      <c r="B39" s="331">
        <v>9335821</v>
      </c>
      <c r="C39" s="337">
        <f>B39/'- 3 -'!D39*100</f>
        <v>49.137131014440151</v>
      </c>
      <c r="D39" s="331">
        <f>B39/'- 6 -'!B39</f>
        <v>6038.3034732552878</v>
      </c>
      <c r="E39" s="331">
        <v>0</v>
      </c>
      <c r="F39" s="337">
        <f>E39/'- 3 -'!D39*100</f>
        <v>0</v>
      </c>
      <c r="G39" s="331" t="str">
        <f>IF('- 6 -'!C39=0,"",E39/'- 6 -'!C39)</f>
        <v/>
      </c>
      <c r="H39" s="331">
        <v>0</v>
      </c>
      <c r="I39" s="337">
        <f>H39/'- 3 -'!D39*100</f>
        <v>0</v>
      </c>
      <c r="J39" s="331" t="str">
        <f>IF('- 6 -'!D39=0,"",H39/'- 6 -'!D39)</f>
        <v/>
      </c>
    </row>
    <row r="40" spans="1:10" ht="14.1" customHeight="1">
      <c r="A40" s="26" t="s">
        <v>266</v>
      </c>
      <c r="B40" s="27">
        <v>31532997</v>
      </c>
      <c r="C40" s="79">
        <f>B40/'- 3 -'!D40*100</f>
        <v>34.709419837820597</v>
      </c>
      <c r="D40" s="27">
        <f>B40/'- 6 -'!B40</f>
        <v>5587.2914931693749</v>
      </c>
      <c r="E40" s="27">
        <v>0</v>
      </c>
      <c r="F40" s="79">
        <f>E40/'- 3 -'!D40*100</f>
        <v>0</v>
      </c>
      <c r="G40" s="27" t="str">
        <f>IF('- 6 -'!C40=0,"",E40/'- 6 -'!C40)</f>
        <v/>
      </c>
      <c r="H40" s="27">
        <v>3230693</v>
      </c>
      <c r="I40" s="79">
        <f>H40/'- 3 -'!D40*100</f>
        <v>3.5561313662671559</v>
      </c>
      <c r="J40" s="27">
        <f>IF('- 6 -'!D40=0,"",H40/'- 6 -'!D40)</f>
        <v>4811.5168664829844</v>
      </c>
    </row>
    <row r="41" spans="1:10" ht="14.1" customHeight="1">
      <c r="A41" s="330" t="s">
        <v>267</v>
      </c>
      <c r="B41" s="331">
        <v>16648474</v>
      </c>
      <c r="C41" s="337">
        <f>B41/'- 3 -'!D41*100</f>
        <v>30.151329175207685</v>
      </c>
      <c r="D41" s="331">
        <f>B41/'- 6 -'!B41</f>
        <v>5956.5202146690517</v>
      </c>
      <c r="E41" s="331">
        <v>0</v>
      </c>
      <c r="F41" s="337">
        <f>E41/'- 3 -'!D41*100</f>
        <v>0</v>
      </c>
      <c r="G41" s="331" t="str">
        <f>IF('- 6 -'!C41=0,"",E41/'- 6 -'!C41)</f>
        <v/>
      </c>
      <c r="H41" s="331">
        <v>0</v>
      </c>
      <c r="I41" s="337">
        <f>H41/'- 3 -'!D41*100</f>
        <v>0</v>
      </c>
      <c r="J41" s="331" t="str">
        <f>IF('- 6 -'!D41=0,"",H41/'- 6 -'!D41)</f>
        <v/>
      </c>
    </row>
    <row r="42" spans="1:10" ht="14.1" customHeight="1">
      <c r="A42" s="26" t="s">
        <v>268</v>
      </c>
      <c r="B42" s="27">
        <v>7271903</v>
      </c>
      <c r="C42" s="79">
        <f>B42/'- 3 -'!D42*100</f>
        <v>37.892608247838474</v>
      </c>
      <c r="D42" s="27">
        <f>B42/'- 6 -'!B42</f>
        <v>6713.9719324162133</v>
      </c>
      <c r="E42" s="27">
        <v>0</v>
      </c>
      <c r="F42" s="79">
        <f>E42/'- 3 -'!D42*100</f>
        <v>0</v>
      </c>
      <c r="G42" s="27" t="str">
        <f>IF('- 6 -'!C42=0,"",E42/'- 6 -'!C42)</f>
        <v/>
      </c>
      <c r="H42" s="27">
        <v>0</v>
      </c>
      <c r="I42" s="79">
        <f>H42/'- 3 -'!D42*100</f>
        <v>0</v>
      </c>
      <c r="J42" s="27" t="str">
        <f>IF('- 6 -'!D42=0,"",H42/'- 6 -'!D42)</f>
        <v/>
      </c>
    </row>
    <row r="43" spans="1:10" ht="14.1" customHeight="1">
      <c r="A43" s="330" t="s">
        <v>269</v>
      </c>
      <c r="B43" s="331">
        <v>5267865</v>
      </c>
      <c r="C43" s="337">
        <f>B43/'- 3 -'!D43*100</f>
        <v>46.576874501991327</v>
      </c>
      <c r="D43" s="331">
        <f>B43/'- 6 -'!B43</f>
        <v>5486.2164132472399</v>
      </c>
      <c r="E43" s="331">
        <v>0</v>
      </c>
      <c r="F43" s="337">
        <f>E43/'- 3 -'!D43*100</f>
        <v>0</v>
      </c>
      <c r="G43" s="331" t="str">
        <f>IF('- 6 -'!C43=0,"",E43/'- 6 -'!C43)</f>
        <v/>
      </c>
      <c r="H43" s="331">
        <v>0</v>
      </c>
      <c r="I43" s="337">
        <f>H43/'- 3 -'!D43*100</f>
        <v>0</v>
      </c>
      <c r="J43" s="331" t="str">
        <f>IF('- 6 -'!D43=0,"",H43/'- 6 -'!D43)</f>
        <v/>
      </c>
    </row>
    <row r="44" spans="1:10" ht="14.1" customHeight="1">
      <c r="A44" s="26" t="s">
        <v>270</v>
      </c>
      <c r="B44" s="27">
        <v>4494351</v>
      </c>
      <c r="C44" s="79">
        <f>B44/'- 3 -'!D44*100</f>
        <v>46.434824762520535</v>
      </c>
      <c r="D44" s="27">
        <f>B44/'- 6 -'!B44</f>
        <v>6648.4482248520708</v>
      </c>
      <c r="E44" s="27">
        <v>362983</v>
      </c>
      <c r="F44" s="79">
        <f>E44/'- 3 -'!D44*100</f>
        <v>3.7502749555550938</v>
      </c>
      <c r="G44" s="27">
        <f>IF('- 6 -'!C44=0,"",E44/'- 6 -'!C44)</f>
        <v>9189.4430379746827</v>
      </c>
      <c r="H44" s="27">
        <v>0</v>
      </c>
      <c r="I44" s="79">
        <f>H44/'- 3 -'!D44*100</f>
        <v>0</v>
      </c>
      <c r="J44" s="27" t="str">
        <f>IF('- 6 -'!D44=0,"",H44/'- 6 -'!D44)</f>
        <v/>
      </c>
    </row>
    <row r="45" spans="1:10" ht="14.1" customHeight="1">
      <c r="A45" s="330" t="s">
        <v>271</v>
      </c>
      <c r="B45" s="331">
        <v>3762860</v>
      </c>
      <c r="C45" s="337">
        <f>B45/'- 3 -'!D45*100</f>
        <v>24.242599949683296</v>
      </c>
      <c r="D45" s="331">
        <f>B45/'- 6 -'!B45</f>
        <v>4980.6221045665125</v>
      </c>
      <c r="E45" s="331">
        <v>0</v>
      </c>
      <c r="F45" s="337">
        <f>E45/'- 3 -'!D45*100</f>
        <v>0</v>
      </c>
      <c r="G45" s="331" t="str">
        <f>IF('- 6 -'!C45=0,"",E45/'- 6 -'!C45)</f>
        <v/>
      </c>
      <c r="H45" s="331">
        <v>0</v>
      </c>
      <c r="I45" s="337">
        <f>H45/'- 3 -'!D45*100</f>
        <v>0</v>
      </c>
      <c r="J45" s="331" t="str">
        <f>IF('- 6 -'!D45=0,"",H45/'- 6 -'!D45)</f>
        <v/>
      </c>
    </row>
    <row r="46" spans="1:10" ht="14.1" customHeight="1">
      <c r="A46" s="26" t="s">
        <v>272</v>
      </c>
      <c r="B46" s="27">
        <v>114113880</v>
      </c>
      <c r="C46" s="79">
        <f>B46/'- 3 -'!D46*100</f>
        <v>33.957229617067718</v>
      </c>
      <c r="D46" s="27">
        <f>B46/'- 6 -'!B46</f>
        <v>4883.8830064967851</v>
      </c>
      <c r="E46" s="27">
        <v>0</v>
      </c>
      <c r="F46" s="79">
        <f>E46/'- 3 -'!D46*100</f>
        <v>0</v>
      </c>
      <c r="G46" s="27" t="str">
        <f>IF('- 6 -'!C46=0,"",E46/'- 6 -'!C46)</f>
        <v/>
      </c>
      <c r="H46" s="27">
        <v>5027951</v>
      </c>
      <c r="I46" s="79">
        <f>H46/'- 3 -'!D46*100</f>
        <v>1.4961833443080303</v>
      </c>
      <c r="J46" s="27">
        <f>IF('- 6 -'!D46=0,"",H46/'- 6 -'!D46)</f>
        <v>4705.6162845109966</v>
      </c>
    </row>
    <row r="47" spans="1:10" ht="5.0999999999999996" customHeight="1">
      <c r="A47" s="28"/>
      <c r="B47" s="29"/>
      <c r="C47"/>
      <c r="D47" s="29"/>
      <c r="E47" s="29"/>
      <c r="F47"/>
      <c r="G47" s="29"/>
      <c r="H47" s="29"/>
      <c r="I47"/>
      <c r="J47"/>
    </row>
    <row r="48" spans="1:10" ht="14.1" customHeight="1">
      <c r="A48" s="332" t="s">
        <v>273</v>
      </c>
      <c r="B48" s="333">
        <f>SUM(B11:B46)</f>
        <v>670771066</v>
      </c>
      <c r="C48" s="340">
        <f>B48/'- 3 -'!D48*100</f>
        <v>34.788873700549701</v>
      </c>
      <c r="D48" s="333">
        <f>B48/'- 6 -'!B48</f>
        <v>5388.7672936239242</v>
      </c>
      <c r="E48" s="333">
        <f>SUM(E11:E46)</f>
        <v>32197926</v>
      </c>
      <c r="F48" s="340">
        <f>E48/'- 3 -'!D48*100</f>
        <v>1.6699133844775071</v>
      </c>
      <c r="G48" s="333">
        <f>E48/'- 6 -'!C48</f>
        <v>6450.551136932786</v>
      </c>
      <c r="H48" s="333">
        <f>SUM(H11:H46)</f>
        <v>46074765</v>
      </c>
      <c r="I48" s="340">
        <f>H48/'- 3 -'!D48*100</f>
        <v>2.3896218271995466</v>
      </c>
      <c r="J48" s="333">
        <f>H48/'- 6 -'!D48</f>
        <v>4706.0926719405134</v>
      </c>
    </row>
    <row r="49" spans="1:10" ht="5.0999999999999996" customHeight="1">
      <c r="A49" s="28" t="s">
        <v>18</v>
      </c>
      <c r="B49" s="29"/>
      <c r="C49"/>
      <c r="D49" s="29"/>
      <c r="E49" s="29"/>
      <c r="F49"/>
      <c r="I49"/>
      <c r="J49"/>
    </row>
    <row r="50" spans="1:10" ht="14.1" customHeight="1">
      <c r="A50" s="26" t="s">
        <v>274</v>
      </c>
      <c r="B50" s="27">
        <v>1776593</v>
      </c>
      <c r="C50" s="79">
        <f>B50/'- 3 -'!D50*100</f>
        <v>54.993770381686005</v>
      </c>
      <c r="D50" s="27">
        <f>B50/'- 6 -'!B50</f>
        <v>9815.4309392265186</v>
      </c>
      <c r="E50" s="27">
        <v>0</v>
      </c>
      <c r="F50" s="79">
        <f>E50/'- 3 -'!D50*100</f>
        <v>0</v>
      </c>
      <c r="G50" s="27" t="str">
        <f>IF('- 6 -'!C50=0,"",E50/'- 6 -'!C50)</f>
        <v/>
      </c>
      <c r="H50" s="27">
        <v>0</v>
      </c>
      <c r="I50" s="79">
        <f>H50/'- 3 -'!D50*100</f>
        <v>0</v>
      </c>
      <c r="J50" s="27" t="str">
        <f>IF('- 6 -'!D50=0,"",H50/'- 6 -'!D50)</f>
        <v/>
      </c>
    </row>
    <row r="51" spans="1:10" ht="14.1" customHeight="1">
      <c r="A51" s="330" t="s">
        <v>275</v>
      </c>
      <c r="B51" s="331">
        <v>198086</v>
      </c>
      <c r="C51" s="337">
        <f>B51/'- 3 -'!D51*100</f>
        <v>1.2880738560009821</v>
      </c>
      <c r="D51" s="331">
        <f>B51/'- 6 -'!B51</f>
        <v>3024.2137404580153</v>
      </c>
      <c r="E51" s="331">
        <v>0</v>
      </c>
      <c r="F51" s="337">
        <f>E51/'- 3 -'!D51*100</f>
        <v>0</v>
      </c>
      <c r="G51" s="331" t="str">
        <f>IF('- 6 -'!C51=0,"",E51/'- 6 -'!C51)</f>
        <v/>
      </c>
      <c r="H51" s="331">
        <v>0</v>
      </c>
      <c r="I51" s="337">
        <f>H51/'- 3 -'!D51*100</f>
        <v>0</v>
      </c>
      <c r="J51" s="331" t="str">
        <f>IF('- 6 -'!D51=0,"",H51/'- 6 -'!D51)</f>
        <v/>
      </c>
    </row>
    <row r="52" spans="1:10" ht="50.1" customHeight="1">
      <c r="A52" s="30"/>
      <c r="B52" s="30"/>
      <c r="C52" s="30"/>
      <c r="D52" s="30"/>
      <c r="E52" s="30"/>
      <c r="F52" s="30"/>
      <c r="G52" s="30"/>
      <c r="H52" s="126"/>
      <c r="I52" s="126"/>
      <c r="J52" s="126"/>
    </row>
    <row r="53" spans="1:10" ht="15" customHeight="1">
      <c r="A53" s="96" t="s">
        <v>624</v>
      </c>
      <c r="B53" s="96"/>
      <c r="C53" s="96"/>
      <c r="D53" s="96"/>
      <c r="E53" s="96"/>
      <c r="F53" s="96"/>
      <c r="G53" s="96"/>
      <c r="I53" s="96"/>
      <c r="J53" s="9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J53"/>
  <sheetViews>
    <sheetView showGridLines="0" showZeros="0" workbookViewId="0"/>
  </sheetViews>
  <sheetFormatPr defaultColWidth="15.83203125" defaultRowHeight="12"/>
  <cols>
    <col min="1" max="1" width="31.83203125" style="1" customWidth="1"/>
    <col min="2" max="2" width="14.83203125" style="1" customWidth="1"/>
    <col min="3" max="3" width="7.83203125" style="1" customWidth="1"/>
    <col min="4" max="4" width="9.83203125" style="1" customWidth="1"/>
    <col min="5" max="5" width="10.83203125" style="1" customWidth="1"/>
    <col min="6" max="7" width="13.83203125" style="1" customWidth="1"/>
    <col min="8" max="8" width="15.83203125" style="1" customWidth="1"/>
    <col min="9" max="9" width="13.83203125" style="1" customWidth="1"/>
    <col min="10" max="16384" width="15.83203125" style="1"/>
  </cols>
  <sheetData>
    <row r="1" spans="1:9" ht="6.95" customHeight="1">
      <c r="A1" s="6"/>
      <c r="B1" s="100"/>
      <c r="C1" s="100"/>
      <c r="D1" s="100"/>
      <c r="E1" s="100"/>
      <c r="F1" s="100"/>
      <c r="G1" s="100"/>
      <c r="H1" s="100"/>
      <c r="I1" s="100"/>
    </row>
    <row r="2" spans="1:9" ht="15.95" customHeight="1">
      <c r="A2" s="152"/>
      <c r="B2" s="101" t="s">
        <v>483</v>
      </c>
      <c r="C2" s="102"/>
      <c r="D2" s="102"/>
      <c r="E2" s="102"/>
      <c r="F2" s="102"/>
      <c r="G2" s="102"/>
      <c r="H2" s="208"/>
      <c r="I2" s="153" t="s">
        <v>456</v>
      </c>
    </row>
    <row r="3" spans="1:9" ht="15.95" customHeight="1">
      <c r="A3" s="154"/>
      <c r="B3" s="83" t="str">
        <f>OPYEAR</f>
        <v>OPERATING FUND 2011/2012 ACTUAL</v>
      </c>
      <c r="C3" s="105"/>
      <c r="D3" s="105"/>
      <c r="E3" s="105"/>
      <c r="F3" s="105"/>
      <c r="G3" s="105"/>
      <c r="H3" s="209"/>
      <c r="I3" s="210"/>
    </row>
    <row r="4" spans="1:9" ht="15.95" customHeight="1">
      <c r="B4" s="100"/>
      <c r="C4" s="100"/>
      <c r="D4" s="100"/>
      <c r="E4" s="100"/>
      <c r="F4" s="100"/>
      <c r="G4" s="100"/>
      <c r="H4" s="100"/>
      <c r="I4" s="100"/>
    </row>
    <row r="5" spans="1:9" ht="15.95" customHeight="1">
      <c r="B5" s="211" t="s">
        <v>24</v>
      </c>
      <c r="C5" s="212"/>
      <c r="D5" s="212"/>
      <c r="E5" s="212"/>
      <c r="F5" s="212"/>
      <c r="G5" s="212"/>
      <c r="H5" s="212"/>
      <c r="I5" s="213"/>
    </row>
    <row r="6" spans="1:9" ht="15.95" customHeight="1">
      <c r="B6" s="384" t="s">
        <v>408</v>
      </c>
      <c r="C6" s="385"/>
      <c r="D6" s="385"/>
      <c r="E6" s="385"/>
      <c r="F6" s="385"/>
      <c r="G6" s="385"/>
      <c r="H6" s="385"/>
      <c r="I6" s="386"/>
    </row>
    <row r="7" spans="1:9" ht="15.95" customHeight="1">
      <c r="B7" s="201"/>
      <c r="C7" s="214"/>
      <c r="D7" s="214"/>
      <c r="E7" s="215" t="s">
        <v>180</v>
      </c>
      <c r="F7" s="216" t="s">
        <v>181</v>
      </c>
      <c r="G7" s="216"/>
      <c r="H7" s="216"/>
      <c r="I7" s="217"/>
    </row>
    <row r="8" spans="1:9" ht="15.95" customHeight="1">
      <c r="A8" s="75"/>
      <c r="B8" s="218"/>
      <c r="C8" s="218"/>
      <c r="D8" s="200" t="s">
        <v>75</v>
      </c>
      <c r="E8" s="219" t="s">
        <v>182</v>
      </c>
      <c r="F8" s="218"/>
      <c r="G8" s="220"/>
      <c r="H8" s="221" t="s">
        <v>84</v>
      </c>
      <c r="I8" s="218"/>
    </row>
    <row r="9" spans="1:9" ht="15.95" customHeight="1">
      <c r="A9" s="42" t="s">
        <v>95</v>
      </c>
      <c r="B9" s="112" t="s">
        <v>96</v>
      </c>
      <c r="C9" s="112" t="s">
        <v>97</v>
      </c>
      <c r="D9" s="112" t="s">
        <v>98</v>
      </c>
      <c r="E9" s="222" t="s">
        <v>102</v>
      </c>
      <c r="F9" s="112" t="s">
        <v>83</v>
      </c>
      <c r="G9" s="223" t="s">
        <v>47</v>
      </c>
      <c r="H9" s="112" t="s">
        <v>100</v>
      </c>
      <c r="I9" s="112" t="s">
        <v>59</v>
      </c>
    </row>
    <row r="10" spans="1:9" ht="5.0999999999999996" customHeight="1">
      <c r="A10" s="5"/>
      <c r="B10" s="96"/>
      <c r="C10" s="96"/>
      <c r="D10" s="96"/>
      <c r="E10" s="96"/>
      <c r="F10" s="96"/>
      <c r="G10" s="96"/>
      <c r="H10" s="96"/>
      <c r="I10" s="96"/>
    </row>
    <row r="11" spans="1:9" ht="14.1" customHeight="1">
      <c r="A11" s="387" t="s">
        <v>238</v>
      </c>
      <c r="B11" s="331">
        <v>0</v>
      </c>
      <c r="C11" s="337">
        <f>B11/'- 3 -'!D11*100</f>
        <v>0</v>
      </c>
      <c r="D11" s="388" t="str">
        <f>IF(E11=0,"",B11/E11)</f>
        <v/>
      </c>
      <c r="E11" s="389">
        <f>SUM('- 6 -'!E11:H11)</f>
        <v>0</v>
      </c>
      <c r="F11" s="337" t="str">
        <f>IF(E11=0,"",'- 6 -'!E11/E11*100)</f>
        <v/>
      </c>
      <c r="G11" s="337" t="str">
        <f>IF(E11=0,"",'- 6 -'!F11/E11*100)</f>
        <v/>
      </c>
      <c r="H11" s="337" t="str">
        <f>IF(E11=0,"",'- 6 -'!G11/E11*100)</f>
        <v/>
      </c>
      <c r="I11" s="337" t="str">
        <f>IF(E11=0,"",'- 6 -'!H11/E11*100)</f>
        <v/>
      </c>
    </row>
    <row r="12" spans="1:9" ht="14.1" customHeight="1">
      <c r="A12" s="26" t="s">
        <v>239</v>
      </c>
      <c r="B12" s="27">
        <v>0</v>
      </c>
      <c r="C12" s="79">
        <f>B12/'- 3 -'!D12*100</f>
        <v>0</v>
      </c>
      <c r="D12" s="224" t="str">
        <f t="shared" ref="D12:D46" si="0">IF(E12=0,"",B12/E12)</f>
        <v/>
      </c>
      <c r="E12" s="225">
        <f>SUM('- 6 -'!E12:H12)</f>
        <v>0</v>
      </c>
      <c r="F12" s="79" t="str">
        <f>IF(E12=0,"",'- 6 -'!E12/E12*100)</f>
        <v/>
      </c>
      <c r="G12" s="79" t="str">
        <f>IF(E12=0,"",'- 6 -'!F12/E12*100)</f>
        <v/>
      </c>
      <c r="H12" s="79" t="str">
        <f>IF(E12=0,"",'- 6 -'!G12/E12*100)</f>
        <v/>
      </c>
      <c r="I12" s="79" t="str">
        <f>IF(E12=0,"",'- 6 -'!H12/E12*100)</f>
        <v/>
      </c>
    </row>
    <row r="13" spans="1:9" ht="14.1" customHeight="1">
      <c r="A13" s="387" t="s">
        <v>240</v>
      </c>
      <c r="B13" s="331">
        <v>5612259</v>
      </c>
      <c r="C13" s="337">
        <f>B13/'- 3 -'!D13*100</f>
        <v>7.6393098346375368</v>
      </c>
      <c r="D13" s="388">
        <f t="shared" si="0"/>
        <v>4063.9094858797971</v>
      </c>
      <c r="E13" s="389">
        <f>SUM('- 6 -'!E13:H13)</f>
        <v>1381</v>
      </c>
      <c r="F13" s="337">
        <f>IF(E13=0,"",'- 6 -'!E13/E13*100)</f>
        <v>76.828385228095584</v>
      </c>
      <c r="G13" s="337">
        <f>IF(E13=0,"",'- 6 -'!F13/E13*100)</f>
        <v>0</v>
      </c>
      <c r="H13" s="337">
        <f>IF(E13=0,"",'- 6 -'!G13/E13*100)</f>
        <v>23.171614771904416</v>
      </c>
      <c r="I13" s="337">
        <f>IF(E13=0,"",'- 6 -'!H13/E13*100)</f>
        <v>0</v>
      </c>
    </row>
    <row r="14" spans="1:9" ht="14.1" customHeight="1">
      <c r="A14" s="26" t="s">
        <v>653</v>
      </c>
      <c r="B14" s="27">
        <v>0</v>
      </c>
      <c r="C14" s="79">
        <f>B14/'- 3 -'!D14*100</f>
        <v>0</v>
      </c>
      <c r="D14" s="224" t="str">
        <f t="shared" si="0"/>
        <v/>
      </c>
      <c r="E14" s="225">
        <f>SUM('- 6 -'!E14:H14)</f>
        <v>0</v>
      </c>
      <c r="F14" s="79" t="str">
        <f>IF(E14=0,"",'- 6 -'!E14/E14*100)</f>
        <v/>
      </c>
      <c r="G14" s="79" t="str">
        <f>IF(E14=0,"",'- 6 -'!F14/E14*100)</f>
        <v/>
      </c>
      <c r="H14" s="79" t="str">
        <f>IF(E14=0,"",'- 6 -'!G14/E14*100)</f>
        <v/>
      </c>
      <c r="I14" s="79" t="str">
        <f>IF(E14=0,"",'- 6 -'!H14/E14*100)</f>
        <v/>
      </c>
    </row>
    <row r="15" spans="1:9" ht="14.1" customHeight="1">
      <c r="A15" s="387" t="s">
        <v>241</v>
      </c>
      <c r="B15" s="331">
        <v>0</v>
      </c>
      <c r="C15" s="337">
        <f>B15/'- 3 -'!D15*100</f>
        <v>0</v>
      </c>
      <c r="D15" s="388" t="str">
        <f t="shared" si="0"/>
        <v/>
      </c>
      <c r="E15" s="389">
        <f>SUM('- 6 -'!E15:H15)</f>
        <v>0</v>
      </c>
      <c r="F15" s="337" t="str">
        <f>IF(E15=0,"",'- 6 -'!E15/E15*100)</f>
        <v/>
      </c>
      <c r="G15" s="337" t="str">
        <f>IF(E15=0,"",'- 6 -'!F15/E15*100)</f>
        <v/>
      </c>
      <c r="H15" s="337" t="str">
        <f>IF(E15=0,"",'- 6 -'!G15/E15*100)</f>
        <v/>
      </c>
      <c r="I15" s="337" t="str">
        <f>IF(E15=0,"",'- 6 -'!H15/E15*100)</f>
        <v/>
      </c>
    </row>
    <row r="16" spans="1:9" ht="14.1" customHeight="1">
      <c r="A16" s="26" t="s">
        <v>242</v>
      </c>
      <c r="B16" s="27">
        <v>2020210</v>
      </c>
      <c r="C16" s="79">
        <f>B16/'- 3 -'!D16*100</f>
        <v>16.035454037164733</v>
      </c>
      <c r="D16" s="224">
        <f t="shared" si="0"/>
        <v>5240.4928664072631</v>
      </c>
      <c r="E16" s="225">
        <f>SUM('- 6 -'!E16:H16)</f>
        <v>385.5</v>
      </c>
      <c r="F16" s="79">
        <f>IF(E16=0,"",'- 6 -'!E16/E16*100)</f>
        <v>74.189364461738009</v>
      </c>
      <c r="G16" s="79">
        <f>IF(E16=0,"",'- 6 -'!F16/E16*100)</f>
        <v>0</v>
      </c>
      <c r="H16" s="79">
        <f>IF(E16=0,"",'- 6 -'!G16/E16*100)</f>
        <v>25.810635538262002</v>
      </c>
      <c r="I16" s="79">
        <f>IF(E16=0,"",'- 6 -'!H16/E16*100)</f>
        <v>0</v>
      </c>
    </row>
    <row r="17" spans="1:9" ht="14.1" customHeight="1">
      <c r="A17" s="387" t="s">
        <v>243</v>
      </c>
      <c r="B17" s="331">
        <v>0</v>
      </c>
      <c r="C17" s="337">
        <f>B17/'- 3 -'!D17*100</f>
        <v>0</v>
      </c>
      <c r="D17" s="388" t="str">
        <f t="shared" si="0"/>
        <v/>
      </c>
      <c r="E17" s="389">
        <f>SUM('- 6 -'!E17:H17)</f>
        <v>0</v>
      </c>
      <c r="F17" s="337" t="str">
        <f>IF(E17=0,"",'- 6 -'!E17/E17*100)</f>
        <v/>
      </c>
      <c r="G17" s="337" t="str">
        <f>IF(E17=0,"",'- 6 -'!F17/E17*100)</f>
        <v/>
      </c>
      <c r="H17" s="337" t="str">
        <f>IF(E17=0,"",'- 6 -'!G17/E17*100)</f>
        <v/>
      </c>
      <c r="I17" s="337" t="str">
        <f>IF(E17=0,"",'- 6 -'!H17/E17*100)</f>
        <v/>
      </c>
    </row>
    <row r="18" spans="1:9" ht="14.1" customHeight="1">
      <c r="A18" s="26" t="s">
        <v>244</v>
      </c>
      <c r="B18" s="27">
        <v>0</v>
      </c>
      <c r="C18" s="79">
        <f>B18/'- 3 -'!D18*100</f>
        <v>0</v>
      </c>
      <c r="D18" s="224" t="str">
        <f t="shared" si="0"/>
        <v/>
      </c>
      <c r="E18" s="225">
        <f>SUM('- 6 -'!E18:H18)</f>
        <v>0</v>
      </c>
      <c r="F18" s="79" t="str">
        <f>IF(E18=0,"",'- 6 -'!E18/E18*100)</f>
        <v/>
      </c>
      <c r="G18" s="79" t="str">
        <f>IF(E18=0,"",'- 6 -'!F18/E18*100)</f>
        <v/>
      </c>
      <c r="H18" s="79" t="str">
        <f>IF(E18=0,"",'- 6 -'!G18/E18*100)</f>
        <v/>
      </c>
      <c r="I18" s="79" t="str">
        <f>IF(E18=0,"",'- 6 -'!H18/E18*100)</f>
        <v/>
      </c>
    </row>
    <row r="19" spans="1:9" ht="14.1" customHeight="1">
      <c r="A19" s="387" t="s">
        <v>245</v>
      </c>
      <c r="B19" s="331">
        <v>0</v>
      </c>
      <c r="C19" s="337">
        <f>B19/'- 3 -'!D19*100</f>
        <v>0</v>
      </c>
      <c r="D19" s="388" t="str">
        <f t="shared" si="0"/>
        <v/>
      </c>
      <c r="E19" s="389">
        <f>SUM('- 6 -'!E19:H19)</f>
        <v>0</v>
      </c>
      <c r="F19" s="337" t="str">
        <f>IF(E19=0,"",'- 6 -'!E19/E19*100)</f>
        <v/>
      </c>
      <c r="G19" s="337" t="str">
        <f>IF(E19=0,"",'- 6 -'!F19/E19*100)</f>
        <v/>
      </c>
      <c r="H19" s="337" t="str">
        <f>IF(E19=0,"",'- 6 -'!G19/E19*100)</f>
        <v/>
      </c>
      <c r="I19" s="337" t="str">
        <f>IF(E19=0,"",'- 6 -'!H19/E19*100)</f>
        <v/>
      </c>
    </row>
    <row r="20" spans="1:9" ht="14.1" customHeight="1">
      <c r="A20" s="26" t="s">
        <v>246</v>
      </c>
      <c r="B20" s="27">
        <v>0</v>
      </c>
      <c r="C20" s="79">
        <f>B20/'- 3 -'!D20*100</f>
        <v>0</v>
      </c>
      <c r="D20" s="224" t="str">
        <f t="shared" si="0"/>
        <v/>
      </c>
      <c r="E20" s="225">
        <f>SUM('- 6 -'!E20:H20)</f>
        <v>0</v>
      </c>
      <c r="F20" s="79" t="str">
        <f>IF(E20=0,"",'- 6 -'!E20/E20*100)</f>
        <v/>
      </c>
      <c r="G20" s="79" t="str">
        <f>IF(E20=0,"",'- 6 -'!F20/E20*100)</f>
        <v/>
      </c>
      <c r="H20" s="79" t="str">
        <f>IF(E20=0,"",'- 6 -'!G20/E20*100)</f>
        <v/>
      </c>
      <c r="I20" s="79" t="str">
        <f>IF(E20=0,"",'- 6 -'!H20/E20*100)</f>
        <v/>
      </c>
    </row>
    <row r="21" spans="1:9" ht="14.1" customHeight="1">
      <c r="A21" s="387" t="s">
        <v>247</v>
      </c>
      <c r="B21" s="331">
        <v>1286774</v>
      </c>
      <c r="C21" s="337">
        <f>B21/'- 3 -'!D21*100</f>
        <v>4.0920753362856788</v>
      </c>
      <c r="D21" s="388">
        <f t="shared" si="0"/>
        <v>4098.0063694267519</v>
      </c>
      <c r="E21" s="389">
        <f>SUM('- 6 -'!E21:H21)</f>
        <v>314</v>
      </c>
      <c r="F21" s="337">
        <f>IF(E21=0,"",'- 6 -'!E21/E21*100)</f>
        <v>75</v>
      </c>
      <c r="G21" s="337">
        <f>IF(E21=0,"",'- 6 -'!F21/E21*100)</f>
        <v>0</v>
      </c>
      <c r="H21" s="337">
        <f>IF(E21=0,"",'- 6 -'!G21/E21*100)</f>
        <v>25</v>
      </c>
      <c r="I21" s="337">
        <f>IF(E21=0,"",'- 6 -'!H21/E21*100)</f>
        <v>0</v>
      </c>
    </row>
    <row r="22" spans="1:9" ht="14.1" customHeight="1">
      <c r="A22" s="26" t="s">
        <v>248</v>
      </c>
      <c r="B22" s="27">
        <v>3625788</v>
      </c>
      <c r="C22" s="79">
        <f>B22/'- 3 -'!D22*100</f>
        <v>19.903726424905507</v>
      </c>
      <c r="D22" s="224">
        <f t="shared" si="0"/>
        <v>5379.5074183976258</v>
      </c>
      <c r="E22" s="225">
        <f>SUM('- 6 -'!E22:H22)</f>
        <v>674</v>
      </c>
      <c r="F22" s="79">
        <f>IF(E22=0,"",'- 6 -'!E22/E22*100)</f>
        <v>76.186943620178042</v>
      </c>
      <c r="G22" s="79">
        <f>IF(E22=0,"",'- 6 -'!F22/E22*100)</f>
        <v>0</v>
      </c>
      <c r="H22" s="79">
        <f>IF(E22=0,"",'- 6 -'!G22/E22*100)</f>
        <v>23.813056379821958</v>
      </c>
      <c r="I22" s="79">
        <f>IF(E22=0,"",'- 6 -'!H22/E22*100)</f>
        <v>0</v>
      </c>
    </row>
    <row r="23" spans="1:9" ht="14.1" customHeight="1">
      <c r="A23" s="387" t="s">
        <v>249</v>
      </c>
      <c r="B23" s="331">
        <v>0</v>
      </c>
      <c r="C23" s="337">
        <f>B23/'- 3 -'!D23*100</f>
        <v>0</v>
      </c>
      <c r="D23" s="388" t="str">
        <f t="shared" si="0"/>
        <v/>
      </c>
      <c r="E23" s="389">
        <f>SUM('- 6 -'!E23:H23)</f>
        <v>0</v>
      </c>
      <c r="F23" s="337" t="str">
        <f>IF(E23=0,"",'- 6 -'!E23/E23*100)</f>
        <v/>
      </c>
      <c r="G23" s="337" t="str">
        <f>IF(E23=0,"",'- 6 -'!F23/E23*100)</f>
        <v/>
      </c>
      <c r="H23" s="337" t="str">
        <f>IF(E23=0,"",'- 6 -'!G23/E23*100)</f>
        <v/>
      </c>
      <c r="I23" s="337" t="str">
        <f>IF(E23=0,"",'- 6 -'!H23/E23*100)</f>
        <v/>
      </c>
    </row>
    <row r="24" spans="1:9" ht="14.1" customHeight="1">
      <c r="A24" s="26" t="s">
        <v>250</v>
      </c>
      <c r="B24" s="27">
        <v>3823580</v>
      </c>
      <c r="C24" s="79">
        <f>B24/'- 3 -'!D24*100</f>
        <v>7.7959386282950165</v>
      </c>
      <c r="D24" s="224">
        <f t="shared" si="0"/>
        <v>5585.9459459459458</v>
      </c>
      <c r="E24" s="225">
        <f>SUM('- 6 -'!E24:H24)</f>
        <v>684.5</v>
      </c>
      <c r="F24" s="79">
        <f>IF(E24=0,"",'- 6 -'!E24/E24*100)</f>
        <v>77.647918188458732</v>
      </c>
      <c r="G24" s="79">
        <f>IF(E24=0,"",'- 6 -'!F24/E24*100)</f>
        <v>0</v>
      </c>
      <c r="H24" s="79">
        <f>IF(E24=0,"",'- 6 -'!G24/E24*100)</f>
        <v>12.7100073046019</v>
      </c>
      <c r="I24" s="79">
        <f>IF(E24=0,"",'- 6 -'!H24/E24*100)</f>
        <v>9.6420745069393714</v>
      </c>
    </row>
    <row r="25" spans="1:9" ht="14.1" customHeight="1">
      <c r="A25" s="387" t="s">
        <v>251</v>
      </c>
      <c r="B25" s="331">
        <v>837782</v>
      </c>
      <c r="C25" s="337">
        <f>B25/'- 3 -'!D25*100</f>
        <v>0.57648124526807998</v>
      </c>
      <c r="D25" s="388">
        <f t="shared" si="0"/>
        <v>5336.1910828025475</v>
      </c>
      <c r="E25" s="389">
        <f>SUM('- 6 -'!E25:H25)</f>
        <v>157</v>
      </c>
      <c r="F25" s="337">
        <f>IF(E25=0,"",'- 6 -'!E25/E25*100)</f>
        <v>0</v>
      </c>
      <c r="G25" s="337">
        <f>IF(E25=0,"",'- 6 -'!F25/E25*100)</f>
        <v>22.29299363057325</v>
      </c>
      <c r="H25" s="337">
        <f>IF(E25=0,"",'- 6 -'!G25/E25*100)</f>
        <v>77.70700636942675</v>
      </c>
      <c r="I25" s="337">
        <f>IF(E25=0,"",'- 6 -'!H25/E25*100)</f>
        <v>0</v>
      </c>
    </row>
    <row r="26" spans="1:9" ht="14.1" customHeight="1">
      <c r="A26" s="26" t="s">
        <v>252</v>
      </c>
      <c r="B26" s="27">
        <v>1640535</v>
      </c>
      <c r="C26" s="79">
        <f>B26/'- 3 -'!D26*100</f>
        <v>4.5636057797466965</v>
      </c>
      <c r="D26" s="224">
        <f t="shared" si="0"/>
        <v>4563.3796940194716</v>
      </c>
      <c r="E26" s="225">
        <f>SUM('- 6 -'!E26:H26)</f>
        <v>359.5</v>
      </c>
      <c r="F26" s="79">
        <f>IF(E26=0,"",'- 6 -'!E26/E26*100)</f>
        <v>69.54102920723227</v>
      </c>
      <c r="G26" s="79">
        <f>IF(E26=0,"",'- 6 -'!F26/E26*100)</f>
        <v>0</v>
      </c>
      <c r="H26" s="79">
        <f>IF(E26=0,"",'- 6 -'!G26/E26*100)</f>
        <v>9.7357440890125169</v>
      </c>
      <c r="I26" s="79">
        <f>IF(E26=0,"",'- 6 -'!H26/E26*100)</f>
        <v>20.723226703755216</v>
      </c>
    </row>
    <row r="27" spans="1:9" ht="14.1" customHeight="1">
      <c r="A27" s="387" t="s">
        <v>253</v>
      </c>
      <c r="B27" s="331">
        <v>1820141</v>
      </c>
      <c r="C27" s="337">
        <f>B27/'- 3 -'!D27*100</f>
        <v>4.5671447494575679</v>
      </c>
      <c r="D27" s="388">
        <f t="shared" si="0"/>
        <v>5967.6754098360652</v>
      </c>
      <c r="E27" s="389">
        <f>SUM('- 6 -'!E27:H27)</f>
        <v>305</v>
      </c>
      <c r="F27" s="337">
        <f>IF(E27=0,"",'- 6 -'!E27/E27*100)</f>
        <v>29.344262295081968</v>
      </c>
      <c r="G27" s="337">
        <f>IF(E27=0,"",'- 6 -'!F27/E27*100)</f>
        <v>0</v>
      </c>
      <c r="H27" s="337">
        <f>IF(E27=0,"",'- 6 -'!G27/E27*100)</f>
        <v>70.655737704918025</v>
      </c>
      <c r="I27" s="337">
        <f>IF(E27=0,"",'- 6 -'!H27/E27*100)</f>
        <v>0</v>
      </c>
    </row>
    <row r="28" spans="1:9" ht="14.1" customHeight="1">
      <c r="A28" s="26" t="s">
        <v>254</v>
      </c>
      <c r="B28" s="27">
        <v>0</v>
      </c>
      <c r="C28" s="79">
        <f>B28/'- 3 -'!D28*100</f>
        <v>0</v>
      </c>
      <c r="D28" s="224" t="str">
        <f t="shared" si="0"/>
        <v/>
      </c>
      <c r="E28" s="225">
        <f>SUM('- 6 -'!E28:H28)</f>
        <v>0</v>
      </c>
      <c r="F28" s="79" t="str">
        <f>IF(E28=0,"",'- 6 -'!E28/E28*100)</f>
        <v/>
      </c>
      <c r="G28" s="79" t="str">
        <f>IF(E28=0,"",'- 6 -'!F28/E28*100)</f>
        <v/>
      </c>
      <c r="H28" s="79" t="str">
        <f>IF(E28=0,"",'- 6 -'!G28/E28*100)</f>
        <v/>
      </c>
      <c r="I28" s="79" t="str">
        <f>IF(E28=0,"",'- 6 -'!H28/E28*100)</f>
        <v/>
      </c>
    </row>
    <row r="29" spans="1:9" ht="14.1" customHeight="1">
      <c r="A29" s="387" t="s">
        <v>255</v>
      </c>
      <c r="B29" s="331">
        <v>17094650</v>
      </c>
      <c r="C29" s="337">
        <f>B29/'- 3 -'!D29*100</f>
        <v>12.673222572314447</v>
      </c>
      <c r="D29" s="388">
        <f t="shared" si="0"/>
        <v>4970.9645526185695</v>
      </c>
      <c r="E29" s="389">
        <f>SUM('- 6 -'!E29:H29)</f>
        <v>3438.9</v>
      </c>
      <c r="F29" s="337">
        <f>IF(E29=0,"",'- 6 -'!E29/E29*100)</f>
        <v>70.601064293814886</v>
      </c>
      <c r="G29" s="337">
        <f>IF(E29=0,"",'- 6 -'!F29/E29*100)</f>
        <v>0</v>
      </c>
      <c r="H29" s="337">
        <f>IF(E29=0,"",'- 6 -'!G29/E29*100)</f>
        <v>29.398935706185114</v>
      </c>
      <c r="I29" s="337">
        <f>IF(E29=0,"",'- 6 -'!H29/E29*100)</f>
        <v>0</v>
      </c>
    </row>
    <row r="30" spans="1:9" ht="14.1" customHeight="1">
      <c r="A30" s="26" t="s">
        <v>256</v>
      </c>
      <c r="B30" s="27">
        <v>0</v>
      </c>
      <c r="C30" s="79">
        <f>B30/'- 3 -'!D30*100</f>
        <v>0</v>
      </c>
      <c r="D30" s="224" t="str">
        <f t="shared" si="0"/>
        <v/>
      </c>
      <c r="E30" s="225">
        <f>SUM('- 6 -'!E30:H30)</f>
        <v>0</v>
      </c>
      <c r="F30" s="79" t="str">
        <f>IF(E30=0,"",'- 6 -'!E30/E30*100)</f>
        <v/>
      </c>
      <c r="G30" s="79" t="str">
        <f>IF(E30=0,"",'- 6 -'!F30/E30*100)</f>
        <v/>
      </c>
      <c r="H30" s="79" t="str">
        <f>IF(E30=0,"",'- 6 -'!G30/E30*100)</f>
        <v/>
      </c>
      <c r="I30" s="79" t="str">
        <f>IF(E30=0,"",'- 6 -'!H30/E30*100)</f>
        <v/>
      </c>
    </row>
    <row r="31" spans="1:9" ht="14.1" customHeight="1">
      <c r="A31" s="387" t="s">
        <v>257</v>
      </c>
      <c r="B31" s="331">
        <v>2821907</v>
      </c>
      <c r="C31" s="337">
        <f>B31/'- 3 -'!D31*100</f>
        <v>8.8055270826155727</v>
      </c>
      <c r="D31" s="388">
        <f t="shared" si="0"/>
        <v>4048.6470588235293</v>
      </c>
      <c r="E31" s="389">
        <f>SUM('- 6 -'!E31:H31)</f>
        <v>697</v>
      </c>
      <c r="F31" s="337">
        <f>IF(E31=0,"",'- 6 -'!E31/E31*100)</f>
        <v>68.794835007173603</v>
      </c>
      <c r="G31" s="337">
        <f>IF(E31=0,"",'- 6 -'!F31/E31*100)</f>
        <v>0</v>
      </c>
      <c r="H31" s="337">
        <f>IF(E31=0,"",'- 6 -'!G31/E31*100)</f>
        <v>31.205164992826401</v>
      </c>
      <c r="I31" s="337">
        <f>IF(E31=0,"",'- 6 -'!H31/E31*100)</f>
        <v>0</v>
      </c>
    </row>
    <row r="32" spans="1:9" ht="14.1" customHeight="1">
      <c r="A32" s="26" t="s">
        <v>258</v>
      </c>
      <c r="B32" s="27">
        <v>1078389</v>
      </c>
      <c r="C32" s="79">
        <f>B32/'- 3 -'!D32*100</f>
        <v>4.5562838191545865</v>
      </c>
      <c r="D32" s="224">
        <f t="shared" si="0"/>
        <v>5769.8715890850717</v>
      </c>
      <c r="E32" s="225">
        <f>SUM('- 6 -'!E32:H32)</f>
        <v>186.9</v>
      </c>
      <c r="F32" s="79">
        <f>IF(E32=0,"",'- 6 -'!E32/E32*100)</f>
        <v>81.326912787586949</v>
      </c>
      <c r="G32" s="79">
        <f>IF(E32=0,"",'- 6 -'!F32/E32*100)</f>
        <v>0</v>
      </c>
      <c r="H32" s="79">
        <f>IF(E32=0,"",'- 6 -'!G32/E32*100)</f>
        <v>18.673087212413051</v>
      </c>
      <c r="I32" s="79">
        <f>IF(E32=0,"",'- 6 -'!H32/E32*100)</f>
        <v>0</v>
      </c>
    </row>
    <row r="33" spans="1:10" ht="14.1" customHeight="1">
      <c r="A33" s="387" t="s">
        <v>259</v>
      </c>
      <c r="B33" s="331">
        <v>1690960</v>
      </c>
      <c r="C33" s="337">
        <f>B33/'- 3 -'!D33*100</f>
        <v>6.9045029530412458</v>
      </c>
      <c r="D33" s="388">
        <f t="shared" si="0"/>
        <v>5472.3624595469255</v>
      </c>
      <c r="E33" s="389">
        <f>SUM('- 6 -'!E33:H33)</f>
        <v>309</v>
      </c>
      <c r="F33" s="337">
        <f>IF(E33=0,"",'- 6 -'!E33/E33*100)</f>
        <v>38.349514563106794</v>
      </c>
      <c r="G33" s="337">
        <f>IF(E33=0,"",'- 6 -'!F33/E33*100)</f>
        <v>40.129449838187703</v>
      </c>
      <c r="H33" s="337">
        <f>IF(E33=0,"",'- 6 -'!G33/E33*100)</f>
        <v>21.521035598705502</v>
      </c>
      <c r="I33" s="337">
        <f>IF(E33=0,"",'- 6 -'!H33/E33*100)</f>
        <v>0</v>
      </c>
    </row>
    <row r="34" spans="1:10" ht="14.1" customHeight="1">
      <c r="A34" s="26" t="s">
        <v>260</v>
      </c>
      <c r="B34" s="27">
        <v>841772</v>
      </c>
      <c r="C34" s="79">
        <f>B34/'- 3 -'!D34*100</f>
        <v>3.7199216784166129</v>
      </c>
      <c r="D34" s="224">
        <f t="shared" si="0"/>
        <v>6121.9781818181818</v>
      </c>
      <c r="E34" s="225">
        <f>SUM('- 6 -'!E34:H34)</f>
        <v>137.5</v>
      </c>
      <c r="F34" s="79">
        <f>IF(E34=0,"",'- 6 -'!E34/E34*100)</f>
        <v>40</v>
      </c>
      <c r="G34" s="79">
        <f>IF(E34=0,"",'- 6 -'!F34/E34*100)</f>
        <v>60</v>
      </c>
      <c r="H34" s="79">
        <f>IF(E34=0,"",'- 6 -'!G34/E34*100)</f>
        <v>0</v>
      </c>
      <c r="I34" s="79">
        <f>IF(E34=0,"",'- 6 -'!H34/E34*100)</f>
        <v>0</v>
      </c>
    </row>
    <row r="35" spans="1:10" ht="14.1" customHeight="1">
      <c r="A35" s="387" t="s">
        <v>261</v>
      </c>
      <c r="B35" s="331">
        <v>24207346</v>
      </c>
      <c r="C35" s="337">
        <f>B35/'- 3 -'!D35*100</f>
        <v>15.046002524711355</v>
      </c>
      <c r="D35" s="388">
        <f t="shared" si="0"/>
        <v>4961.0300235679888</v>
      </c>
      <c r="E35" s="389">
        <f>SUM('- 6 -'!E35:H35)</f>
        <v>4879.5</v>
      </c>
      <c r="F35" s="337">
        <f>IF(E35=0,"",'- 6 -'!E35/E35*100)</f>
        <v>58.95071216313147</v>
      </c>
      <c r="G35" s="337">
        <f>IF(E35=0,"",'- 6 -'!F35/E35*100)</f>
        <v>0</v>
      </c>
      <c r="H35" s="337">
        <f>IF(E35=0,"",'- 6 -'!G35/E35*100)</f>
        <v>31.652833282098573</v>
      </c>
      <c r="I35" s="337">
        <f>IF(E35=0,"",'- 6 -'!H35/E35*100)</f>
        <v>9.3964545547699565</v>
      </c>
    </row>
    <row r="36" spans="1:10" ht="14.1" customHeight="1">
      <c r="A36" s="26" t="s">
        <v>262</v>
      </c>
      <c r="B36" s="27">
        <v>0</v>
      </c>
      <c r="C36" s="79">
        <f>B36/'- 3 -'!D36*100</f>
        <v>0</v>
      </c>
      <c r="D36" s="224" t="str">
        <f t="shared" si="0"/>
        <v/>
      </c>
      <c r="E36" s="225">
        <f>SUM('- 6 -'!E36:H36)</f>
        <v>0</v>
      </c>
      <c r="F36" s="79" t="str">
        <f>IF(E36=0,"",'- 6 -'!E36/E36*100)</f>
        <v/>
      </c>
      <c r="G36" s="79" t="str">
        <f>IF(E36=0,"",'- 6 -'!F36/E36*100)</f>
        <v/>
      </c>
      <c r="H36" s="79" t="str">
        <f>IF(E36=0,"",'- 6 -'!G36/E36*100)</f>
        <v/>
      </c>
      <c r="I36" s="79" t="str">
        <f>IF(E36=0,"",'- 6 -'!H36/E36*100)</f>
        <v/>
      </c>
    </row>
    <row r="37" spans="1:10" ht="14.1" customHeight="1">
      <c r="A37" s="387" t="s">
        <v>263</v>
      </c>
      <c r="B37" s="331">
        <v>5716067</v>
      </c>
      <c r="C37" s="337">
        <f>B37/'- 3 -'!D37*100</f>
        <v>15.240350386372747</v>
      </c>
      <c r="D37" s="388">
        <f t="shared" si="0"/>
        <v>4842.0728504870822</v>
      </c>
      <c r="E37" s="389">
        <f>SUM('- 6 -'!E37:H37)</f>
        <v>1180.5</v>
      </c>
      <c r="F37" s="337">
        <f>IF(E37=0,"",'- 6 -'!E37/E37*100)</f>
        <v>63.235916984328675</v>
      </c>
      <c r="G37" s="337">
        <f>IF(E37=0,"",'- 6 -'!F37/E37*100)</f>
        <v>0</v>
      </c>
      <c r="H37" s="337">
        <f>IF(E37=0,"",'- 6 -'!G37/E37*100)</f>
        <v>36.764083015671325</v>
      </c>
      <c r="I37" s="337">
        <f>IF(E37=0,"",'- 6 -'!H37/E37*100)</f>
        <v>0</v>
      </c>
    </row>
    <row r="38" spans="1:10" ht="14.1" customHeight="1">
      <c r="A38" s="26" t="s">
        <v>264</v>
      </c>
      <c r="B38" s="27">
        <v>20820152</v>
      </c>
      <c r="C38" s="79">
        <f>B38/'- 3 -'!D38*100</f>
        <v>20.278616613003887</v>
      </c>
      <c r="D38" s="224">
        <f t="shared" si="0"/>
        <v>4944.8170051062816</v>
      </c>
      <c r="E38" s="225">
        <f>SUM('- 6 -'!E38:H38)</f>
        <v>4210.5</v>
      </c>
      <c r="F38" s="79">
        <f>IF(E38=0,"",'- 6 -'!E38/E38*100)</f>
        <v>72.722954518465741</v>
      </c>
      <c r="G38" s="79">
        <f>IF(E38=0,"",'- 6 -'!F38/E38*100)</f>
        <v>0</v>
      </c>
      <c r="H38" s="79">
        <f>IF(E38=0,"",'- 6 -'!G38/E38*100)</f>
        <v>24.130150813442583</v>
      </c>
      <c r="I38" s="79">
        <f>IF(E38=0,"",'- 6 -'!H38/E38*100)</f>
        <v>3.1468946680916758</v>
      </c>
    </row>
    <row r="39" spans="1:10" ht="14.1" customHeight="1">
      <c r="A39" s="387" t="s">
        <v>265</v>
      </c>
      <c r="B39" s="331">
        <v>0</v>
      </c>
      <c r="C39" s="337">
        <f>B39/'- 3 -'!D39*100</f>
        <v>0</v>
      </c>
      <c r="D39" s="388" t="str">
        <f t="shared" si="0"/>
        <v/>
      </c>
      <c r="E39" s="389">
        <f>SUM('- 6 -'!E39:H39)</f>
        <v>0</v>
      </c>
      <c r="F39" s="337" t="str">
        <f>IF(E39=0,"",'- 6 -'!E39/E39*100)</f>
        <v/>
      </c>
      <c r="G39" s="337" t="str">
        <f>IF(E39=0,"",'- 6 -'!F39/E39*100)</f>
        <v/>
      </c>
      <c r="H39" s="337" t="str">
        <f>IF(E39=0,"",'- 6 -'!G39/E39*100)</f>
        <v/>
      </c>
      <c r="I39" s="337" t="str">
        <f>IF(E39=0,"",'- 6 -'!H39/E39*100)</f>
        <v/>
      </c>
    </row>
    <row r="40" spans="1:10" ht="14.1" customHeight="1">
      <c r="A40" s="26" t="s">
        <v>266</v>
      </c>
      <c r="B40" s="27">
        <v>8241917</v>
      </c>
      <c r="C40" s="79">
        <f>B40/'- 3 -'!D40*100</f>
        <v>9.0721524954152262</v>
      </c>
      <c r="D40" s="224">
        <f t="shared" si="0"/>
        <v>5491.8654006330171</v>
      </c>
      <c r="E40" s="225">
        <f>SUM('- 6 -'!E40:H40)</f>
        <v>1500.75</v>
      </c>
      <c r="F40" s="79">
        <f>IF(E40=0,"",'- 6 -'!E40/E40*100)</f>
        <v>60.846243544894222</v>
      </c>
      <c r="G40" s="79">
        <f>IF(E40=0,"",'- 6 -'!F40/E40*100)</f>
        <v>0</v>
      </c>
      <c r="H40" s="79">
        <f>IF(E40=0,"",'- 6 -'!G40/E40*100)</f>
        <v>39.153756455105778</v>
      </c>
      <c r="I40" s="79">
        <f>IF(E40=0,"",'- 6 -'!H40/E40*100)</f>
        <v>0</v>
      </c>
    </row>
    <row r="41" spans="1:10" ht="14.1" customHeight="1">
      <c r="A41" s="387" t="s">
        <v>267</v>
      </c>
      <c r="B41" s="331">
        <v>8761354</v>
      </c>
      <c r="C41" s="337">
        <f>B41/'- 3 -'!D41*100</f>
        <v>15.867308227440097</v>
      </c>
      <c r="D41" s="388">
        <f t="shared" si="0"/>
        <v>4999.3460770328102</v>
      </c>
      <c r="E41" s="389">
        <f>SUM('- 6 -'!E41:H41)</f>
        <v>1752.5</v>
      </c>
      <c r="F41" s="337">
        <f>IF(E41=0,"",'- 6 -'!E41/E41*100)</f>
        <v>61.711840228245364</v>
      </c>
      <c r="G41" s="337">
        <f>IF(E41=0,"",'- 6 -'!F41/E41*100)</f>
        <v>0</v>
      </c>
      <c r="H41" s="337">
        <f>IF(E41=0,"",'- 6 -'!G41/E41*100)</f>
        <v>34.522111269614832</v>
      </c>
      <c r="I41" s="337">
        <f>IF(E41=0,"",'- 6 -'!H41/E41*100)</f>
        <v>3.7660485021398</v>
      </c>
    </row>
    <row r="42" spans="1:10" ht="14.1" customHeight="1">
      <c r="A42" s="26" t="s">
        <v>268</v>
      </c>
      <c r="B42" s="27">
        <v>1386002</v>
      </c>
      <c r="C42" s="79">
        <f>B42/'- 3 -'!D42*100</f>
        <v>7.222212784840587</v>
      </c>
      <c r="D42" s="224">
        <f t="shared" si="0"/>
        <v>5680.3360655737706</v>
      </c>
      <c r="E42" s="225">
        <f>SUM('- 6 -'!E42:H42)</f>
        <v>244</v>
      </c>
      <c r="F42" s="79">
        <f>IF(E42=0,"",'- 6 -'!E42/E42*100)</f>
        <v>71.311475409836063</v>
      </c>
      <c r="G42" s="79">
        <f>IF(E42=0,"",'- 6 -'!F42/E42*100)</f>
        <v>0</v>
      </c>
      <c r="H42" s="79">
        <f>IF(E42=0,"",'- 6 -'!G42/E42*100)</f>
        <v>28.688524590163933</v>
      </c>
      <c r="I42" s="79">
        <f>IF(E42=0,"",'- 6 -'!H42/E42*100)</f>
        <v>0</v>
      </c>
    </row>
    <row r="43" spans="1:10" ht="14.1" customHeight="1">
      <c r="A43" s="387" t="s">
        <v>269</v>
      </c>
      <c r="B43" s="331">
        <v>0</v>
      </c>
      <c r="C43" s="337">
        <f>B43/'- 3 -'!D43*100</f>
        <v>0</v>
      </c>
      <c r="D43" s="388" t="str">
        <f t="shared" si="0"/>
        <v/>
      </c>
      <c r="E43" s="389">
        <f>SUM('- 6 -'!E43:H43)</f>
        <v>0</v>
      </c>
      <c r="F43" s="337" t="str">
        <f>IF(E43=0,"",'- 6 -'!E43/E43*100)</f>
        <v/>
      </c>
      <c r="G43" s="337" t="str">
        <f>IF(E43=0,"",'- 6 -'!F43/E43*100)</f>
        <v/>
      </c>
      <c r="H43" s="337" t="str">
        <f>IF(E43=0,"",'- 6 -'!G43/E43*100)</f>
        <v/>
      </c>
      <c r="I43" s="337" t="str">
        <f>IF(E43=0,"",'- 6 -'!H43/E43*100)</f>
        <v/>
      </c>
    </row>
    <row r="44" spans="1:10" ht="14.1" customHeight="1">
      <c r="A44" s="26" t="s">
        <v>270</v>
      </c>
      <c r="B44" s="27">
        <v>0</v>
      </c>
      <c r="C44" s="79">
        <f>B44/'- 3 -'!D44*100</f>
        <v>0</v>
      </c>
      <c r="D44" s="224" t="str">
        <f t="shared" si="0"/>
        <v/>
      </c>
      <c r="E44" s="225">
        <f>SUM('- 6 -'!E44:H44)</f>
        <v>0</v>
      </c>
      <c r="F44" s="79" t="str">
        <f>IF(E44=0,"",'- 6 -'!E44/E44*100)</f>
        <v/>
      </c>
      <c r="G44" s="79" t="str">
        <f>IF(E44=0,"",'- 6 -'!F44/E44*100)</f>
        <v/>
      </c>
      <c r="H44" s="79" t="str">
        <f>IF(E44=0,"",'- 6 -'!G44/E44*100)</f>
        <v/>
      </c>
      <c r="I44" s="79" t="str">
        <f>IF(E44=0,"",'- 6 -'!H44/E44*100)</f>
        <v/>
      </c>
    </row>
    <row r="45" spans="1:10" ht="14.1" customHeight="1">
      <c r="A45" s="387" t="s">
        <v>271</v>
      </c>
      <c r="B45" s="331">
        <v>3979100</v>
      </c>
      <c r="C45" s="337">
        <f>B45/'- 3 -'!D45*100</f>
        <v>25.635747665282477</v>
      </c>
      <c r="D45" s="388">
        <f t="shared" si="0"/>
        <v>4656.6413107080161</v>
      </c>
      <c r="E45" s="389">
        <f>SUM('- 6 -'!E45:H45)</f>
        <v>854.5</v>
      </c>
      <c r="F45" s="337">
        <f>IF(E45=0,"",'- 6 -'!E45/E45*100)</f>
        <v>78.876535985956693</v>
      </c>
      <c r="G45" s="337">
        <f>IF(E45=0,"",'- 6 -'!F45/E45*100)</f>
        <v>0</v>
      </c>
      <c r="H45" s="337">
        <f>IF(E45=0,"",'- 6 -'!G45/E45*100)</f>
        <v>21.1234640140433</v>
      </c>
      <c r="I45" s="337">
        <f>IF(E45=0,"",'- 6 -'!H45/E45*100)</f>
        <v>0</v>
      </c>
    </row>
    <row r="46" spans="1:10" ht="14.1" customHeight="1">
      <c r="A46" s="26" t="s">
        <v>272</v>
      </c>
      <c r="B46" s="27">
        <v>25292759</v>
      </c>
      <c r="C46" s="79">
        <f>B46/'- 3 -'!D46*100</f>
        <v>7.5264466076533036</v>
      </c>
      <c r="D46" s="224">
        <f t="shared" si="0"/>
        <v>4851.862459236524</v>
      </c>
      <c r="E46" s="225">
        <f>SUM('- 6 -'!E46:H46)</f>
        <v>5213</v>
      </c>
      <c r="F46" s="79">
        <f>IF(E46=0,"",'- 6 -'!E46/E46*100)</f>
        <v>55.073853826971032</v>
      </c>
      <c r="G46" s="79">
        <f>IF(E46=0,"",'- 6 -'!F46/E46*100)</f>
        <v>0</v>
      </c>
      <c r="H46" s="79">
        <f>IF(E46=0,"",'- 6 -'!G46/E46*100)</f>
        <v>41.502014195281028</v>
      </c>
      <c r="I46" s="79">
        <f>IF(E46=0,"",'- 6 -'!H46/E46*100)</f>
        <v>3.4241319777479378</v>
      </c>
    </row>
    <row r="47" spans="1:10" ht="5.0999999999999996" customHeight="1">
      <c r="A47"/>
      <c r="B47" s="29"/>
      <c r="C47"/>
      <c r="D47"/>
      <c r="E47"/>
      <c r="F47"/>
      <c r="G47"/>
      <c r="H47"/>
      <c r="I47"/>
      <c r="J47"/>
    </row>
    <row r="48" spans="1:10" ht="14.1" customHeight="1">
      <c r="A48" s="332" t="s">
        <v>273</v>
      </c>
      <c r="B48" s="333">
        <f>SUM(B11:B46)</f>
        <v>142599444</v>
      </c>
      <c r="C48" s="340">
        <f>B48/'- 3 -'!D48*100</f>
        <v>7.3957782297732697</v>
      </c>
      <c r="D48" s="390">
        <f>B48/E48</f>
        <v>4940.2112243006686</v>
      </c>
      <c r="E48" s="391">
        <f>SUM(E11:E46)</f>
        <v>28865.05</v>
      </c>
      <c r="F48" s="340">
        <f>IF(E48=0,"",'- 6 -'!E48/E48*100)</f>
        <v>64.43276557636311</v>
      </c>
      <c r="G48" s="340">
        <f>IF(E48=0,"",'- 6 -'!F48/E48*100)</f>
        <v>0.83665193720433539</v>
      </c>
      <c r="H48" s="340">
        <f>IF(E48=0,"",'- 6 -'!G48/E48*100)</f>
        <v>31.349330765060166</v>
      </c>
      <c r="I48" s="340">
        <f>IF(E48=0,"",'- 6 -'!H48/E48*100)</f>
        <v>3.3812517213723865</v>
      </c>
    </row>
    <row r="49" spans="1:9" ht="5.0999999999999996" customHeight="1">
      <c r="A49" s="28" t="s">
        <v>18</v>
      </c>
      <c r="B49" s="29"/>
      <c r="C49"/>
      <c r="D49" s="29"/>
      <c r="E49" s="226"/>
      <c r="F49"/>
      <c r="G49"/>
      <c r="H49"/>
      <c r="I49"/>
    </row>
    <row r="50" spans="1:9" ht="14.1" customHeight="1">
      <c r="A50" s="26" t="s">
        <v>274</v>
      </c>
      <c r="B50" s="27">
        <v>0</v>
      </c>
      <c r="C50" s="79">
        <f>B50/'- 3 -'!D50*100</f>
        <v>0</v>
      </c>
      <c r="D50" s="224" t="str">
        <f>IF(E50=0,"",B50/E50)</f>
        <v/>
      </c>
      <c r="E50" s="225">
        <f>SUM('- 6 -'!E50:H50)</f>
        <v>0</v>
      </c>
      <c r="F50" s="79" t="str">
        <f>IF(E50=0,"",'- 6 -'!E50/E50*100)</f>
        <v/>
      </c>
      <c r="G50" s="79" t="str">
        <f>IF(E50=0,"",'- 6 -'!F50/E50*100)</f>
        <v/>
      </c>
      <c r="H50" s="79" t="str">
        <f>IF(E50=0,"",'- 6 -'!G50/E50*100)</f>
        <v/>
      </c>
      <c r="I50" s="79" t="str">
        <f>IF(E50=0,"",'- 6 -'!H50/E50*100)</f>
        <v/>
      </c>
    </row>
    <row r="51" spans="1:9" ht="14.1" customHeight="1">
      <c r="A51" s="387" t="s">
        <v>275</v>
      </c>
      <c r="B51" s="331">
        <v>0</v>
      </c>
      <c r="C51" s="337">
        <f>B51/'- 3 -'!D51*100</f>
        <v>0</v>
      </c>
      <c r="D51" s="388" t="str">
        <f>IF(E51=0,"",B51/E51)</f>
        <v/>
      </c>
      <c r="E51" s="389">
        <f>SUM('- 6 -'!E51:H51)</f>
        <v>0</v>
      </c>
      <c r="F51" s="337" t="str">
        <f>IF(E51=0,"",'- 6 -'!E51/E51*100)</f>
        <v/>
      </c>
      <c r="G51" s="337" t="str">
        <f>IF(E51=0,"",'- 6 -'!F51/E51*100)</f>
        <v/>
      </c>
      <c r="H51" s="337" t="str">
        <f>IF(E51=0,"",'- 6 -'!G51/E51*100)</f>
        <v/>
      </c>
      <c r="I51" s="337" t="str">
        <f>IF(E51=0,"",'- 6 -'!H51/E51*100)</f>
        <v/>
      </c>
    </row>
    <row r="52" spans="1:9" ht="50.1" customHeight="1">
      <c r="A52" s="30"/>
      <c r="B52" s="126"/>
      <c r="C52" s="126"/>
      <c r="D52" s="126"/>
      <c r="E52" s="126"/>
      <c r="F52" s="126"/>
      <c r="G52" s="126"/>
      <c r="H52" s="126"/>
      <c r="I52" s="126"/>
    </row>
    <row r="53" spans="1:9" ht="15" customHeight="1">
      <c r="A53" s="96" t="s">
        <v>625</v>
      </c>
      <c r="C53" s="96"/>
      <c r="D53" s="96"/>
      <c r="E53" s="96"/>
      <c r="F53" s="96"/>
      <c r="G53" s="96"/>
      <c r="H53" s="96"/>
      <c r="I53" s="9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sheetPr codeName="Sheet16">
    <pageSetUpPr fitToPage="1"/>
  </sheetPr>
  <dimension ref="A1:J55"/>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5.83203125" style="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483</v>
      </c>
      <c r="C2" s="9"/>
      <c r="D2" s="9"/>
      <c r="E2" s="9"/>
      <c r="F2" s="9"/>
      <c r="G2" s="82"/>
      <c r="H2" s="82"/>
      <c r="I2" s="207"/>
      <c r="J2" s="153" t="s">
        <v>455</v>
      </c>
    </row>
    <row r="3" spans="1:10" ht="15.95" customHeight="1">
      <c r="A3" s="154"/>
      <c r="B3" s="10" t="str">
        <f>OPYEAR</f>
        <v>OPERATING FUND 2011/2012 ACTUAL</v>
      </c>
      <c r="C3" s="11"/>
      <c r="D3" s="11"/>
      <c r="E3" s="11"/>
      <c r="F3" s="11"/>
      <c r="G3" s="84"/>
      <c r="H3" s="84"/>
      <c r="I3" s="84"/>
      <c r="J3" s="74"/>
    </row>
    <row r="4" spans="1:10" ht="15.95" customHeight="1">
      <c r="B4" s="7"/>
      <c r="C4" s="7"/>
      <c r="D4" s="74"/>
      <c r="E4" s="7"/>
      <c r="F4" s="7"/>
      <c r="G4" s="7"/>
      <c r="H4" s="7"/>
      <c r="I4" s="7"/>
      <c r="J4" s="7"/>
    </row>
    <row r="5" spans="1:10" ht="15.95" customHeight="1">
      <c r="B5" s="480" t="s">
        <v>433</v>
      </c>
      <c r="C5" s="186"/>
      <c r="D5" s="187"/>
      <c r="E5" s="187"/>
      <c r="F5" s="187"/>
      <c r="G5" s="187"/>
      <c r="H5" s="187"/>
      <c r="I5" s="187"/>
      <c r="J5" s="188"/>
    </row>
    <row r="6" spans="1:10" ht="15.95" customHeight="1">
      <c r="B6" s="358" t="s">
        <v>25</v>
      </c>
      <c r="C6" s="361"/>
      <c r="D6" s="359"/>
      <c r="E6" s="368"/>
      <c r="F6" s="369"/>
      <c r="G6" s="370"/>
      <c r="H6" s="358" t="s">
        <v>26</v>
      </c>
      <c r="I6" s="361"/>
      <c r="J6" s="359"/>
    </row>
    <row r="7" spans="1:10" ht="15.95" customHeight="1">
      <c r="B7" s="344" t="s">
        <v>49</v>
      </c>
      <c r="C7" s="345"/>
      <c r="D7" s="346"/>
      <c r="E7" s="344" t="s">
        <v>409</v>
      </c>
      <c r="F7" s="345"/>
      <c r="G7" s="346"/>
      <c r="H7" s="344" t="s">
        <v>50</v>
      </c>
      <c r="I7" s="345"/>
      <c r="J7" s="346"/>
    </row>
    <row r="8" spans="1:10" ht="15.95" customHeight="1">
      <c r="A8" s="75"/>
      <c r="B8" s="155"/>
      <c r="C8" s="156"/>
      <c r="D8" s="157" t="s">
        <v>75</v>
      </c>
      <c r="E8" s="155"/>
      <c r="F8" s="157"/>
      <c r="G8" s="157" t="s">
        <v>75</v>
      </c>
      <c r="H8" s="155"/>
      <c r="I8" s="157"/>
      <c r="J8" s="157" t="s">
        <v>75</v>
      </c>
    </row>
    <row r="9" spans="1:10" ht="15.95" customHeight="1">
      <c r="A9" s="42" t="s">
        <v>95</v>
      </c>
      <c r="B9" s="87" t="s">
        <v>96</v>
      </c>
      <c r="C9" s="87" t="s">
        <v>97</v>
      </c>
      <c r="D9" s="87" t="s">
        <v>98</v>
      </c>
      <c r="E9" s="87" t="s">
        <v>96</v>
      </c>
      <c r="F9" s="87" t="s">
        <v>97</v>
      </c>
      <c r="G9" s="87" t="s">
        <v>98</v>
      </c>
      <c r="H9" s="87" t="s">
        <v>96</v>
      </c>
      <c r="I9" s="87" t="s">
        <v>97</v>
      </c>
      <c r="J9" s="87" t="s">
        <v>98</v>
      </c>
    </row>
    <row r="10" spans="1:10" ht="5.0999999999999996" customHeight="1">
      <c r="A10" s="5"/>
    </row>
    <row r="11" spans="1:10" ht="14.1" customHeight="1">
      <c r="A11" s="330" t="s">
        <v>238</v>
      </c>
      <c r="B11" s="331">
        <v>128011</v>
      </c>
      <c r="C11" s="337">
        <f>B11/'- 3 -'!$D11*100</f>
        <v>0.85045925836359781</v>
      </c>
      <c r="D11" s="331">
        <f>B11/'- 7 -'!$E11</f>
        <v>89.361954624781845</v>
      </c>
      <c r="E11" s="331">
        <v>0</v>
      </c>
      <c r="F11" s="337">
        <f>E11/'- 3 -'!$D11*100</f>
        <v>0</v>
      </c>
      <c r="G11" s="331">
        <f>E11/'- 7 -'!$E11</f>
        <v>0</v>
      </c>
      <c r="H11" s="331">
        <v>110397</v>
      </c>
      <c r="I11" s="337">
        <f>H11/'- 3 -'!$D11*100</f>
        <v>0.7334381478589036</v>
      </c>
      <c r="J11" s="331">
        <f>H11/'- 7 -'!$E11</f>
        <v>77.065968586387442</v>
      </c>
    </row>
    <row r="12" spans="1:10" ht="14.1" customHeight="1">
      <c r="A12" s="26" t="s">
        <v>239</v>
      </c>
      <c r="B12" s="27">
        <v>267099</v>
      </c>
      <c r="C12" s="79">
        <f>B12/'- 3 -'!$D12*100</f>
        <v>0.93402153481958594</v>
      </c>
      <c r="D12" s="27">
        <f>B12/'- 7 -'!$E12</f>
        <v>114.17805174153175</v>
      </c>
      <c r="E12" s="27">
        <v>0</v>
      </c>
      <c r="F12" s="79">
        <f>E12/'- 3 -'!$D12*100</f>
        <v>0</v>
      </c>
      <c r="G12" s="27">
        <f>E12/'- 7 -'!$E12</f>
        <v>0</v>
      </c>
      <c r="H12" s="27">
        <v>539664</v>
      </c>
      <c r="I12" s="79">
        <f>H12/'- 3 -'!$D12*100</f>
        <v>1.8871571872859014</v>
      </c>
      <c r="J12" s="27">
        <f>H12/'- 7 -'!$E12</f>
        <v>230.69267992408052</v>
      </c>
    </row>
    <row r="13" spans="1:10" ht="14.1" customHeight="1">
      <c r="A13" s="330" t="s">
        <v>240</v>
      </c>
      <c r="B13" s="331">
        <v>114884</v>
      </c>
      <c r="C13" s="337">
        <f>B13/'- 3 -'!$D13*100</f>
        <v>0.15637811281384176</v>
      </c>
      <c r="D13" s="331">
        <f>B13/'- 7 -'!$E13</f>
        <v>15.098436062557498</v>
      </c>
      <c r="E13" s="331">
        <v>0</v>
      </c>
      <c r="F13" s="337">
        <f>E13/'- 3 -'!$D13*100</f>
        <v>0</v>
      </c>
      <c r="G13" s="331">
        <f>E13/'- 7 -'!$E13</f>
        <v>0</v>
      </c>
      <c r="H13" s="331">
        <v>1342303</v>
      </c>
      <c r="I13" s="337">
        <f>H13/'- 3 -'!$D13*100</f>
        <v>1.8271196159983831</v>
      </c>
      <c r="J13" s="331">
        <f>H13/'- 7 -'!$E13</f>
        <v>176.40990931791299</v>
      </c>
    </row>
    <row r="14" spans="1:10" ht="14.1" customHeight="1">
      <c r="A14" s="26" t="s">
        <v>653</v>
      </c>
      <c r="B14" s="27">
        <v>324721</v>
      </c>
      <c r="C14" s="79">
        <f>B14/'- 3 -'!$D14*100</f>
        <v>0.48842582370011928</v>
      </c>
      <c r="D14" s="27">
        <f>B14/'- 7 -'!$E14</f>
        <v>65.573707592891765</v>
      </c>
      <c r="E14" s="27">
        <v>0</v>
      </c>
      <c r="F14" s="79">
        <f>E14/'- 3 -'!$D14*100</f>
        <v>0</v>
      </c>
      <c r="G14" s="27">
        <f>E14/'- 7 -'!$E14</f>
        <v>0</v>
      </c>
      <c r="H14" s="27">
        <v>798489</v>
      </c>
      <c r="I14" s="79">
        <f>H14/'- 3 -'!$D14*100</f>
        <v>1.2010391922311292</v>
      </c>
      <c r="J14" s="27">
        <f>H14/'- 7 -'!$E14</f>
        <v>161.24575928917608</v>
      </c>
    </row>
    <row r="15" spans="1:10" ht="14.1" customHeight="1">
      <c r="A15" s="330" t="s">
        <v>241</v>
      </c>
      <c r="B15" s="331">
        <v>261729</v>
      </c>
      <c r="C15" s="337">
        <f>B15/'- 3 -'!$D15*100</f>
        <v>1.4299092395064239</v>
      </c>
      <c r="D15" s="331">
        <f>B15/'- 7 -'!$E15</f>
        <v>170.72994129158513</v>
      </c>
      <c r="E15" s="331">
        <v>0</v>
      </c>
      <c r="F15" s="337">
        <f>E15/'- 3 -'!$D15*100</f>
        <v>0</v>
      </c>
      <c r="G15" s="331">
        <f>E15/'- 7 -'!$E15</f>
        <v>0</v>
      </c>
      <c r="H15" s="331">
        <v>245807</v>
      </c>
      <c r="I15" s="337">
        <f>H15/'- 3 -'!$D15*100</f>
        <v>1.3429222609468403</v>
      </c>
      <c r="J15" s="331">
        <f>H15/'- 7 -'!$E15</f>
        <v>160.34377038486627</v>
      </c>
    </row>
    <row r="16" spans="1:10" ht="14.1" customHeight="1">
      <c r="A16" s="26" t="s">
        <v>242</v>
      </c>
      <c r="B16" s="27">
        <v>174054</v>
      </c>
      <c r="C16" s="79">
        <f>B16/'- 3 -'!$D16*100</f>
        <v>1.3815568267579461</v>
      </c>
      <c r="D16" s="27">
        <f>B16/'- 7 -'!$E16</f>
        <v>175.9009600808489</v>
      </c>
      <c r="E16" s="27">
        <v>0</v>
      </c>
      <c r="F16" s="79">
        <f>E16/'- 3 -'!$D16*100</f>
        <v>0</v>
      </c>
      <c r="G16" s="27">
        <f>E16/'- 7 -'!$E16</f>
        <v>0</v>
      </c>
      <c r="H16" s="27">
        <v>174943</v>
      </c>
      <c r="I16" s="79">
        <f>H16/'- 3 -'!$D16*100</f>
        <v>1.3886132806112779</v>
      </c>
      <c r="J16" s="27">
        <f>H16/'- 7 -'!$E16</f>
        <v>176.79939363314804</v>
      </c>
    </row>
    <row r="17" spans="1:10" ht="14.1" customHeight="1">
      <c r="A17" s="330" t="s">
        <v>243</v>
      </c>
      <c r="B17" s="331">
        <v>116393</v>
      </c>
      <c r="C17" s="337">
        <f>B17/'- 3 -'!$D17*100</f>
        <v>0.73112397913658733</v>
      </c>
      <c r="D17" s="331">
        <f>B17/'- 7 -'!$E17</f>
        <v>88.009829867674853</v>
      </c>
      <c r="E17" s="331">
        <v>0</v>
      </c>
      <c r="F17" s="337">
        <f>E17/'- 3 -'!$D17*100</f>
        <v>0</v>
      </c>
      <c r="G17" s="331">
        <f>E17/'- 7 -'!$E17</f>
        <v>0</v>
      </c>
      <c r="H17" s="331">
        <v>285155</v>
      </c>
      <c r="I17" s="337">
        <f>H17/'- 3 -'!$D17*100</f>
        <v>1.7912044390186141</v>
      </c>
      <c r="J17" s="331">
        <f>H17/'- 7 -'!$E17</f>
        <v>215.61814744801512</v>
      </c>
    </row>
    <row r="18" spans="1:10" ht="14.1" customHeight="1">
      <c r="A18" s="26" t="s">
        <v>244</v>
      </c>
      <c r="B18" s="27">
        <v>0</v>
      </c>
      <c r="C18" s="79">
        <f>B18/'- 3 -'!$D18*100</f>
        <v>0</v>
      </c>
      <c r="D18" s="27">
        <f>B18/'- 7 -'!$E18</f>
        <v>0</v>
      </c>
      <c r="E18" s="27">
        <v>0</v>
      </c>
      <c r="F18" s="79">
        <f>E18/'- 3 -'!$D18*100</f>
        <v>0</v>
      </c>
      <c r="G18" s="27">
        <f>E18/'- 7 -'!$E18</f>
        <v>0</v>
      </c>
      <c r="H18" s="27">
        <v>3466489</v>
      </c>
      <c r="I18" s="79">
        <f>H18/'- 3 -'!$D18*100</f>
        <v>3.1805282460843576</v>
      </c>
      <c r="J18" s="27">
        <f>H18/'- 7 -'!$E18</f>
        <v>599.72820539437032</v>
      </c>
    </row>
    <row r="19" spans="1:10" ht="14.1" customHeight="1">
      <c r="A19" s="330" t="s">
        <v>245</v>
      </c>
      <c r="B19" s="331">
        <v>111679</v>
      </c>
      <c r="C19" s="337">
        <f>B19/'- 3 -'!$D19*100</f>
        <v>0.30082403303857541</v>
      </c>
      <c r="D19" s="331">
        <f>B19/'- 7 -'!$E19</f>
        <v>26.972997777992468</v>
      </c>
      <c r="E19" s="331">
        <v>0</v>
      </c>
      <c r="F19" s="337">
        <f>E19/'- 3 -'!$D19*100</f>
        <v>0</v>
      </c>
      <c r="G19" s="331">
        <f>E19/'- 7 -'!$E19</f>
        <v>0</v>
      </c>
      <c r="H19" s="331">
        <v>488760</v>
      </c>
      <c r="I19" s="337">
        <f>H19/'- 3 -'!$D19*100</f>
        <v>1.3165479131075144</v>
      </c>
      <c r="J19" s="331">
        <f>H19/'- 7 -'!$E19</f>
        <v>118.04656554922231</v>
      </c>
    </row>
    <row r="20" spans="1:10" ht="14.1" customHeight="1">
      <c r="A20" s="26" t="s">
        <v>246</v>
      </c>
      <c r="B20" s="27">
        <v>534014</v>
      </c>
      <c r="C20" s="79">
        <f>B20/'- 3 -'!$D20*100</f>
        <v>0.84974636133905623</v>
      </c>
      <c r="D20" s="27">
        <f>B20/'- 7 -'!$E20</f>
        <v>73.182677812799781</v>
      </c>
      <c r="E20" s="27">
        <v>5101</v>
      </c>
      <c r="F20" s="79">
        <f>E20/'- 3 -'!$D20*100</f>
        <v>8.1169336182020067E-3</v>
      </c>
      <c r="G20" s="27">
        <f>E20/'- 7 -'!$E20</f>
        <v>0.69905440592024115</v>
      </c>
      <c r="H20" s="27">
        <v>1020169</v>
      </c>
      <c r="I20" s="79">
        <f>H20/'- 3 -'!$D20*100</f>
        <v>1.6233373950887124</v>
      </c>
      <c r="J20" s="27">
        <f>H20/'- 7 -'!$E20</f>
        <v>139.80663286282035</v>
      </c>
    </row>
    <row r="21" spans="1:10" ht="14.1" customHeight="1">
      <c r="A21" s="330" t="s">
        <v>247</v>
      </c>
      <c r="B21" s="331">
        <v>243624</v>
      </c>
      <c r="C21" s="337">
        <f>B21/'- 3 -'!$D21*100</f>
        <v>0.7747496932074025</v>
      </c>
      <c r="D21" s="331">
        <f>B21/'- 7 -'!$E21</f>
        <v>85.692578262398868</v>
      </c>
      <c r="E21" s="331">
        <v>0</v>
      </c>
      <c r="F21" s="337">
        <f>E21/'- 3 -'!$D21*100</f>
        <v>0</v>
      </c>
      <c r="G21" s="331">
        <f>E21/'- 7 -'!$E21</f>
        <v>0</v>
      </c>
      <c r="H21" s="331">
        <v>442363</v>
      </c>
      <c r="I21" s="337">
        <f>H21/'- 3 -'!$D21*100</f>
        <v>1.4067604116848349</v>
      </c>
      <c r="J21" s="331">
        <f>H21/'- 7 -'!$E21</f>
        <v>155.59725641927542</v>
      </c>
    </row>
    <row r="22" spans="1:10" ht="14.1" customHeight="1">
      <c r="A22" s="26" t="s">
        <v>248</v>
      </c>
      <c r="B22" s="27">
        <v>119933</v>
      </c>
      <c r="C22" s="79">
        <f>B22/'- 3 -'!$D22*100</f>
        <v>0.65837098620167323</v>
      </c>
      <c r="D22" s="27">
        <f>B22/'- 7 -'!$E22</f>
        <v>76.624712496805515</v>
      </c>
      <c r="E22" s="27">
        <v>0</v>
      </c>
      <c r="F22" s="79">
        <f>E22/'- 3 -'!$D22*100</f>
        <v>0</v>
      </c>
      <c r="G22" s="27">
        <f>E22/'- 7 -'!$E22</f>
        <v>0</v>
      </c>
      <c r="H22" s="27">
        <v>152647</v>
      </c>
      <c r="I22" s="79">
        <f>H22/'- 3 -'!$D22*100</f>
        <v>0.83795415716047139</v>
      </c>
      <c r="J22" s="27">
        <f>H22/'- 7 -'!$E22</f>
        <v>97.525555839509323</v>
      </c>
    </row>
    <row r="23" spans="1:10" ht="14.1" customHeight="1">
      <c r="A23" s="330" t="s">
        <v>249</v>
      </c>
      <c r="B23" s="331">
        <v>103624</v>
      </c>
      <c r="C23" s="337">
        <f>B23/'- 3 -'!$D23*100</f>
        <v>0.67834080917396644</v>
      </c>
      <c r="D23" s="331">
        <f>B23/'- 7 -'!$E23</f>
        <v>86.823627984918303</v>
      </c>
      <c r="E23" s="331">
        <v>0</v>
      </c>
      <c r="F23" s="337">
        <f>E23/'- 3 -'!$D23*100</f>
        <v>0</v>
      </c>
      <c r="G23" s="331">
        <f>E23/'- 7 -'!$E23</f>
        <v>0</v>
      </c>
      <c r="H23" s="331">
        <v>185738</v>
      </c>
      <c r="I23" s="337">
        <f>H23/'- 3 -'!$D23*100</f>
        <v>1.2158734001230811</v>
      </c>
      <c r="J23" s="331">
        <f>H23/'- 7 -'!$E23</f>
        <v>155.62463343108504</v>
      </c>
    </row>
    <row r="24" spans="1:10" ht="14.1" customHeight="1">
      <c r="A24" s="26" t="s">
        <v>250</v>
      </c>
      <c r="B24" s="27">
        <v>175388</v>
      </c>
      <c r="C24" s="79">
        <f>B24/'- 3 -'!$D24*100</f>
        <v>0.35760049067612198</v>
      </c>
      <c r="D24" s="27">
        <f>B24/'- 7 -'!$E24</f>
        <v>40.491284774327603</v>
      </c>
      <c r="E24" s="27">
        <v>0</v>
      </c>
      <c r="F24" s="79">
        <f>E24/'- 3 -'!$D24*100</f>
        <v>0</v>
      </c>
      <c r="G24" s="27">
        <f>E24/'- 7 -'!$E24</f>
        <v>0</v>
      </c>
      <c r="H24" s="27">
        <v>1103064</v>
      </c>
      <c r="I24" s="79">
        <f>H24/'- 3 -'!$D24*100</f>
        <v>2.2490491233560213</v>
      </c>
      <c r="J24" s="27">
        <f>H24/'- 7 -'!$E24</f>
        <v>254.66097194967102</v>
      </c>
    </row>
    <row r="25" spans="1:10" ht="14.1" customHeight="1">
      <c r="A25" s="330" t="s">
        <v>251</v>
      </c>
      <c r="B25" s="331">
        <v>990710</v>
      </c>
      <c r="C25" s="337">
        <f>B25/'- 3 -'!$D25*100</f>
        <v>0.68171163202305551</v>
      </c>
      <c r="D25" s="331">
        <f>B25/'- 7 -'!$E25</f>
        <v>71.894775036284472</v>
      </c>
      <c r="E25" s="331">
        <v>0</v>
      </c>
      <c r="F25" s="337">
        <f>E25/'- 3 -'!$D25*100</f>
        <v>0</v>
      </c>
      <c r="G25" s="331">
        <f>E25/'- 7 -'!$E25</f>
        <v>0</v>
      </c>
      <c r="H25" s="331">
        <v>2721754</v>
      </c>
      <c r="I25" s="337">
        <f>H25/'- 3 -'!$D25*100</f>
        <v>1.8728501390974952</v>
      </c>
      <c r="J25" s="331">
        <f>H25/'- 7 -'!$E25</f>
        <v>197.51480406386068</v>
      </c>
    </row>
    <row r="26" spans="1:10" ht="14.1" customHeight="1">
      <c r="A26" s="26" t="s">
        <v>252</v>
      </c>
      <c r="B26" s="27">
        <v>152433</v>
      </c>
      <c r="C26" s="79">
        <f>B26/'- 3 -'!$D26*100</f>
        <v>0.4240349153319668</v>
      </c>
      <c r="D26" s="27">
        <f>B26/'- 7 -'!$E26</f>
        <v>49.037477883223417</v>
      </c>
      <c r="E26" s="27">
        <v>2178</v>
      </c>
      <c r="F26" s="79">
        <f>E26/'- 3 -'!$D26*100</f>
        <v>6.0587146194919974E-3</v>
      </c>
      <c r="G26" s="27">
        <f>E26/'- 7 -'!$E26</f>
        <v>0.70065948206530482</v>
      </c>
      <c r="H26" s="27">
        <v>493857</v>
      </c>
      <c r="I26" s="79">
        <f>H26/'- 3 -'!$D26*100</f>
        <v>1.3738010219643984</v>
      </c>
      <c r="J26" s="27">
        <f>H26/'- 7 -'!$E26</f>
        <v>158.87308991474987</v>
      </c>
    </row>
    <row r="27" spans="1:10" ht="14.1" customHeight="1">
      <c r="A27" s="330" t="s">
        <v>253</v>
      </c>
      <c r="B27" s="331">
        <v>306696</v>
      </c>
      <c r="C27" s="337">
        <f>B27/'- 3 -'!$D27*100</f>
        <v>0.76956951471322188</v>
      </c>
      <c r="D27" s="331">
        <f>B27/'- 7 -'!$E27</f>
        <v>109.71845597968017</v>
      </c>
      <c r="E27" s="331">
        <v>0</v>
      </c>
      <c r="F27" s="337">
        <f>E27/'- 3 -'!$D27*100</f>
        <v>0</v>
      </c>
      <c r="G27" s="331">
        <f>E27/'- 7 -'!$E27</f>
        <v>0</v>
      </c>
      <c r="H27" s="331">
        <v>531791</v>
      </c>
      <c r="I27" s="337">
        <f>H27/'- 3 -'!$D27*100</f>
        <v>1.334383695251516</v>
      </c>
      <c r="J27" s="331">
        <f>H27/'- 7 -'!$E27</f>
        <v>190.24469645476333</v>
      </c>
    </row>
    <row r="28" spans="1:10" ht="14.1" customHeight="1">
      <c r="A28" s="26" t="s">
        <v>254</v>
      </c>
      <c r="B28" s="27">
        <v>119338</v>
      </c>
      <c r="C28" s="79">
        <f>B28/'- 3 -'!$D28*100</f>
        <v>0.48172858123711221</v>
      </c>
      <c r="D28" s="27">
        <f>B28/'- 7 -'!$E28</f>
        <v>59.579630554168745</v>
      </c>
      <c r="E28" s="27">
        <v>0</v>
      </c>
      <c r="F28" s="79">
        <f>E28/'- 3 -'!$D28*100</f>
        <v>0</v>
      </c>
      <c r="G28" s="27">
        <f>E28/'- 7 -'!$E28</f>
        <v>0</v>
      </c>
      <c r="H28" s="27">
        <v>387879</v>
      </c>
      <c r="I28" s="79">
        <f>H28/'- 3 -'!$D28*100</f>
        <v>1.5657410075723559</v>
      </c>
      <c r="J28" s="27">
        <f>H28/'- 7 -'!$E28</f>
        <v>193.64902646030953</v>
      </c>
    </row>
    <row r="29" spans="1:10" ht="14.1" customHeight="1">
      <c r="A29" s="330" t="s">
        <v>255</v>
      </c>
      <c r="B29" s="331">
        <v>527581</v>
      </c>
      <c r="C29" s="337">
        <f>B29/'- 3 -'!$D29*100</f>
        <v>0.39112537770145794</v>
      </c>
      <c r="D29" s="331">
        <f>B29/'- 7 -'!$E29</f>
        <v>43.299711106004402</v>
      </c>
      <c r="E29" s="331">
        <v>0</v>
      </c>
      <c r="F29" s="337">
        <f>E29/'- 3 -'!$D29*100</f>
        <v>0</v>
      </c>
      <c r="G29" s="331">
        <f>E29/'- 7 -'!$E29</f>
        <v>0</v>
      </c>
      <c r="H29" s="331">
        <v>2640912</v>
      </c>
      <c r="I29" s="337">
        <f>H29/'- 3 -'!$D29*100</f>
        <v>1.9578561462151078</v>
      </c>
      <c r="J29" s="331">
        <f>H29/'- 7 -'!$E29</f>
        <v>216.74534650865041</v>
      </c>
    </row>
    <row r="30" spans="1:10" ht="14.1" customHeight="1">
      <c r="A30" s="26" t="s">
        <v>256</v>
      </c>
      <c r="B30" s="27">
        <v>122578</v>
      </c>
      <c r="C30" s="79">
        <f>B30/'- 3 -'!$D30*100</f>
        <v>0.95135144868090005</v>
      </c>
      <c r="D30" s="27">
        <f>B30/'- 7 -'!$E30</f>
        <v>111.63752276867031</v>
      </c>
      <c r="E30" s="27">
        <v>0</v>
      </c>
      <c r="F30" s="79">
        <f>E30/'- 3 -'!$D30*100</f>
        <v>0</v>
      </c>
      <c r="G30" s="27">
        <f>E30/'- 7 -'!$E30</f>
        <v>0</v>
      </c>
      <c r="H30" s="27">
        <v>117905</v>
      </c>
      <c r="I30" s="79">
        <f>H30/'- 3 -'!$D30*100</f>
        <v>0.91508339634128066</v>
      </c>
      <c r="J30" s="27">
        <f>H30/'- 7 -'!$E30</f>
        <v>107.3816029143898</v>
      </c>
    </row>
    <row r="31" spans="1:10" ht="14.1" customHeight="1">
      <c r="A31" s="330" t="s">
        <v>257</v>
      </c>
      <c r="B31" s="331">
        <v>114090</v>
      </c>
      <c r="C31" s="337">
        <f>B31/'- 3 -'!$D31*100</f>
        <v>0.35600839604409734</v>
      </c>
      <c r="D31" s="331">
        <f>B31/'- 7 -'!$E31</f>
        <v>35.669845239956231</v>
      </c>
      <c r="E31" s="331">
        <v>0</v>
      </c>
      <c r="F31" s="337">
        <f>E31/'- 3 -'!$D31*100</f>
        <v>0</v>
      </c>
      <c r="G31" s="331">
        <f>E31/'- 7 -'!$E31</f>
        <v>0</v>
      </c>
      <c r="H31" s="331">
        <v>406289</v>
      </c>
      <c r="I31" s="337">
        <f>H31/'- 3 -'!$D31*100</f>
        <v>1.2677911755663096</v>
      </c>
      <c r="J31" s="331">
        <f>H31/'- 7 -'!$E31</f>
        <v>127.0248554009692</v>
      </c>
    </row>
    <row r="32" spans="1:10" ht="14.1" customHeight="1">
      <c r="A32" s="26" t="s">
        <v>258</v>
      </c>
      <c r="B32" s="27">
        <v>125431</v>
      </c>
      <c r="C32" s="79">
        <f>B32/'- 3 -'!$D32*100</f>
        <v>0.52995647741249119</v>
      </c>
      <c r="D32" s="27">
        <f>B32/'- 7 -'!$E32</f>
        <v>60.815030303030305</v>
      </c>
      <c r="E32" s="27">
        <v>0</v>
      </c>
      <c r="F32" s="79">
        <f>E32/'- 3 -'!$D32*100</f>
        <v>0</v>
      </c>
      <c r="G32" s="27">
        <f>E32/'- 7 -'!$E32</f>
        <v>0</v>
      </c>
      <c r="H32" s="27">
        <v>275217</v>
      </c>
      <c r="I32" s="79">
        <f>H32/'- 3 -'!$D32*100</f>
        <v>1.1628148690836682</v>
      </c>
      <c r="J32" s="27">
        <f>H32/'- 7 -'!$E32</f>
        <v>133.43854545454545</v>
      </c>
    </row>
    <row r="33" spans="1:10" ht="14.1" customHeight="1">
      <c r="A33" s="330" t="s">
        <v>259</v>
      </c>
      <c r="B33" s="331">
        <v>174323</v>
      </c>
      <c r="C33" s="337">
        <f>B33/'- 3 -'!$D33*100</f>
        <v>0.71179310467604739</v>
      </c>
      <c r="D33" s="331">
        <f>B33/'- 7 -'!$E33</f>
        <v>85.557300613496935</v>
      </c>
      <c r="E33" s="331">
        <v>0</v>
      </c>
      <c r="F33" s="337">
        <f>E33/'- 3 -'!$D33*100</f>
        <v>0</v>
      </c>
      <c r="G33" s="331">
        <f>E33/'- 7 -'!$E33</f>
        <v>0</v>
      </c>
      <c r="H33" s="331">
        <v>317706</v>
      </c>
      <c r="I33" s="337">
        <f>H33/'- 3 -'!$D33*100</f>
        <v>1.2972524573017234</v>
      </c>
      <c r="J33" s="331">
        <f>H33/'- 7 -'!$E33</f>
        <v>155.92932515337424</v>
      </c>
    </row>
    <row r="34" spans="1:10" ht="14.1" customHeight="1">
      <c r="A34" s="26" t="s">
        <v>260</v>
      </c>
      <c r="B34" s="27">
        <v>167629</v>
      </c>
      <c r="C34" s="79">
        <f>B34/'- 3 -'!$D34*100</f>
        <v>0.74077868001228175</v>
      </c>
      <c r="D34" s="27">
        <f>B34/'- 7 -'!$E34</f>
        <v>84.096222344855263</v>
      </c>
      <c r="E34" s="27">
        <v>0</v>
      </c>
      <c r="F34" s="79">
        <f>E34/'- 3 -'!$D34*100</f>
        <v>0</v>
      </c>
      <c r="G34" s="27">
        <f>E34/'- 7 -'!$E34</f>
        <v>0</v>
      </c>
      <c r="H34" s="27">
        <v>309500</v>
      </c>
      <c r="I34" s="79">
        <f>H34/'- 3 -'!$D34*100</f>
        <v>1.3677287430206062</v>
      </c>
      <c r="J34" s="27">
        <f>H34/'- 7 -'!$E34</f>
        <v>155.2701550193147</v>
      </c>
    </row>
    <row r="35" spans="1:10" ht="14.1" customHeight="1">
      <c r="A35" s="330" t="s">
        <v>261</v>
      </c>
      <c r="B35" s="331">
        <v>869910</v>
      </c>
      <c r="C35" s="337">
        <f>B35/'- 3 -'!$D35*100</f>
        <v>0.54068992347495082</v>
      </c>
      <c r="D35" s="331">
        <f>B35/'- 7 -'!$E35</f>
        <v>55.178078716184075</v>
      </c>
      <c r="E35" s="331">
        <v>0</v>
      </c>
      <c r="F35" s="337">
        <f>E35/'- 3 -'!$D35*100</f>
        <v>0</v>
      </c>
      <c r="G35" s="331">
        <f>E35/'- 7 -'!$E35</f>
        <v>0</v>
      </c>
      <c r="H35" s="331">
        <v>2861926</v>
      </c>
      <c r="I35" s="337">
        <f>H35/'- 3 -'!$D35*100</f>
        <v>1.7788214297237321</v>
      </c>
      <c r="J35" s="331">
        <f>H35/'- 7 -'!$E35</f>
        <v>181.53093780723731</v>
      </c>
    </row>
    <row r="36" spans="1:10" ht="14.1" customHeight="1">
      <c r="A36" s="26" t="s">
        <v>262</v>
      </c>
      <c r="B36" s="27">
        <v>158283</v>
      </c>
      <c r="C36" s="79">
        <f>B36/'- 3 -'!$D36*100</f>
        <v>0.77720417146661014</v>
      </c>
      <c r="D36" s="27">
        <f>B36/'- 7 -'!$E36</f>
        <v>94.837028160575201</v>
      </c>
      <c r="E36" s="27">
        <v>0</v>
      </c>
      <c r="F36" s="79">
        <f>E36/'- 3 -'!$D36*100</f>
        <v>0</v>
      </c>
      <c r="G36" s="27">
        <f>E36/'- 7 -'!$E36</f>
        <v>0</v>
      </c>
      <c r="H36" s="27">
        <v>253864</v>
      </c>
      <c r="I36" s="79">
        <f>H36/'- 3 -'!$D36*100</f>
        <v>1.2465278001124538</v>
      </c>
      <c r="J36" s="27">
        <f>H36/'- 7 -'!$E36</f>
        <v>152.10545236668665</v>
      </c>
    </row>
    <row r="37" spans="1:10" ht="14.1" customHeight="1">
      <c r="A37" s="330" t="s">
        <v>263</v>
      </c>
      <c r="B37" s="331">
        <v>252855</v>
      </c>
      <c r="C37" s="337">
        <f>B37/'- 3 -'!$D37*100</f>
        <v>0.67416963393646034</v>
      </c>
      <c r="D37" s="331">
        <f>B37/'- 7 -'!$E37</f>
        <v>68.757307953772937</v>
      </c>
      <c r="E37" s="331">
        <v>0</v>
      </c>
      <c r="F37" s="337">
        <f>E37/'- 3 -'!$D37*100</f>
        <v>0</v>
      </c>
      <c r="G37" s="331">
        <f>E37/'- 7 -'!$E37</f>
        <v>0</v>
      </c>
      <c r="H37" s="331">
        <v>664144</v>
      </c>
      <c r="I37" s="337">
        <f>H37/'- 3 -'!$D37*100</f>
        <v>1.7707607813216923</v>
      </c>
      <c r="J37" s="331">
        <f>H37/'- 7 -'!$E37</f>
        <v>180.59660095173351</v>
      </c>
    </row>
    <row r="38" spans="1:10" ht="14.1" customHeight="1">
      <c r="A38" s="26" t="s">
        <v>264</v>
      </c>
      <c r="B38" s="27">
        <v>427591</v>
      </c>
      <c r="C38" s="79">
        <f>B38/'- 3 -'!$D38*100</f>
        <v>0.41646929168293029</v>
      </c>
      <c r="D38" s="27">
        <f>B38/'- 7 -'!$E38</f>
        <v>42.095672206032923</v>
      </c>
      <c r="E38" s="27">
        <v>0</v>
      </c>
      <c r="F38" s="79">
        <f>E38/'- 3 -'!$D38*100</f>
        <v>0</v>
      </c>
      <c r="G38" s="27">
        <f>E38/'- 7 -'!$E38</f>
        <v>0</v>
      </c>
      <c r="H38" s="27">
        <v>1624715</v>
      </c>
      <c r="I38" s="79">
        <f>H38/'- 3 -'!$D38*100</f>
        <v>1.582455910523449</v>
      </c>
      <c r="J38" s="27">
        <f>H38/'- 7 -'!$E38</f>
        <v>159.95067732535244</v>
      </c>
    </row>
    <row r="39" spans="1:10" ht="14.1" customHeight="1">
      <c r="A39" s="330" t="s">
        <v>265</v>
      </c>
      <c r="B39" s="331">
        <v>152776</v>
      </c>
      <c r="C39" s="337">
        <f>B39/'- 3 -'!$D39*100</f>
        <v>0.80410435545648418</v>
      </c>
      <c r="D39" s="331">
        <f>B39/'- 7 -'!$E39</f>
        <v>96.139953432760691</v>
      </c>
      <c r="E39" s="331">
        <v>2892</v>
      </c>
      <c r="F39" s="337">
        <f>E39/'- 3 -'!$D39*100</f>
        <v>1.5221433968556266E-2</v>
      </c>
      <c r="G39" s="331">
        <f>E39/'- 7 -'!$E39</f>
        <v>1.819898055503115</v>
      </c>
      <c r="H39" s="331">
        <v>209433</v>
      </c>
      <c r="I39" s="337">
        <f>H39/'- 3 -'!$D39*100</f>
        <v>1.1023065630486322</v>
      </c>
      <c r="J39" s="331">
        <f>H39/'- 7 -'!$E39</f>
        <v>131.79346800075515</v>
      </c>
    </row>
    <row r="40" spans="1:10" ht="14.1" customHeight="1">
      <c r="A40" s="26" t="s">
        <v>266</v>
      </c>
      <c r="B40" s="27">
        <v>243884</v>
      </c>
      <c r="C40" s="79">
        <f>B40/'- 3 -'!$D40*100</f>
        <v>0.26845124006852372</v>
      </c>
      <c r="D40" s="27">
        <f>B40/'- 7 -'!$E40</f>
        <v>29.745578729113305</v>
      </c>
      <c r="E40" s="27">
        <v>0</v>
      </c>
      <c r="F40" s="79">
        <f>E40/'- 3 -'!$D40*100</f>
        <v>0</v>
      </c>
      <c r="G40" s="27">
        <f>E40/'- 7 -'!$E40</f>
        <v>0</v>
      </c>
      <c r="H40" s="27">
        <v>1801258</v>
      </c>
      <c r="I40" s="79">
        <f>H40/'- 3 -'!$D40*100</f>
        <v>1.9827046619841766</v>
      </c>
      <c r="J40" s="27">
        <f>H40/'- 7 -'!$E40</f>
        <v>219.69240151237955</v>
      </c>
    </row>
    <row r="41" spans="1:10" ht="14.1" customHeight="1">
      <c r="A41" s="330" t="s">
        <v>267</v>
      </c>
      <c r="B41" s="331">
        <v>305664</v>
      </c>
      <c r="C41" s="337">
        <f>B41/'- 3 -'!$D41*100</f>
        <v>0.5535748129835012</v>
      </c>
      <c r="D41" s="331">
        <f>B41/'- 7 -'!$E41</f>
        <v>67.215832875206161</v>
      </c>
      <c r="E41" s="331">
        <v>124031</v>
      </c>
      <c r="F41" s="337">
        <f>E41/'- 3 -'!$D41*100</f>
        <v>0.22462716456356208</v>
      </c>
      <c r="G41" s="331">
        <f>E41/'- 7 -'!$E41</f>
        <v>27.274546454095656</v>
      </c>
      <c r="H41" s="331">
        <v>942649</v>
      </c>
      <c r="I41" s="337">
        <f>H41/'- 3 -'!$D41*100</f>
        <v>1.7071907188418798</v>
      </c>
      <c r="J41" s="331">
        <f>H41/'- 7 -'!$E41</f>
        <v>207.2894997251237</v>
      </c>
    </row>
    <row r="42" spans="1:10" ht="14.1" customHeight="1">
      <c r="A42" s="26" t="s">
        <v>268</v>
      </c>
      <c r="B42" s="27">
        <v>143795</v>
      </c>
      <c r="C42" s="79">
        <f>B42/'- 3 -'!$D42*100</f>
        <v>0.74929046812064648</v>
      </c>
      <c r="D42" s="27">
        <f>B42/'- 7 -'!$E42</f>
        <v>98.234048367263284</v>
      </c>
      <c r="E42" s="27">
        <v>0</v>
      </c>
      <c r="F42" s="79">
        <f>E42/'- 3 -'!$D42*100</f>
        <v>0</v>
      </c>
      <c r="G42" s="27">
        <f>E42/'- 7 -'!$E42</f>
        <v>0</v>
      </c>
      <c r="H42" s="27">
        <v>265234</v>
      </c>
      <c r="I42" s="79">
        <f>H42/'- 3 -'!$D42*100</f>
        <v>1.3820877500713622</v>
      </c>
      <c r="J42" s="27">
        <f>H42/'- 7 -'!$E42</f>
        <v>181.19551851345813</v>
      </c>
    </row>
    <row r="43" spans="1:10" ht="14.1" customHeight="1">
      <c r="A43" s="330" t="s">
        <v>269</v>
      </c>
      <c r="B43" s="331">
        <v>166473</v>
      </c>
      <c r="C43" s="337">
        <f>B43/'- 3 -'!$D43*100</f>
        <v>1.4719040880831233</v>
      </c>
      <c r="D43" s="331">
        <f>B43/'- 7 -'!$E43</f>
        <v>171.12767269736841</v>
      </c>
      <c r="E43" s="331">
        <v>1143</v>
      </c>
      <c r="F43" s="337">
        <f>E43/'- 3 -'!$D43*100</f>
        <v>1.0106061479513253E-2</v>
      </c>
      <c r="G43" s="331">
        <f>E43/'- 7 -'!$E43</f>
        <v>1.1749588815789473</v>
      </c>
      <c r="H43" s="331">
        <v>207020</v>
      </c>
      <c r="I43" s="337">
        <f>H43/'- 3 -'!$D43*100</f>
        <v>1.8304084404976675</v>
      </c>
      <c r="J43" s="331">
        <f>H43/'- 7 -'!$E43</f>
        <v>212.80838815789471</v>
      </c>
    </row>
    <row r="44" spans="1:10" ht="14.1" customHeight="1">
      <c r="A44" s="26" t="s">
        <v>270</v>
      </c>
      <c r="B44" s="27">
        <v>67448</v>
      </c>
      <c r="C44" s="79">
        <f>B44/'- 3 -'!$D44*100</f>
        <v>0.69686058355978098</v>
      </c>
      <c r="D44" s="27">
        <f>B44/'- 7 -'!$E44</f>
        <v>94.266946191474489</v>
      </c>
      <c r="E44" s="27">
        <v>0</v>
      </c>
      <c r="F44" s="79">
        <f>E44/'- 3 -'!$D44*100</f>
        <v>0</v>
      </c>
      <c r="G44" s="27">
        <f>E44/'- 7 -'!$E44</f>
        <v>0</v>
      </c>
      <c r="H44" s="27">
        <v>119314</v>
      </c>
      <c r="I44" s="79">
        <f>H44/'- 3 -'!$D44*100</f>
        <v>1.2327307506056771</v>
      </c>
      <c r="J44" s="27">
        <f>H44/'- 7 -'!$E44</f>
        <v>166.75611460517121</v>
      </c>
    </row>
    <row r="45" spans="1:10" ht="14.1" customHeight="1">
      <c r="A45" s="330" t="s">
        <v>271</v>
      </c>
      <c r="B45" s="331">
        <v>93039</v>
      </c>
      <c r="C45" s="337">
        <f>B45/'- 3 -'!$D45*100</f>
        <v>0.59941301475967323</v>
      </c>
      <c r="D45" s="331">
        <f>B45/'- 7 -'!$E45</f>
        <v>56.149064574532289</v>
      </c>
      <c r="E45" s="331">
        <v>0</v>
      </c>
      <c r="F45" s="337">
        <f>E45/'- 3 -'!$D45*100</f>
        <v>0</v>
      </c>
      <c r="G45" s="331">
        <f>E45/'- 7 -'!$E45</f>
        <v>0</v>
      </c>
      <c r="H45" s="331">
        <v>198248</v>
      </c>
      <c r="I45" s="337">
        <f>H45/'- 3 -'!$D45*100</f>
        <v>1.2772324654185419</v>
      </c>
      <c r="J45" s="331">
        <f>H45/'- 7 -'!$E45</f>
        <v>119.64272782136391</v>
      </c>
    </row>
    <row r="46" spans="1:10" ht="14.1" customHeight="1">
      <c r="A46" s="26" t="s">
        <v>272</v>
      </c>
      <c r="B46" s="27">
        <v>757727</v>
      </c>
      <c r="C46" s="79">
        <f>B46/'- 3 -'!$D46*100</f>
        <v>0.22547922939831572</v>
      </c>
      <c r="D46" s="27">
        <f>B46/'- 7 -'!$E46</f>
        <v>25.051559343663936</v>
      </c>
      <c r="E46" s="27">
        <v>107132</v>
      </c>
      <c r="F46" s="79">
        <f>E46/'- 3 -'!$D46*100</f>
        <v>3.187960941592468E-2</v>
      </c>
      <c r="G46" s="27">
        <f>E46/'- 7 -'!$E46</f>
        <v>3.5419401124750798</v>
      </c>
      <c r="H46" s="27">
        <v>10542910</v>
      </c>
      <c r="I46" s="79">
        <f>H46/'- 3 -'!$D46*100</f>
        <v>3.1372872055711314</v>
      </c>
      <c r="J46" s="27">
        <f>H46/'- 7 -'!$E46</f>
        <v>348.56397557419484</v>
      </c>
    </row>
    <row r="47" spans="1:10" ht="5.0999999999999996" customHeight="1">
      <c r="A47" s="28"/>
      <c r="B47" s="29"/>
      <c r="C47"/>
      <c r="D47" s="29"/>
      <c r="E47" s="29"/>
      <c r="F47"/>
      <c r="G47" s="29"/>
      <c r="H47"/>
      <c r="I47"/>
      <c r="J47"/>
    </row>
    <row r="48" spans="1:10" ht="14.1" customHeight="1">
      <c r="A48" s="332" t="s">
        <v>273</v>
      </c>
      <c r="B48" s="333">
        <f>SUM(B11:B46)</f>
        <v>9115407</v>
      </c>
      <c r="C48" s="340">
        <f>B48/'- 3 -'!$D48*100</f>
        <v>0.47276151123087745</v>
      </c>
      <c r="D48" s="333">
        <f>B48/'- 7 -'!$E48</f>
        <v>52.919474495635775</v>
      </c>
      <c r="E48" s="333">
        <f>SUM(E11:E46)</f>
        <v>242477</v>
      </c>
      <c r="F48" s="340">
        <f>E48/'- 3 -'!$D48*100</f>
        <v>1.2575828260738052E-2</v>
      </c>
      <c r="G48" s="333">
        <f>E48/'- 7 -'!$E48</f>
        <v>1.4076996690634085</v>
      </c>
      <c r="H48" s="333">
        <f>SUM(H11:H46)</f>
        <v>38249513</v>
      </c>
      <c r="I48" s="340">
        <f>H48/'- 3 -'!$D48*100</f>
        <v>1.9837729209156643</v>
      </c>
      <c r="J48" s="333">
        <f>H48/'- 7 -'!$E48</f>
        <v>222.05746026194871</v>
      </c>
    </row>
    <row r="49" spans="1:10" ht="5.0999999999999996" customHeight="1">
      <c r="A49" s="28" t="s">
        <v>18</v>
      </c>
      <c r="B49" s="29"/>
      <c r="C49"/>
      <c r="D49" s="29"/>
      <c r="E49" s="29"/>
      <c r="F49"/>
      <c r="H49"/>
      <c r="I49"/>
      <c r="J49"/>
    </row>
    <row r="50" spans="1:10" ht="14.1" customHeight="1">
      <c r="A50" s="26" t="s">
        <v>274</v>
      </c>
      <c r="B50" s="27">
        <v>33536</v>
      </c>
      <c r="C50" s="79">
        <f>B50/'- 3 -'!$D50*100</f>
        <v>1.0380943094564832</v>
      </c>
      <c r="D50" s="27">
        <f>B50/'- 7 -'!$E50</f>
        <v>185.28176795580112</v>
      </c>
      <c r="E50" s="27">
        <v>21113</v>
      </c>
      <c r="F50" s="79">
        <f>E50/'- 3 -'!$D50*100</f>
        <v>0.65354500106019597</v>
      </c>
      <c r="G50" s="27">
        <f>E50/'- 7 -'!$E50</f>
        <v>116.646408839779</v>
      </c>
      <c r="H50" s="27">
        <v>36239</v>
      </c>
      <c r="I50" s="79">
        <f>H50/'- 3 -'!$D50*100</f>
        <v>1.1217646612712755</v>
      </c>
      <c r="J50" s="27">
        <f>H50/'- 7 -'!$E50</f>
        <v>200.21546961325967</v>
      </c>
    </row>
    <row r="51" spans="1:10" ht="14.1" customHeight="1">
      <c r="A51" s="330" t="s">
        <v>275</v>
      </c>
      <c r="B51" s="331">
        <v>0</v>
      </c>
      <c r="C51" s="337">
        <f>B51/'- 3 -'!$D51*100</f>
        <v>0</v>
      </c>
      <c r="D51" s="331">
        <f>B51/'- 7 -'!$E51</f>
        <v>0</v>
      </c>
      <c r="E51" s="331">
        <v>0</v>
      </c>
      <c r="F51" s="337">
        <f>E51/'- 3 -'!$D51*100</f>
        <v>0</v>
      </c>
      <c r="G51" s="331">
        <f>E51/'- 7 -'!$E51</f>
        <v>0</v>
      </c>
      <c r="H51" s="331">
        <v>0</v>
      </c>
      <c r="I51" s="337">
        <f>H51/'- 3 -'!$D51*100</f>
        <v>0</v>
      </c>
      <c r="J51" s="331">
        <f>H51/'- 7 -'!$E51</f>
        <v>0</v>
      </c>
    </row>
    <row r="52" spans="1:10" ht="50.1" customHeight="1">
      <c r="A52" s="30"/>
      <c r="B52" s="30"/>
      <c r="C52" s="30"/>
      <c r="D52" s="30"/>
      <c r="E52" s="30"/>
      <c r="F52" s="30"/>
      <c r="G52" s="30"/>
      <c r="H52" s="30"/>
      <c r="I52" s="30"/>
      <c r="J52" s="30"/>
    </row>
    <row r="53" spans="1:10" ht="15" customHeight="1">
      <c r="A53" s="151" t="s">
        <v>708</v>
      </c>
      <c r="B53" s="3"/>
      <c r="C53" s="90"/>
      <c r="D53" s="90"/>
      <c r="E53" s="90"/>
      <c r="F53" s="90"/>
      <c r="G53" s="90"/>
      <c r="H53" s="90"/>
      <c r="I53" s="90"/>
      <c r="J53" s="90"/>
    </row>
    <row r="54" spans="1:10">
      <c r="A54" s="1" t="s">
        <v>603</v>
      </c>
    </row>
    <row r="55" spans="1:10">
      <c r="A55" s="1" t="s">
        <v>422</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I54"/>
  <sheetViews>
    <sheetView showGridLines="0" showZeros="0" workbookViewId="0"/>
  </sheetViews>
  <sheetFormatPr defaultColWidth="15.83203125" defaultRowHeight="12"/>
  <cols>
    <col min="1" max="1" width="32.83203125" style="1" customWidth="1"/>
    <col min="2" max="2" width="23.6640625" style="1" customWidth="1"/>
    <col min="3" max="3" width="8" style="1" customWidth="1"/>
    <col min="4" max="4" width="17.33203125" style="1" customWidth="1"/>
    <col min="5" max="5" width="7.83203125" style="1" customWidth="1"/>
    <col min="6" max="6" width="10" style="1" customWidth="1"/>
    <col min="7" max="7" width="17.1640625" style="1" customWidth="1"/>
    <col min="8" max="8" width="8.5" style="1" customWidth="1"/>
    <col min="9" max="9" width="10" style="1" customWidth="1"/>
    <col min="10" max="16384" width="15.83203125" style="1"/>
  </cols>
  <sheetData>
    <row r="1" spans="1:9" ht="6.95" customHeight="1">
      <c r="A1" s="6"/>
      <c r="B1" s="6"/>
      <c r="C1" s="7"/>
      <c r="D1" s="7"/>
      <c r="E1" s="7"/>
      <c r="F1" s="7"/>
      <c r="G1" s="7"/>
      <c r="H1" s="7"/>
      <c r="I1" s="7"/>
    </row>
    <row r="2" spans="1:9" ht="15.95" customHeight="1">
      <c r="A2" s="152"/>
      <c r="B2" s="152"/>
      <c r="C2" s="8" t="s">
        <v>483</v>
      </c>
      <c r="D2" s="9"/>
      <c r="E2" s="9"/>
      <c r="F2" s="9"/>
      <c r="G2" s="82"/>
      <c r="H2" s="82"/>
      <c r="I2" s="153" t="s">
        <v>454</v>
      </c>
    </row>
    <row r="3" spans="1:9" ht="15.95" customHeight="1">
      <c r="A3" s="154"/>
      <c r="B3" s="154"/>
      <c r="C3" s="10" t="str">
        <f>OPYEAR</f>
        <v>OPERATING FUND 2011/2012 ACTUAL</v>
      </c>
      <c r="D3" s="11"/>
      <c r="E3" s="11"/>
      <c r="F3" s="11"/>
      <c r="G3" s="84"/>
      <c r="H3" s="84"/>
      <c r="I3" s="74"/>
    </row>
    <row r="4" spans="1:9" ht="15.95" customHeight="1">
      <c r="C4" s="7"/>
      <c r="D4" s="7"/>
      <c r="E4" s="7"/>
      <c r="F4" s="7"/>
      <c r="G4" s="7"/>
      <c r="H4" s="7"/>
      <c r="I4" s="7"/>
    </row>
    <row r="5" spans="1:9" ht="15.95" customHeight="1">
      <c r="B5" s="628" t="s">
        <v>433</v>
      </c>
      <c r="C5" s="317"/>
      <c r="D5" s="552"/>
      <c r="E5" s="552"/>
      <c r="F5" s="552"/>
      <c r="G5" s="552"/>
      <c r="H5" s="552"/>
      <c r="I5" s="553"/>
    </row>
    <row r="6" spans="1:9" ht="15.95" customHeight="1">
      <c r="B6" s="371" t="s">
        <v>127</v>
      </c>
      <c r="C6" s="373"/>
      <c r="D6" s="439" t="s">
        <v>77</v>
      </c>
      <c r="E6" s="439"/>
      <c r="F6" s="395"/>
      <c r="G6" s="394" t="s">
        <v>537</v>
      </c>
      <c r="H6" s="439"/>
      <c r="I6" s="395"/>
    </row>
    <row r="7" spans="1:9" ht="15.95" customHeight="1">
      <c r="B7" s="377" t="s">
        <v>441</v>
      </c>
      <c r="C7" s="379"/>
      <c r="D7" s="345" t="s">
        <v>671</v>
      </c>
      <c r="E7" s="345"/>
      <c r="F7" s="346"/>
      <c r="G7" s="344" t="s">
        <v>154</v>
      </c>
      <c r="H7" s="345"/>
      <c r="I7" s="346"/>
    </row>
    <row r="8" spans="1:9" ht="15.95" customHeight="1">
      <c r="A8" s="75"/>
      <c r="B8" s="155"/>
      <c r="C8" s="157"/>
      <c r="D8" s="155"/>
      <c r="E8" s="157"/>
      <c r="F8" s="157" t="s">
        <v>75</v>
      </c>
      <c r="G8" s="155"/>
      <c r="H8" s="157"/>
      <c r="I8" s="157" t="s">
        <v>75</v>
      </c>
    </row>
    <row r="9" spans="1:9" ht="15.95" customHeight="1">
      <c r="A9" s="42" t="s">
        <v>95</v>
      </c>
      <c r="B9" s="87" t="s">
        <v>96</v>
      </c>
      <c r="C9" s="87" t="s">
        <v>97</v>
      </c>
      <c r="D9" s="87" t="s">
        <v>96</v>
      </c>
      <c r="E9" s="87" t="s">
        <v>97</v>
      </c>
      <c r="F9" s="87" t="s">
        <v>98</v>
      </c>
      <c r="G9" s="87" t="s">
        <v>96</v>
      </c>
      <c r="H9" s="87" t="s">
        <v>97</v>
      </c>
      <c r="I9" s="87" t="s">
        <v>98</v>
      </c>
    </row>
    <row r="10" spans="1:9" ht="5.0999999999999996" customHeight="1">
      <c r="A10" s="5"/>
    </row>
    <row r="11" spans="1:9" ht="14.1" customHeight="1">
      <c r="A11" s="330" t="s">
        <v>238</v>
      </c>
      <c r="B11" s="331">
        <v>472974</v>
      </c>
      <c r="C11" s="337">
        <f>B11/'- 3 -'!$D11*100</f>
        <v>3.1422699398119249</v>
      </c>
      <c r="D11" s="331">
        <v>477302</v>
      </c>
      <c r="E11" s="337">
        <f>D11/'- 3 -'!$D11*100</f>
        <v>3.1710236224657415</v>
      </c>
      <c r="F11" s="331">
        <f>D11/'- 7 -'!$E11</f>
        <v>333.19511343804538</v>
      </c>
      <c r="G11" s="331">
        <v>626272</v>
      </c>
      <c r="H11" s="337">
        <f>G11/'- 3 -'!$D11*100</f>
        <v>4.1607269738841755</v>
      </c>
      <c r="I11" s="331">
        <f>G11/'- 7 -'!$E11</f>
        <v>437.18813263525306</v>
      </c>
    </row>
    <row r="12" spans="1:9" ht="14.1" customHeight="1">
      <c r="A12" s="26" t="s">
        <v>239</v>
      </c>
      <c r="B12" s="27">
        <v>0</v>
      </c>
      <c r="C12" s="79">
        <f>B12/'- 3 -'!$D12*100</f>
        <v>0</v>
      </c>
      <c r="D12" s="27">
        <v>2105755</v>
      </c>
      <c r="E12" s="79">
        <f>D12/'- 3 -'!$D12*100</f>
        <v>7.3636386398077764</v>
      </c>
      <c r="F12" s="27">
        <f>D12/'- 7 -'!$E12</f>
        <v>900.15688319682658</v>
      </c>
      <c r="G12" s="27">
        <v>1082484</v>
      </c>
      <c r="H12" s="79">
        <f>G12/'- 3 -'!$D12*100</f>
        <v>3.7853506269122859</v>
      </c>
      <c r="I12" s="27">
        <f>G12/'- 7 -'!$E12</f>
        <v>462.73446984593818</v>
      </c>
    </row>
    <row r="13" spans="1:9" ht="14.1" customHeight="1">
      <c r="A13" s="330" t="s">
        <v>240</v>
      </c>
      <c r="B13" s="331">
        <v>2611944</v>
      </c>
      <c r="C13" s="337">
        <f>B13/'- 3 -'!$D13*100</f>
        <v>3.5553329749611535</v>
      </c>
      <c r="D13" s="331">
        <v>6500437</v>
      </c>
      <c r="E13" s="337">
        <f>D13/'- 3 -'!$D13*100</f>
        <v>8.848282358947035</v>
      </c>
      <c r="F13" s="331">
        <f>D13/'- 7 -'!$E13</f>
        <v>854.30897621238012</v>
      </c>
      <c r="G13" s="331">
        <v>3792695</v>
      </c>
      <c r="H13" s="337">
        <f>G13/'- 3 -'!$D13*100</f>
        <v>5.1625508041023433</v>
      </c>
      <c r="I13" s="331">
        <f>G13/'- 7 -'!$E13</f>
        <v>498.44854777237481</v>
      </c>
    </row>
    <row r="14" spans="1:9" ht="14.1" customHeight="1">
      <c r="A14" s="26" t="s">
        <v>653</v>
      </c>
      <c r="B14" s="27">
        <v>728530</v>
      </c>
      <c r="C14" s="79">
        <f>B14/'- 3 -'!$D14*100</f>
        <v>1.0958110665471217</v>
      </c>
      <c r="D14" s="27">
        <v>3241551</v>
      </c>
      <c r="E14" s="79">
        <f>D14/'- 3 -'!$D14*100</f>
        <v>4.8757463091113458</v>
      </c>
      <c r="F14" s="27">
        <f>D14/'- 7 -'!$E14</f>
        <v>654.59430533117927</v>
      </c>
      <c r="G14" s="27">
        <v>2501581</v>
      </c>
      <c r="H14" s="79">
        <f>G14/'- 3 -'!$D14*100</f>
        <v>3.7627278817125105</v>
      </c>
      <c r="I14" s="27">
        <f>G14/'- 7 -'!$E14</f>
        <v>505.16579159935378</v>
      </c>
    </row>
    <row r="15" spans="1:9" ht="14.1" customHeight="1">
      <c r="A15" s="330" t="s">
        <v>241</v>
      </c>
      <c r="B15" s="331">
        <v>0</v>
      </c>
      <c r="C15" s="337">
        <f>B15/'- 3 -'!$D15*100</f>
        <v>0</v>
      </c>
      <c r="D15" s="331">
        <v>1079891</v>
      </c>
      <c r="E15" s="337">
        <f>D15/'- 3 -'!$D15*100</f>
        <v>5.8997899298886702</v>
      </c>
      <c r="F15" s="331">
        <f>D15/'- 7 -'!$E15</f>
        <v>704.42987606001304</v>
      </c>
      <c r="G15" s="331">
        <v>1103239</v>
      </c>
      <c r="H15" s="337">
        <f>G15/'- 3 -'!$D15*100</f>
        <v>6.0273475216113912</v>
      </c>
      <c r="I15" s="331">
        <f>G15/'- 7 -'!$E15</f>
        <v>719.66014350945852</v>
      </c>
    </row>
    <row r="16" spans="1:9" ht="14.1" customHeight="1">
      <c r="A16" s="26" t="s">
        <v>242</v>
      </c>
      <c r="B16" s="27">
        <v>80106</v>
      </c>
      <c r="C16" s="79">
        <f>B16/'- 3 -'!$D16*100</f>
        <v>0.63584284856580153</v>
      </c>
      <c r="D16" s="27">
        <v>919949</v>
      </c>
      <c r="E16" s="79">
        <f>D16/'- 3 -'!$D16*100</f>
        <v>7.3021121101448152</v>
      </c>
      <c r="F16" s="27">
        <f>D16/'- 7 -'!$E16</f>
        <v>929.71096513390603</v>
      </c>
      <c r="G16" s="27">
        <v>650365</v>
      </c>
      <c r="H16" s="79">
        <f>G16/'- 3 -'!$D16*100</f>
        <v>5.1622841510935196</v>
      </c>
      <c r="I16" s="27">
        <f>G16/'- 7 -'!$E16</f>
        <v>657.26629610914608</v>
      </c>
    </row>
    <row r="17" spans="1:9" ht="14.1" customHeight="1">
      <c r="A17" s="330" t="s">
        <v>243</v>
      </c>
      <c r="B17" s="331">
        <v>0</v>
      </c>
      <c r="C17" s="337">
        <f>B17/'- 3 -'!$D17*100</f>
        <v>0</v>
      </c>
      <c r="D17" s="331">
        <v>339503</v>
      </c>
      <c r="E17" s="337">
        <f>D17/'- 3 -'!$D17*100</f>
        <v>2.1325920312115749</v>
      </c>
      <c r="F17" s="331">
        <f>D17/'- 7 -'!$E17</f>
        <v>256.71304347826089</v>
      </c>
      <c r="G17" s="331">
        <v>1265123</v>
      </c>
      <c r="H17" s="337">
        <f>G17/'- 3 -'!$D17*100</f>
        <v>7.946884794250658</v>
      </c>
      <c r="I17" s="331">
        <f>G17/'- 7 -'!$E17</f>
        <v>956.6147448015123</v>
      </c>
    </row>
    <row r="18" spans="1:9" ht="14.1" customHeight="1">
      <c r="A18" s="26" t="s">
        <v>244</v>
      </c>
      <c r="B18" s="27">
        <v>0</v>
      </c>
      <c r="C18" s="79">
        <f>B18/'- 3 -'!$D18*100</f>
        <v>0</v>
      </c>
      <c r="D18" s="27">
        <v>8936940</v>
      </c>
      <c r="E18" s="79">
        <f>D18/'- 3 -'!$D18*100</f>
        <v>8.1997058417208688</v>
      </c>
      <c r="F18" s="27">
        <f>D18/'- 7 -'!$E18</f>
        <v>1546.1566408885658</v>
      </c>
      <c r="G18" s="27">
        <v>2914053</v>
      </c>
      <c r="H18" s="79">
        <f>G18/'- 3 -'!$D18*100</f>
        <v>2.6736642975318423</v>
      </c>
      <c r="I18" s="27">
        <f>G18/'- 7 -'!$E18</f>
        <v>504.15269632013286</v>
      </c>
    </row>
    <row r="19" spans="1:9" ht="14.1" customHeight="1">
      <c r="A19" s="330" t="s">
        <v>245</v>
      </c>
      <c r="B19" s="331">
        <v>1609854</v>
      </c>
      <c r="C19" s="337">
        <f>B19/'- 3 -'!$D19*100</f>
        <v>4.3363817090346686</v>
      </c>
      <c r="D19" s="331">
        <v>1496584</v>
      </c>
      <c r="E19" s="337">
        <f>D19/'- 3 -'!$D19*100</f>
        <v>4.0312720803463797</v>
      </c>
      <c r="F19" s="331">
        <f>D19/'- 7 -'!$E19</f>
        <v>361.45879625156994</v>
      </c>
      <c r="G19" s="331">
        <v>1945166</v>
      </c>
      <c r="H19" s="337">
        <f>G19/'- 3 -'!$D19*100</f>
        <v>5.2395945616410744</v>
      </c>
      <c r="I19" s="331">
        <f>G19/'- 7 -'!$E19</f>
        <v>469.80146845715393</v>
      </c>
    </row>
    <row r="20" spans="1:9" ht="14.1" customHeight="1">
      <c r="A20" s="26" t="s">
        <v>246</v>
      </c>
      <c r="B20" s="27">
        <v>522530</v>
      </c>
      <c r="C20" s="79">
        <f>B20/'- 3 -'!$D20*100</f>
        <v>0.83147251980378245</v>
      </c>
      <c r="D20" s="27">
        <v>3426963</v>
      </c>
      <c r="E20" s="79">
        <f>D20/'- 3 -'!$D20*100</f>
        <v>5.4531329509967463</v>
      </c>
      <c r="F20" s="27">
        <f>D20/'- 7 -'!$E20</f>
        <v>469.63998903659041</v>
      </c>
      <c r="G20" s="27">
        <v>3077202</v>
      </c>
      <c r="H20" s="79">
        <f>G20/'- 3 -'!$D20*100</f>
        <v>4.8965779972159282</v>
      </c>
      <c r="I20" s="27">
        <f>G20/'- 7 -'!$E20</f>
        <v>421.70782513361655</v>
      </c>
    </row>
    <row r="21" spans="1:9" ht="14.1" customHeight="1">
      <c r="A21" s="330" t="s">
        <v>247</v>
      </c>
      <c r="B21" s="331">
        <v>145526</v>
      </c>
      <c r="C21" s="337">
        <f>B21/'- 3 -'!$D21*100</f>
        <v>0.46278783639419946</v>
      </c>
      <c r="D21" s="331">
        <v>1942633</v>
      </c>
      <c r="E21" s="337">
        <f>D21/'- 3 -'!$D21*100</f>
        <v>6.1777752633754304</v>
      </c>
      <c r="F21" s="331">
        <f>D21/'- 7 -'!$E21</f>
        <v>683.3039043264157</v>
      </c>
      <c r="G21" s="331">
        <v>1859302</v>
      </c>
      <c r="H21" s="337">
        <f>G21/'- 3 -'!$D21*100</f>
        <v>5.9127740045312027</v>
      </c>
      <c r="I21" s="331">
        <f>G21/'- 7 -'!$E21</f>
        <v>653.99296517762923</v>
      </c>
    </row>
    <row r="22" spans="1:9" ht="14.1" customHeight="1">
      <c r="A22" s="26" t="s">
        <v>248</v>
      </c>
      <c r="B22" s="27">
        <v>1503272</v>
      </c>
      <c r="C22" s="79">
        <f>B22/'- 3 -'!$D22*100</f>
        <v>8.2521963860602323</v>
      </c>
      <c r="D22" s="27">
        <v>897126</v>
      </c>
      <c r="E22" s="79">
        <f>D22/'- 3 -'!$D22*100</f>
        <v>4.9247640713328469</v>
      </c>
      <c r="F22" s="27">
        <f>D22/'- 7 -'!$E22</f>
        <v>573.17020189113214</v>
      </c>
      <c r="G22" s="27">
        <v>1023246</v>
      </c>
      <c r="H22" s="79">
        <f>G22/'- 3 -'!$D22*100</f>
        <v>5.6170985312375858</v>
      </c>
      <c r="I22" s="27">
        <f>G22/'- 7 -'!$E22</f>
        <v>653.74776386404289</v>
      </c>
    </row>
    <row r="23" spans="1:9" ht="14.1" customHeight="1">
      <c r="A23" s="330" t="s">
        <v>249</v>
      </c>
      <c r="B23" s="331">
        <v>0</v>
      </c>
      <c r="C23" s="337">
        <f>B23/'- 3 -'!$D23*100</f>
        <v>0</v>
      </c>
      <c r="D23" s="331">
        <v>1520067</v>
      </c>
      <c r="E23" s="337">
        <f>D23/'- 3 -'!$D23*100</f>
        <v>9.9506241679402798</v>
      </c>
      <c r="F23" s="331">
        <f>D23/'- 7 -'!$E23</f>
        <v>1273.6212819438626</v>
      </c>
      <c r="G23" s="331">
        <v>586394</v>
      </c>
      <c r="H23" s="337">
        <f>G23/'- 3 -'!$D23*100</f>
        <v>3.8386375786956575</v>
      </c>
      <c r="I23" s="331">
        <f>G23/'- 7 -'!$E23</f>
        <v>491.3229995810641</v>
      </c>
    </row>
    <row r="24" spans="1:9" ht="14.1" customHeight="1">
      <c r="A24" s="26" t="s">
        <v>250</v>
      </c>
      <c r="B24" s="27">
        <v>700069</v>
      </c>
      <c r="C24" s="79">
        <f>B24/'- 3 -'!$D24*100</f>
        <v>1.4273782579603054</v>
      </c>
      <c r="D24" s="27">
        <v>3703729</v>
      </c>
      <c r="E24" s="79">
        <f>D24/'- 3 -'!$D24*100</f>
        <v>7.5515731277589273</v>
      </c>
      <c r="F24" s="27">
        <f>D24/'- 7 -'!$E24</f>
        <v>855.06845203740045</v>
      </c>
      <c r="G24" s="27">
        <v>1866640</v>
      </c>
      <c r="H24" s="79">
        <f>G24/'- 3 -'!$D24*100</f>
        <v>3.8059124906816679</v>
      </c>
      <c r="I24" s="27">
        <f>G24/'- 7 -'!$E24</f>
        <v>430.94539997691334</v>
      </c>
    </row>
    <row r="25" spans="1:9" ht="14.1" customHeight="1">
      <c r="A25" s="330" t="s">
        <v>251</v>
      </c>
      <c r="B25" s="331">
        <v>7702370</v>
      </c>
      <c r="C25" s="337">
        <f>B25/'- 3 -'!$D25*100</f>
        <v>5.3000325253055109</v>
      </c>
      <c r="D25" s="331">
        <v>9016992</v>
      </c>
      <c r="E25" s="337">
        <f>D25/'- 3 -'!$D25*100</f>
        <v>6.2046293388164404</v>
      </c>
      <c r="F25" s="331">
        <f>D25/'- 7 -'!$E25</f>
        <v>654.35355587808419</v>
      </c>
      <c r="G25" s="331">
        <v>7566220</v>
      </c>
      <c r="H25" s="337">
        <f>G25/'- 3 -'!$D25*100</f>
        <v>5.2063471494640039</v>
      </c>
      <c r="I25" s="331">
        <f>G25/'- 7 -'!$E25</f>
        <v>549.07256894049351</v>
      </c>
    </row>
    <row r="26" spans="1:9" ht="14.1" customHeight="1">
      <c r="A26" s="26" t="s">
        <v>252</v>
      </c>
      <c r="B26" s="27">
        <v>256612</v>
      </c>
      <c r="C26" s="79">
        <f>B26/'- 3 -'!$D26*100</f>
        <v>0.71383786773970637</v>
      </c>
      <c r="D26" s="27">
        <v>1716492</v>
      </c>
      <c r="E26" s="79">
        <f>D26/'- 3 -'!$D26*100</f>
        <v>4.7749013657672448</v>
      </c>
      <c r="F26" s="27">
        <f>D26/'- 7 -'!$E26</f>
        <v>552.19301914106484</v>
      </c>
      <c r="G26" s="27">
        <v>1700627</v>
      </c>
      <c r="H26" s="79">
        <f>G26/'- 3 -'!$D26*100</f>
        <v>4.7307684422418808</v>
      </c>
      <c r="I26" s="27">
        <f>G26/'- 7 -'!$E26</f>
        <v>547.08927135274246</v>
      </c>
    </row>
    <row r="27" spans="1:9" ht="14.1" customHeight="1">
      <c r="A27" s="330" t="s">
        <v>253</v>
      </c>
      <c r="B27" s="331">
        <v>2089834</v>
      </c>
      <c r="C27" s="337">
        <f>B27/'- 3 -'!$D27*100</f>
        <v>5.2438653820434284</v>
      </c>
      <c r="D27" s="331">
        <v>2252625</v>
      </c>
      <c r="E27" s="337">
        <f>D27/'- 3 -'!$D27*100</f>
        <v>5.6523447585911502</v>
      </c>
      <c r="F27" s="331">
        <f>D27/'- 7 -'!$E27</f>
        <v>805.861624870318</v>
      </c>
      <c r="G27" s="331">
        <v>1757977</v>
      </c>
      <c r="H27" s="337">
        <f>G27/'- 3 -'!$D27*100</f>
        <v>4.4111612370784279</v>
      </c>
      <c r="I27" s="331">
        <f>G27/'- 7 -'!$E27</f>
        <v>628.90458984724353</v>
      </c>
    </row>
    <row r="28" spans="1:9" ht="14.1" customHeight="1">
      <c r="A28" s="26" t="s">
        <v>254</v>
      </c>
      <c r="B28" s="27">
        <v>0</v>
      </c>
      <c r="C28" s="79">
        <f>B28/'- 3 -'!$D28*100</f>
        <v>0</v>
      </c>
      <c r="D28" s="27">
        <v>1576016</v>
      </c>
      <c r="E28" s="79">
        <f>D28/'- 3 -'!$D28*100</f>
        <v>6.3618625390654158</v>
      </c>
      <c r="F28" s="27">
        <f>D28/'- 7 -'!$E28</f>
        <v>786.82775836245628</v>
      </c>
      <c r="G28" s="27">
        <v>933119</v>
      </c>
      <c r="H28" s="79">
        <f>G28/'- 3 -'!$D28*100</f>
        <v>3.766697045328335</v>
      </c>
      <c r="I28" s="27">
        <f>G28/'- 7 -'!$E28</f>
        <v>465.86070893659513</v>
      </c>
    </row>
    <row r="29" spans="1:9" ht="14.1" customHeight="1">
      <c r="A29" s="330" t="s">
        <v>255</v>
      </c>
      <c r="B29" s="331">
        <v>287630</v>
      </c>
      <c r="C29" s="337">
        <f>B29/'- 3 -'!$D29*100</f>
        <v>0.21323624692373369</v>
      </c>
      <c r="D29" s="331">
        <v>11756123</v>
      </c>
      <c r="E29" s="337">
        <f>D29/'- 3 -'!$D29*100</f>
        <v>8.7154731665465537</v>
      </c>
      <c r="F29" s="331">
        <f>D29/'- 7 -'!$E29</f>
        <v>964.8503824562556</v>
      </c>
      <c r="G29" s="331">
        <v>10350223</v>
      </c>
      <c r="H29" s="337">
        <f>G29/'- 3 -'!$D29*100</f>
        <v>7.6732006652425273</v>
      </c>
      <c r="I29" s="331">
        <f>G29/'- 7 -'!$E29</f>
        <v>849.46513574734911</v>
      </c>
    </row>
    <row r="30" spans="1:9" ht="14.1" customHeight="1">
      <c r="A30" s="26" t="s">
        <v>256</v>
      </c>
      <c r="B30" s="27">
        <v>0</v>
      </c>
      <c r="C30" s="79">
        <f>B30/'- 3 -'!$D30*100</f>
        <v>0</v>
      </c>
      <c r="D30" s="27">
        <v>661003</v>
      </c>
      <c r="E30" s="79">
        <f>D30/'- 3 -'!$D30*100</f>
        <v>5.1301714959651887</v>
      </c>
      <c r="F30" s="27">
        <f>D30/'- 7 -'!$E30</f>
        <v>602.0063752276867</v>
      </c>
      <c r="G30" s="27">
        <v>521585</v>
      </c>
      <c r="H30" s="79">
        <f>G30/'- 3 -'!$D30*100</f>
        <v>4.0481215663514432</v>
      </c>
      <c r="I30" s="27">
        <f>G30/'- 7 -'!$E30</f>
        <v>475.03187613843352</v>
      </c>
    </row>
    <row r="31" spans="1:9" ht="14.1" customHeight="1">
      <c r="A31" s="330" t="s">
        <v>257</v>
      </c>
      <c r="B31" s="331">
        <v>1948302</v>
      </c>
      <c r="C31" s="337">
        <f>B31/'- 3 -'!$D31*100</f>
        <v>6.0795150322509155</v>
      </c>
      <c r="D31" s="331">
        <v>2032858</v>
      </c>
      <c r="E31" s="337">
        <f>D31/'- 3 -'!$D31*100</f>
        <v>6.3433650273066151</v>
      </c>
      <c r="F31" s="331">
        <f>D31/'- 7 -'!$E31</f>
        <v>635.56604658433639</v>
      </c>
      <c r="G31" s="331">
        <v>949737</v>
      </c>
      <c r="H31" s="337">
        <f>G31/'- 3 -'!$D31*100</f>
        <v>2.9635756510976679</v>
      </c>
      <c r="I31" s="331">
        <f>G31/'- 7 -'!$E31</f>
        <v>296.93199937470689</v>
      </c>
    </row>
    <row r="32" spans="1:9" ht="14.1" customHeight="1">
      <c r="A32" s="26" t="s">
        <v>258</v>
      </c>
      <c r="B32" s="27">
        <v>0</v>
      </c>
      <c r="C32" s="79">
        <f>B32/'- 3 -'!$D32*100</f>
        <v>0</v>
      </c>
      <c r="D32" s="27">
        <v>1153101</v>
      </c>
      <c r="E32" s="79">
        <f>D32/'- 3 -'!$D32*100</f>
        <v>4.8719482748349368</v>
      </c>
      <c r="F32" s="27">
        <f>D32/'- 7 -'!$E32</f>
        <v>559.07927272727272</v>
      </c>
      <c r="G32" s="27">
        <v>1641450</v>
      </c>
      <c r="H32" s="79">
        <f>G32/'- 3 -'!$D32*100</f>
        <v>6.9352636895881687</v>
      </c>
      <c r="I32" s="27">
        <f>G32/'- 7 -'!$E32</f>
        <v>795.85454545454547</v>
      </c>
    </row>
    <row r="33" spans="1:9" ht="14.1" customHeight="1">
      <c r="A33" s="330" t="s">
        <v>259</v>
      </c>
      <c r="B33" s="331">
        <v>0</v>
      </c>
      <c r="C33" s="337">
        <f>B33/'- 3 -'!$D33*100</f>
        <v>0</v>
      </c>
      <c r="D33" s="331">
        <v>1371782</v>
      </c>
      <c r="E33" s="337">
        <f>D33/'- 3 -'!$D33*100</f>
        <v>5.6012400470317605</v>
      </c>
      <c r="F33" s="331">
        <f>D33/'- 7 -'!$E33</f>
        <v>673.26723926380373</v>
      </c>
      <c r="G33" s="331">
        <v>945798</v>
      </c>
      <c r="H33" s="337">
        <f>G33/'- 3 -'!$D33*100</f>
        <v>3.8618684557768983</v>
      </c>
      <c r="I33" s="331">
        <f>G33/'- 7 -'!$E33</f>
        <v>464.19533742331288</v>
      </c>
    </row>
    <row r="34" spans="1:9" ht="14.1" customHeight="1">
      <c r="A34" s="26" t="s">
        <v>260</v>
      </c>
      <c r="B34" s="27">
        <v>267949</v>
      </c>
      <c r="C34" s="79">
        <f>B34/'- 3 -'!$D34*100</f>
        <v>1.1841083972976685</v>
      </c>
      <c r="D34" s="27">
        <v>1037031</v>
      </c>
      <c r="E34" s="79">
        <f>D34/'- 3 -'!$D34*100</f>
        <v>4.5828016352290861</v>
      </c>
      <c r="F34" s="27">
        <f>D34/'- 7 -'!$E34</f>
        <v>520.2583655245071</v>
      </c>
      <c r="G34" s="27">
        <v>798628</v>
      </c>
      <c r="H34" s="79">
        <f>G34/'- 3 -'!$D34*100</f>
        <v>3.5292616173863025</v>
      </c>
      <c r="I34" s="27">
        <f>G34/'- 7 -'!$E34</f>
        <v>400.65619826418504</v>
      </c>
    </row>
    <row r="35" spans="1:9" ht="14.1" customHeight="1">
      <c r="A35" s="330" t="s">
        <v>261</v>
      </c>
      <c r="B35" s="331">
        <v>2865355</v>
      </c>
      <c r="C35" s="337">
        <f>B35/'- 3 -'!$D35*100</f>
        <v>1.7809527142791408</v>
      </c>
      <c r="D35" s="331">
        <v>12966979</v>
      </c>
      <c r="E35" s="337">
        <f>D35/'- 3 -'!$D35*100</f>
        <v>8.0595864896498419</v>
      </c>
      <c r="F35" s="331">
        <f>D35/'- 7 -'!$E35</f>
        <v>822.49081855951283</v>
      </c>
      <c r="G35" s="331">
        <v>8522938</v>
      </c>
      <c r="H35" s="337">
        <f>G35/'- 3 -'!$D35*100</f>
        <v>5.2974062776629189</v>
      </c>
      <c r="I35" s="331">
        <f>G35/'- 7 -'!$E35</f>
        <v>540.60689480194094</v>
      </c>
    </row>
    <row r="36" spans="1:9" ht="14.1" customHeight="1">
      <c r="A36" s="26" t="s">
        <v>262</v>
      </c>
      <c r="B36" s="27">
        <v>186995</v>
      </c>
      <c r="C36" s="79">
        <f>B36/'- 3 -'!$D36*100</f>
        <v>0.91818637531130165</v>
      </c>
      <c r="D36" s="27">
        <v>954320</v>
      </c>
      <c r="E36" s="79">
        <f>D36/'- 3 -'!$D36*100</f>
        <v>4.6859200603603384</v>
      </c>
      <c r="F36" s="27">
        <f>D36/'- 7 -'!$E36</f>
        <v>571.7914919113241</v>
      </c>
      <c r="G36" s="27">
        <v>791313</v>
      </c>
      <c r="H36" s="79">
        <f>G36/'- 3 -'!$D36*100</f>
        <v>3.8855200150095568</v>
      </c>
      <c r="I36" s="27">
        <f>G36/'- 7 -'!$E36</f>
        <v>474.12402636309167</v>
      </c>
    </row>
    <row r="37" spans="1:9" ht="14.1" customHeight="1">
      <c r="A37" s="330" t="s">
        <v>263</v>
      </c>
      <c r="B37" s="331">
        <v>0</v>
      </c>
      <c r="C37" s="337">
        <f>B37/'- 3 -'!$D37*100</f>
        <v>0</v>
      </c>
      <c r="D37" s="331">
        <v>3693686</v>
      </c>
      <c r="E37" s="337">
        <f>D37/'- 3 -'!$D37*100</f>
        <v>9.8482171145369026</v>
      </c>
      <c r="F37" s="331">
        <f>D37/'- 7 -'!$E37</f>
        <v>1004.4013596193066</v>
      </c>
      <c r="G37" s="331">
        <v>1745005</v>
      </c>
      <c r="H37" s="337">
        <f>G37/'- 3 -'!$D37*100</f>
        <v>4.6525850074837081</v>
      </c>
      <c r="I37" s="331">
        <f>G37/'- 7 -'!$E37</f>
        <v>474.50849762066622</v>
      </c>
    </row>
    <row r="38" spans="1:9" ht="14.1" customHeight="1">
      <c r="A38" s="26" t="s">
        <v>264</v>
      </c>
      <c r="B38" s="27">
        <v>737916</v>
      </c>
      <c r="C38" s="79">
        <f>B38/'- 3 -'!$D38*100</f>
        <v>0.71872269023787028</v>
      </c>
      <c r="D38" s="27">
        <v>9087829</v>
      </c>
      <c r="E38" s="79">
        <f>D38/'- 3 -'!$D38*100</f>
        <v>8.8514531563236662</v>
      </c>
      <c r="F38" s="27">
        <f>D38/'- 7 -'!$E38</f>
        <v>894.68270063794591</v>
      </c>
      <c r="G38" s="27">
        <v>4045591</v>
      </c>
      <c r="H38" s="79">
        <f>G38/'- 3 -'!$D38*100</f>
        <v>3.9403645497890216</v>
      </c>
      <c r="I38" s="27">
        <f>G38/'- 7 -'!$E38</f>
        <v>398.28217295424116</v>
      </c>
    </row>
    <row r="39" spans="1:9" ht="14.1" customHeight="1">
      <c r="A39" s="330" t="s">
        <v>265</v>
      </c>
      <c r="B39" s="331">
        <v>0</v>
      </c>
      <c r="C39" s="337">
        <f>B39/'- 3 -'!$D39*100</f>
        <v>0</v>
      </c>
      <c r="D39" s="331">
        <v>1268925</v>
      </c>
      <c r="E39" s="337">
        <f>D39/'- 3 -'!$D39*100</f>
        <v>6.6787199510893016</v>
      </c>
      <c r="F39" s="331">
        <f>D39/'- 7 -'!$E39</f>
        <v>798.51802907306023</v>
      </c>
      <c r="G39" s="331">
        <v>628446</v>
      </c>
      <c r="H39" s="337">
        <f>G39/'- 3 -'!$D39*100</f>
        <v>3.3076933927397341</v>
      </c>
      <c r="I39" s="331">
        <f>G39/'- 7 -'!$E39</f>
        <v>395.47290919388337</v>
      </c>
    </row>
    <row r="40" spans="1:9" ht="14.1" customHeight="1">
      <c r="A40" s="26" t="s">
        <v>266</v>
      </c>
      <c r="B40" s="27">
        <v>272801</v>
      </c>
      <c r="C40" s="79">
        <f>B40/'- 3 -'!$D40*100</f>
        <v>0.30028114489648089</v>
      </c>
      <c r="D40" s="27">
        <v>9390870</v>
      </c>
      <c r="E40" s="79">
        <f>D40/'- 3 -'!$D40*100</f>
        <v>10.336843322326587</v>
      </c>
      <c r="F40" s="27">
        <f>D40/'- 7 -'!$E40</f>
        <v>1145.3677277716795</v>
      </c>
      <c r="G40" s="27">
        <v>4920069</v>
      </c>
      <c r="H40" s="79">
        <f>G40/'- 3 -'!$D40*100</f>
        <v>5.4156837852122379</v>
      </c>
      <c r="I40" s="27">
        <f>G40/'- 7 -'!$E40</f>
        <v>600.08159531650199</v>
      </c>
    </row>
    <row r="41" spans="1:9" ht="14.1" customHeight="1">
      <c r="A41" s="330" t="s">
        <v>267</v>
      </c>
      <c r="B41" s="331">
        <v>578360</v>
      </c>
      <c r="C41" s="337">
        <f>B41/'- 3 -'!$D41*100</f>
        <v>1.047442711072085</v>
      </c>
      <c r="D41" s="331">
        <v>5701157</v>
      </c>
      <c r="E41" s="337">
        <f>D41/'- 3 -'!$D41*100</f>
        <v>10.325118169181122</v>
      </c>
      <c r="F41" s="331">
        <f>D41/'- 7 -'!$E41</f>
        <v>1253.6903793293018</v>
      </c>
      <c r="G41" s="331">
        <v>2105812</v>
      </c>
      <c r="H41" s="337">
        <f>G41/'- 3 -'!$D41*100</f>
        <v>3.8137447788369339</v>
      </c>
      <c r="I41" s="331">
        <f>G41/'- 7 -'!$E41</f>
        <v>463.07025838372732</v>
      </c>
    </row>
    <row r="42" spans="1:9" ht="14.1" customHeight="1">
      <c r="A42" s="26" t="s">
        <v>268</v>
      </c>
      <c r="B42" s="27">
        <v>0</v>
      </c>
      <c r="C42" s="79">
        <f>B42/'- 3 -'!$D42*100</f>
        <v>0</v>
      </c>
      <c r="D42" s="27">
        <v>1804457</v>
      </c>
      <c r="E42" s="79">
        <f>D42/'- 3 -'!$D42*100</f>
        <v>9.4027082320913618</v>
      </c>
      <c r="F42" s="27">
        <f>D42/'- 7 -'!$E42</f>
        <v>1232.7210001366307</v>
      </c>
      <c r="G42" s="27">
        <v>836790</v>
      </c>
      <c r="H42" s="79">
        <f>G42/'- 3 -'!$D42*100</f>
        <v>4.3603655955956446</v>
      </c>
      <c r="I42" s="27">
        <f>G42/'- 7 -'!$E42</f>
        <v>571.65596392949863</v>
      </c>
    </row>
    <row r="43" spans="1:9" ht="14.1" customHeight="1">
      <c r="A43" s="330" t="s">
        <v>269</v>
      </c>
      <c r="B43" s="331">
        <v>0</v>
      </c>
      <c r="C43" s="337">
        <f>B43/'- 3 -'!$D43*100</f>
        <v>0</v>
      </c>
      <c r="D43" s="331">
        <v>327205</v>
      </c>
      <c r="E43" s="337">
        <f>D43/'- 3 -'!$D43*100</f>
        <v>2.8930479846055417</v>
      </c>
      <c r="F43" s="331">
        <f>D43/'- 7 -'!$E43</f>
        <v>336.35382401315786</v>
      </c>
      <c r="G43" s="331">
        <v>1138305</v>
      </c>
      <c r="H43" s="337">
        <f>G43/'- 3 -'!$D43*100</f>
        <v>10.064549704669584</v>
      </c>
      <c r="I43" s="331">
        <f>G43/'- 7 -'!$E43</f>
        <v>1170.1326069078946</v>
      </c>
    </row>
    <row r="44" spans="1:9" ht="14.1" customHeight="1">
      <c r="A44" s="26" t="s">
        <v>270</v>
      </c>
      <c r="B44" s="27">
        <v>0</v>
      </c>
      <c r="C44" s="79">
        <f>B44/'- 3 -'!$D44*100</f>
        <v>0</v>
      </c>
      <c r="D44" s="27">
        <v>873314</v>
      </c>
      <c r="E44" s="79">
        <f>D44/'- 3 -'!$D44*100</f>
        <v>9.0229228986912382</v>
      </c>
      <c r="F44" s="27">
        <f>D44/'- 7 -'!$E44</f>
        <v>1220.5646401118099</v>
      </c>
      <c r="G44" s="27">
        <v>356032</v>
      </c>
      <c r="H44" s="79">
        <f>G44/'- 3 -'!$D44*100</f>
        <v>3.6784584759511914</v>
      </c>
      <c r="I44" s="27">
        <f>G44/'- 7 -'!$E44</f>
        <v>497.59888190076867</v>
      </c>
    </row>
    <row r="45" spans="1:9" ht="14.1" customHeight="1">
      <c r="A45" s="330" t="s">
        <v>271</v>
      </c>
      <c r="B45" s="331">
        <v>177496</v>
      </c>
      <c r="C45" s="337">
        <f>B45/'- 3 -'!$D45*100</f>
        <v>1.1435356406214918</v>
      </c>
      <c r="D45" s="331">
        <v>880797</v>
      </c>
      <c r="E45" s="337">
        <f>D45/'- 3 -'!$D45*100</f>
        <v>5.6746223106576377</v>
      </c>
      <c r="F45" s="331">
        <f>D45/'- 7 -'!$E45</f>
        <v>531.56125528062762</v>
      </c>
      <c r="G45" s="331">
        <v>753870</v>
      </c>
      <c r="H45" s="337">
        <f>G45/'- 3 -'!$D45*100</f>
        <v>4.8568824840859737</v>
      </c>
      <c r="I45" s="331">
        <f>G45/'- 7 -'!$E45</f>
        <v>454.96077248038625</v>
      </c>
    </row>
    <row r="46" spans="1:9" ht="14.1" customHeight="1">
      <c r="A46" s="26" t="s">
        <v>272</v>
      </c>
      <c r="B46" s="27">
        <v>27521734</v>
      </c>
      <c r="C46" s="79">
        <f>B46/'- 3 -'!$D46*100</f>
        <v>8.1897297760610694</v>
      </c>
      <c r="D46" s="27">
        <v>14481931</v>
      </c>
      <c r="E46" s="79">
        <f>D46/'- 3 -'!$D46*100</f>
        <v>4.309434192102934</v>
      </c>
      <c r="F46" s="27">
        <f>D46/'- 7 -'!$E46</f>
        <v>478.79375270690684</v>
      </c>
      <c r="G46" s="27">
        <v>21414479</v>
      </c>
      <c r="H46" s="79">
        <f>G46/'- 3 -'!$D46*100</f>
        <v>6.3723745133622192</v>
      </c>
      <c r="I46" s="27">
        <f>G46/'- 7 -'!$E46</f>
        <v>707.99389685486346</v>
      </c>
    </row>
    <row r="47" spans="1:9" ht="5.0999999999999996" customHeight="1">
      <c r="A47" s="28"/>
      <c r="B47" s="29"/>
      <c r="C47"/>
      <c r="D47" s="29"/>
      <c r="E47"/>
      <c r="F47" s="29"/>
      <c r="G47"/>
      <c r="H47"/>
      <c r="I47"/>
    </row>
    <row r="48" spans="1:9" ht="14.1" customHeight="1">
      <c r="A48" s="332" t="s">
        <v>273</v>
      </c>
      <c r="B48" s="333">
        <f>SUM(B11:B46)</f>
        <v>53268159</v>
      </c>
      <c r="C48" s="340">
        <f>B48/'- 3 -'!$D48*100</f>
        <v>2.7627000472196865</v>
      </c>
      <c r="D48" s="333">
        <f>SUM(D11:D46)</f>
        <v>130593923</v>
      </c>
      <c r="E48" s="340">
        <f>D48/'- 3 -'!$D48*100</f>
        <v>6.7731238325451439</v>
      </c>
      <c r="F48" s="333">
        <f>D48/'- 7 -'!$E48</f>
        <v>758.1627213665306</v>
      </c>
      <c r="G48" s="333">
        <f>SUM(G11:G46)</f>
        <v>98717776</v>
      </c>
      <c r="H48" s="340">
        <f>G48/'- 3 -'!$D48*100</f>
        <v>5.1198991956268367</v>
      </c>
      <c r="I48" s="333">
        <f>G48/'- 7 -'!$E48</f>
        <v>573.10582284454063</v>
      </c>
    </row>
    <row r="49" spans="1:9" ht="5.0999999999999996" customHeight="1">
      <c r="A49" s="28" t="s">
        <v>18</v>
      </c>
      <c r="B49" s="29"/>
      <c r="C49"/>
      <c r="D49" s="29"/>
      <c r="E49"/>
      <c r="G49"/>
      <c r="H49"/>
      <c r="I49"/>
    </row>
    <row r="50" spans="1:9" ht="14.1" customHeight="1">
      <c r="A50" s="26" t="s">
        <v>274</v>
      </c>
      <c r="B50" s="27">
        <v>9878</v>
      </c>
      <c r="C50" s="79">
        <f>B50/'- 3 -'!$D50*100</f>
        <v>0.30576978735720245</v>
      </c>
      <c r="D50" s="27">
        <v>200009</v>
      </c>
      <c r="E50" s="79">
        <f>D50/'- 3 -'!$D50*100</f>
        <v>6.1912036241675139</v>
      </c>
      <c r="F50" s="27">
        <f>D50/'- 7 -'!$E50</f>
        <v>1105.0220994475137</v>
      </c>
      <c r="G50" s="27">
        <v>1002</v>
      </c>
      <c r="H50" s="79">
        <f>G50/'- 3 -'!$D50*100</f>
        <v>3.101653441303066E-2</v>
      </c>
      <c r="I50" s="27">
        <f>G50/'- 7 -'!$E50</f>
        <v>5.5359116022099446</v>
      </c>
    </row>
    <row r="51" spans="1:9" ht="14.1" customHeight="1">
      <c r="A51" s="330" t="s">
        <v>275</v>
      </c>
      <c r="B51" s="331">
        <v>0</v>
      </c>
      <c r="C51" s="337">
        <f>B51/'- 3 -'!$D51*100</f>
        <v>0</v>
      </c>
      <c r="D51" s="331">
        <v>59503</v>
      </c>
      <c r="E51" s="337">
        <f>D51/'- 3 -'!$D51*100</f>
        <v>0.38692415745497633</v>
      </c>
      <c r="F51" s="331">
        <f>D51/'- 7 -'!$E51</f>
        <v>92.611673151750978</v>
      </c>
      <c r="G51" s="331">
        <v>52668</v>
      </c>
      <c r="H51" s="337">
        <f>G51/'- 3 -'!$D51*100</f>
        <v>0.34247889223801647</v>
      </c>
      <c r="I51" s="331">
        <f>G51/'- 7 -'!$E51</f>
        <v>81.973540856031121</v>
      </c>
    </row>
    <row r="52" spans="1:9" ht="50.1" customHeight="1">
      <c r="A52" s="30"/>
      <c r="B52" s="30"/>
      <c r="C52" s="30"/>
      <c r="D52" s="30"/>
      <c r="E52" s="30"/>
      <c r="F52" s="30"/>
      <c r="G52" s="30"/>
      <c r="H52" s="30"/>
      <c r="I52" s="30"/>
    </row>
    <row r="53" spans="1:9">
      <c r="A53" s="148" t="s">
        <v>626</v>
      </c>
      <c r="B53" s="148"/>
    </row>
    <row r="54" spans="1:9">
      <c r="A54" s="148" t="s">
        <v>594</v>
      </c>
      <c r="B54" s="148"/>
    </row>
  </sheetData>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sheetPr codeName="Sheet26">
    <pageSetUpPr fitToPage="1"/>
  </sheetPr>
  <dimension ref="A1:G59"/>
  <sheetViews>
    <sheetView showGridLines="0" showZeros="0" workbookViewId="0"/>
  </sheetViews>
  <sheetFormatPr defaultColWidth="15.83203125" defaultRowHeight="12"/>
  <cols>
    <col min="1" max="1" width="36.83203125" style="1" customWidth="1"/>
    <col min="2" max="2" width="24.83203125" style="1" customWidth="1"/>
    <col min="3" max="4" width="15.83203125" style="1" customWidth="1"/>
    <col min="5" max="5" width="40.83203125" style="1" customWidth="1"/>
    <col min="6" max="16384" width="15.83203125" style="1"/>
  </cols>
  <sheetData>
    <row r="1" spans="1:7" ht="6.95" customHeight="1">
      <c r="A1" s="6"/>
      <c r="B1" s="7"/>
      <c r="C1" s="7"/>
      <c r="D1" s="7"/>
      <c r="E1" s="7"/>
    </row>
    <row r="2" spans="1:7" ht="15.95" customHeight="1">
      <c r="A2" s="152"/>
      <c r="B2" s="8" t="s">
        <v>483</v>
      </c>
      <c r="C2" s="9"/>
      <c r="D2" s="9"/>
      <c r="E2" s="153" t="s">
        <v>442</v>
      </c>
    </row>
    <row r="3" spans="1:7" ht="15.95" customHeight="1">
      <c r="A3" s="154"/>
      <c r="B3" s="10" t="str">
        <f>OPYEAR</f>
        <v>OPERATING FUND 2011/2012 ACTUAL</v>
      </c>
      <c r="C3" s="11"/>
      <c r="D3" s="11"/>
      <c r="E3" s="74"/>
    </row>
    <row r="4" spans="1:7" ht="15.95" customHeight="1">
      <c r="B4" s="7"/>
      <c r="C4" s="7"/>
      <c r="D4" s="7"/>
      <c r="E4" s="7"/>
    </row>
    <row r="5" spans="1:7" ht="15.95" customHeight="1">
      <c r="B5" s="480" t="s">
        <v>433</v>
      </c>
      <c r="C5" s="175"/>
      <c r="D5" s="177"/>
      <c r="E5" s="50"/>
    </row>
    <row r="6" spans="1:7" ht="15.95" customHeight="1">
      <c r="B6" s="485" t="s">
        <v>33</v>
      </c>
      <c r="C6" s="486"/>
      <c r="D6" s="487"/>
      <c r="E6" s="78"/>
    </row>
    <row r="7" spans="1:7" ht="15.95" customHeight="1">
      <c r="B7" s="488" t="s">
        <v>523</v>
      </c>
      <c r="C7" s="489"/>
      <c r="D7" s="490"/>
      <c r="E7" s="78"/>
    </row>
    <row r="8" spans="1:7" ht="15.95" customHeight="1">
      <c r="A8" s="75"/>
      <c r="B8" s="155"/>
      <c r="C8" s="157"/>
      <c r="D8" s="157" t="s">
        <v>75</v>
      </c>
      <c r="E8" s="78"/>
    </row>
    <row r="9" spans="1:7" ht="15.95" customHeight="1">
      <c r="A9" s="42" t="s">
        <v>95</v>
      </c>
      <c r="B9" s="87" t="s">
        <v>96</v>
      </c>
      <c r="C9" s="563" t="s">
        <v>97</v>
      </c>
      <c r="D9" s="563" t="s">
        <v>98</v>
      </c>
    </row>
    <row r="10" spans="1:7" ht="5.0999999999999996" customHeight="1">
      <c r="A10" s="5"/>
    </row>
    <row r="11" spans="1:7" ht="14.1" customHeight="1">
      <c r="A11" s="330" t="s">
        <v>238</v>
      </c>
      <c r="B11" s="331">
        <v>253755</v>
      </c>
      <c r="C11" s="337">
        <f>B11/'- 3 -'!$D11*100</f>
        <v>1.6858573802724357</v>
      </c>
      <c r="D11" s="331">
        <f>B11/'- 7 -'!$E11</f>
        <v>177.14136125654451</v>
      </c>
      <c r="E11" s="565"/>
      <c r="G11" s="565"/>
    </row>
    <row r="12" spans="1:7" ht="14.1" customHeight="1">
      <c r="A12" s="26" t="s">
        <v>239</v>
      </c>
      <c r="B12" s="27">
        <v>332557</v>
      </c>
      <c r="C12" s="79">
        <f>B12/'- 3 -'!$D12*100</f>
        <v>1.1629223604543522</v>
      </c>
      <c r="D12" s="27">
        <f>B12/'- 7 -'!$E12</f>
        <v>142.1596874305354</v>
      </c>
      <c r="E12" s="565"/>
    </row>
    <row r="13" spans="1:7" ht="14.1" customHeight="1">
      <c r="A13" s="330" t="s">
        <v>240</v>
      </c>
      <c r="B13" s="331">
        <v>1721845</v>
      </c>
      <c r="C13" s="337">
        <f>B13/'- 3 -'!$D13*100</f>
        <v>2.3437456186931982</v>
      </c>
      <c r="D13" s="331">
        <f>B13/'- 7 -'!$E13</f>
        <v>226.29057694835063</v>
      </c>
      <c r="E13" s="565"/>
    </row>
    <row r="14" spans="1:7" ht="14.1" customHeight="1">
      <c r="A14" s="26" t="s">
        <v>653</v>
      </c>
      <c r="B14" s="27">
        <v>1082548</v>
      </c>
      <c r="C14" s="79">
        <f>B14/'- 3 -'!$D14*100</f>
        <v>1.628303677910935</v>
      </c>
      <c r="D14" s="27">
        <f>B14/'- 7 -'!$E14</f>
        <v>218.60823909531501</v>
      </c>
      <c r="E14" s="565"/>
    </row>
    <row r="15" spans="1:7" ht="14.1" customHeight="1">
      <c r="A15" s="330" t="s">
        <v>241</v>
      </c>
      <c r="B15" s="331">
        <v>440484</v>
      </c>
      <c r="C15" s="337">
        <f>B15/'- 3 -'!$D15*100</f>
        <v>2.406504978258992</v>
      </c>
      <c r="D15" s="331">
        <f>B15/'- 7 -'!$E15</f>
        <v>287.33463796477497</v>
      </c>
      <c r="E15" s="565"/>
    </row>
    <row r="16" spans="1:7" ht="14.1" customHeight="1">
      <c r="A16" s="26" t="s">
        <v>242</v>
      </c>
      <c r="B16" s="27">
        <v>281927</v>
      </c>
      <c r="C16" s="79">
        <f>B16/'- 3 -'!$D16*100</f>
        <v>2.237800748603235</v>
      </c>
      <c r="D16" s="27">
        <f>B16/'- 7 -'!$E16</f>
        <v>284.91864578069732</v>
      </c>
      <c r="E16" s="565"/>
    </row>
    <row r="17" spans="1:5" ht="14.1" customHeight="1">
      <c r="A17" s="330" t="s">
        <v>243</v>
      </c>
      <c r="B17" s="331">
        <v>205356</v>
      </c>
      <c r="C17" s="337">
        <f>B17/'- 3 -'!$D17*100</f>
        <v>1.2899460952082431</v>
      </c>
      <c r="D17" s="331">
        <f>B17/'- 7 -'!$E17</f>
        <v>155.27863894139887</v>
      </c>
      <c r="E17" s="565"/>
    </row>
    <row r="18" spans="1:5" ht="14.1" customHeight="1">
      <c r="A18" s="26" t="s">
        <v>244</v>
      </c>
      <c r="B18" s="27">
        <v>1265288</v>
      </c>
      <c r="C18" s="79">
        <f>B18/'- 3 -'!$D18*100</f>
        <v>1.1609107149717146</v>
      </c>
      <c r="D18" s="27">
        <f>B18/'- 7 -'!$E18</f>
        <v>218.90417120811057</v>
      </c>
      <c r="E18" s="565"/>
    </row>
    <row r="19" spans="1:5" ht="14.1" customHeight="1">
      <c r="A19" s="330" t="s">
        <v>245</v>
      </c>
      <c r="B19" s="331">
        <v>788378</v>
      </c>
      <c r="C19" s="337">
        <f>B19/'- 3 -'!$D19*100</f>
        <v>2.1236136562727639</v>
      </c>
      <c r="D19" s="331">
        <f>B19/'- 7 -'!$E19</f>
        <v>190.41107139406822</v>
      </c>
      <c r="E19" s="565"/>
    </row>
    <row r="20" spans="1:5" ht="14.1" customHeight="1">
      <c r="A20" s="26" t="s">
        <v>246</v>
      </c>
      <c r="B20" s="27">
        <v>611281</v>
      </c>
      <c r="C20" s="79">
        <f>B20/'- 3 -'!$D20*100</f>
        <v>0.97269698080143896</v>
      </c>
      <c r="D20" s="27">
        <f>B20/'- 7 -'!$E20</f>
        <v>83.771549952035087</v>
      </c>
      <c r="E20" s="565"/>
    </row>
    <row r="21" spans="1:5" ht="14.1" customHeight="1">
      <c r="A21" s="330" t="s">
        <v>247</v>
      </c>
      <c r="B21" s="331">
        <v>867412</v>
      </c>
      <c r="C21" s="337">
        <f>B21/'- 3 -'!$D21*100</f>
        <v>2.7584605001330713</v>
      </c>
      <c r="D21" s="331">
        <f>B21/'- 7 -'!$E21</f>
        <v>305.10446711220544</v>
      </c>
      <c r="E21" s="565"/>
    </row>
    <row r="22" spans="1:5" ht="14.1" customHeight="1">
      <c r="A22" s="26" t="s">
        <v>248</v>
      </c>
      <c r="B22" s="27">
        <v>494796</v>
      </c>
      <c r="C22" s="79">
        <f>B22/'- 3 -'!$D22*100</f>
        <v>2.7161776199098089</v>
      </c>
      <c r="D22" s="27">
        <f>B22/'- 7 -'!$E22</f>
        <v>316.12317914643495</v>
      </c>
      <c r="E22" s="565"/>
    </row>
    <row r="23" spans="1:5" ht="14.1" customHeight="1">
      <c r="A23" s="330" t="s">
        <v>249</v>
      </c>
      <c r="B23" s="331">
        <v>299356</v>
      </c>
      <c r="C23" s="337">
        <f>B23/'- 3 -'!$D23*100</f>
        <v>1.9596366794476363</v>
      </c>
      <c r="D23" s="331">
        <f>B23/'- 7 -'!$E23</f>
        <v>250.82195224130709</v>
      </c>
      <c r="E23" s="565"/>
    </row>
    <row r="24" spans="1:5" ht="14.1" customHeight="1">
      <c r="A24" s="26" t="s">
        <v>250</v>
      </c>
      <c r="B24" s="27">
        <v>626488</v>
      </c>
      <c r="C24" s="79">
        <f>B24/'- 3 -'!$D24*100</f>
        <v>1.2773531610070377</v>
      </c>
      <c r="D24" s="27">
        <f>B24/'- 7 -'!$E24</f>
        <v>144.63534572319057</v>
      </c>
      <c r="E24" s="565"/>
    </row>
    <row r="25" spans="1:5" ht="14.1" customHeight="1">
      <c r="A25" s="330" t="s">
        <v>251</v>
      </c>
      <c r="B25" s="331">
        <v>3236461</v>
      </c>
      <c r="C25" s="337">
        <f>B25/'- 3 -'!$D25*100</f>
        <v>2.2270221460255479</v>
      </c>
      <c r="D25" s="331">
        <f>B25/'- 7 -'!$E25</f>
        <v>234.86654571843252</v>
      </c>
      <c r="E25" s="565"/>
    </row>
    <row r="26" spans="1:5" ht="14.1" customHeight="1">
      <c r="A26" s="26" t="s">
        <v>252</v>
      </c>
      <c r="B26" s="27">
        <v>876254</v>
      </c>
      <c r="C26" s="79">
        <f>B26/'- 3 -'!$D26*100</f>
        <v>2.4375449587641604</v>
      </c>
      <c r="D26" s="27">
        <f>B26/'- 7 -'!$E26</f>
        <v>281.88965739102463</v>
      </c>
      <c r="E26" s="565"/>
    </row>
    <row r="27" spans="1:5" ht="14.1" customHeight="1">
      <c r="A27" s="330" t="s">
        <v>253</v>
      </c>
      <c r="B27" s="331">
        <v>1119970</v>
      </c>
      <c r="C27" s="337">
        <f>B27/'- 3 -'!$D27*100</f>
        <v>2.8102576146847924</v>
      </c>
      <c r="D27" s="331">
        <f>B27/'- 7 -'!$E27</f>
        <v>400.66182520659675</v>
      </c>
      <c r="E27" s="565"/>
    </row>
    <row r="28" spans="1:5" ht="14.1" customHeight="1">
      <c r="A28" s="26" t="s">
        <v>254</v>
      </c>
      <c r="B28" s="27">
        <v>405078</v>
      </c>
      <c r="C28" s="79">
        <f>B28/'- 3 -'!$D28*100</f>
        <v>1.6351677607331021</v>
      </c>
      <c r="D28" s="27">
        <f>B28/'- 7 -'!$E28</f>
        <v>202.23564653020469</v>
      </c>
      <c r="E28" s="565"/>
    </row>
    <row r="29" spans="1:5" ht="14.1" customHeight="1">
      <c r="A29" s="330" t="s">
        <v>255</v>
      </c>
      <c r="B29" s="331">
        <v>3084345</v>
      </c>
      <c r="C29" s="337">
        <f>B29/'- 3 -'!$D29*100</f>
        <v>2.2865978931891089</v>
      </c>
      <c r="D29" s="331">
        <f>B29/'- 7 -'!$E29</f>
        <v>253.13884967663572</v>
      </c>
      <c r="E29" s="565"/>
    </row>
    <row r="30" spans="1:5" ht="14.1" customHeight="1">
      <c r="A30" s="26" t="s">
        <v>256</v>
      </c>
      <c r="B30" s="27">
        <v>189417</v>
      </c>
      <c r="C30" s="79">
        <f>B30/'- 3 -'!$D30*100</f>
        <v>1.470101791143517</v>
      </c>
      <c r="D30" s="27">
        <f>B30/'- 7 -'!$E30</f>
        <v>172.51092896174865</v>
      </c>
      <c r="E30" s="565"/>
    </row>
    <row r="31" spans="1:5" ht="14.1" customHeight="1">
      <c r="A31" s="330" t="s">
        <v>257</v>
      </c>
      <c r="B31" s="331">
        <v>694006</v>
      </c>
      <c r="C31" s="337">
        <f>B31/'- 3 -'!$D31*100</f>
        <v>2.1655882452886304</v>
      </c>
      <c r="D31" s="331">
        <f>B31/'- 7 -'!$E31</f>
        <v>216.9785837111146</v>
      </c>
      <c r="E31" s="565"/>
    </row>
    <row r="32" spans="1:5" ht="14.1" customHeight="1">
      <c r="A32" s="26" t="s">
        <v>258</v>
      </c>
      <c r="B32" s="27">
        <v>248705</v>
      </c>
      <c r="C32" s="79">
        <f>B32/'- 3 -'!$D32*100</f>
        <v>1.050799449218085</v>
      </c>
      <c r="D32" s="27">
        <f>B32/'- 7 -'!$E32</f>
        <v>120.58424242424242</v>
      </c>
      <c r="E32" s="565"/>
    </row>
    <row r="33" spans="1:5" ht="14.1" customHeight="1">
      <c r="A33" s="330" t="s">
        <v>259</v>
      </c>
      <c r="B33" s="331">
        <v>295362</v>
      </c>
      <c r="C33" s="337">
        <f>B33/'- 3 -'!$D33*100</f>
        <v>1.2060177657757538</v>
      </c>
      <c r="D33" s="331">
        <f>B33/'- 7 -'!$E33</f>
        <v>144.96294478527608</v>
      </c>
      <c r="E33" s="565"/>
    </row>
    <row r="34" spans="1:5" ht="14.1" customHeight="1">
      <c r="A34" s="26" t="s">
        <v>260</v>
      </c>
      <c r="B34" s="27">
        <v>532696</v>
      </c>
      <c r="C34" s="79">
        <f>B34/'- 3 -'!$D34*100</f>
        <v>2.3540666574866069</v>
      </c>
      <c r="D34" s="27">
        <f>B34/'- 7 -'!$E34</f>
        <v>267.24326493754074</v>
      </c>
      <c r="E34" s="565"/>
    </row>
    <row r="35" spans="1:5" ht="14.1" customHeight="1">
      <c r="A35" s="330" t="s">
        <v>261</v>
      </c>
      <c r="B35" s="331">
        <v>2563207</v>
      </c>
      <c r="C35" s="337">
        <f>B35/'- 3 -'!$D35*100</f>
        <v>1.5931535408035984</v>
      </c>
      <c r="D35" s="331">
        <f>B35/'- 7 -'!$E35</f>
        <v>162.58329897561131</v>
      </c>
      <c r="E35" s="565"/>
    </row>
    <row r="36" spans="1:5" ht="14.1" customHeight="1">
      <c r="A36" s="26" t="s">
        <v>262</v>
      </c>
      <c r="B36" s="27">
        <v>445849</v>
      </c>
      <c r="C36" s="79">
        <f>B36/'- 3 -'!$D36*100</f>
        <v>2.1892161675240973</v>
      </c>
      <c r="D36" s="27">
        <f>B36/'- 7 -'!$E36</f>
        <v>267.13541042540442</v>
      </c>
      <c r="E36" s="565"/>
    </row>
    <row r="37" spans="1:5" ht="14.1" customHeight="1">
      <c r="A37" s="330" t="s">
        <v>263</v>
      </c>
      <c r="B37" s="331">
        <v>919682</v>
      </c>
      <c r="C37" s="337">
        <f>B37/'- 3 -'!$D37*100</f>
        <v>2.4520839108499013</v>
      </c>
      <c r="D37" s="331">
        <f>B37/'- 7 -'!$E37</f>
        <v>250.08348062542487</v>
      </c>
      <c r="E37" s="565"/>
    </row>
    <row r="38" spans="1:5" ht="14.1" customHeight="1">
      <c r="A38" s="26" t="s">
        <v>264</v>
      </c>
      <c r="B38" s="27">
        <v>2467271</v>
      </c>
      <c r="C38" s="79">
        <f>B38/'- 3 -'!$D38*100</f>
        <v>2.4030968981101917</v>
      </c>
      <c r="D38" s="27">
        <f>B38/'- 7 -'!$E38</f>
        <v>242.899011577538</v>
      </c>
      <c r="E38" s="565"/>
    </row>
    <row r="39" spans="1:5" ht="14.1" customHeight="1">
      <c r="A39" s="330" t="s">
        <v>265</v>
      </c>
      <c r="B39" s="331">
        <v>215821</v>
      </c>
      <c r="C39" s="337">
        <f>B39/'- 3 -'!$D39*100</f>
        <v>1.1359284579971582</v>
      </c>
      <c r="D39" s="331">
        <f>B39/'- 7 -'!$E39</f>
        <v>135.81335347051791</v>
      </c>
      <c r="E39" s="565"/>
    </row>
    <row r="40" spans="1:5" ht="14.1" customHeight="1">
      <c r="A40" s="26" t="s">
        <v>266</v>
      </c>
      <c r="B40" s="27">
        <v>1891917</v>
      </c>
      <c r="C40" s="79">
        <f>B40/'- 3 -'!$D40*100</f>
        <v>2.0824960422033474</v>
      </c>
      <c r="D40" s="27">
        <f>B40/'- 7 -'!$E40</f>
        <v>230.74972557628979</v>
      </c>
      <c r="E40" s="565"/>
    </row>
    <row r="41" spans="1:5" ht="14.1" customHeight="1">
      <c r="A41" s="330" t="s">
        <v>267</v>
      </c>
      <c r="B41" s="331">
        <v>1021634</v>
      </c>
      <c r="C41" s="337">
        <f>B41/'- 3 -'!$D41*100</f>
        <v>1.8502370265637638</v>
      </c>
      <c r="D41" s="331">
        <f>B41/'- 7 -'!$E41</f>
        <v>224.6583837273227</v>
      </c>
      <c r="E41" s="565"/>
    </row>
    <row r="42" spans="1:5" ht="14.1" customHeight="1">
      <c r="A42" s="26" t="s">
        <v>268</v>
      </c>
      <c r="B42" s="27">
        <v>272028</v>
      </c>
      <c r="C42" s="79">
        <f>B42/'- 3 -'!$D42*100</f>
        <v>1.4174900897939651</v>
      </c>
      <c r="D42" s="27">
        <f>B42/'- 7 -'!$E42</f>
        <v>185.8368629594207</v>
      </c>
      <c r="E42" s="565"/>
    </row>
    <row r="43" spans="1:5" ht="14.1" customHeight="1">
      <c r="A43" s="330" t="s">
        <v>269</v>
      </c>
      <c r="B43" s="331">
        <v>189596</v>
      </c>
      <c r="C43" s="337">
        <f>B43/'- 3 -'!$D43*100</f>
        <v>1.6763506844005203</v>
      </c>
      <c r="D43" s="331">
        <f>B43/'- 7 -'!$E43</f>
        <v>194.89720394736841</v>
      </c>
      <c r="E43" s="565"/>
    </row>
    <row r="44" spans="1:5" ht="14.1" customHeight="1">
      <c r="A44" s="26" t="s">
        <v>270</v>
      </c>
      <c r="B44" s="27">
        <v>53630</v>
      </c>
      <c r="C44" s="79">
        <f>B44/'- 3 -'!$D44*100</f>
        <v>0.55409549721727935</v>
      </c>
      <c r="D44" s="27">
        <f>B44/'- 7 -'!$E44</f>
        <v>74.954577218728161</v>
      </c>
      <c r="E44" s="565"/>
    </row>
    <row r="45" spans="1:5" ht="14.1" customHeight="1">
      <c r="A45" s="330" t="s">
        <v>271</v>
      </c>
      <c r="B45" s="331">
        <v>373131</v>
      </c>
      <c r="C45" s="337">
        <f>B45/'- 3 -'!$D45*100</f>
        <v>2.4039335935499269</v>
      </c>
      <c r="D45" s="331">
        <f>B45/'- 7 -'!$E45</f>
        <v>225.18467109233555</v>
      </c>
      <c r="E45" s="565"/>
    </row>
    <row r="46" spans="1:5" ht="14.1" customHeight="1">
      <c r="A46" s="26" t="s">
        <v>272</v>
      </c>
      <c r="B46" s="27">
        <v>5270142</v>
      </c>
      <c r="C46" s="79">
        <f>B46/'- 3 -'!$D46*100</f>
        <v>1.5682528892064007</v>
      </c>
      <c r="D46" s="27">
        <f>B46/'- 7 -'!$E46</f>
        <v>174.23857809281674</v>
      </c>
      <c r="E46" s="565"/>
    </row>
    <row r="47" spans="1:5" ht="5.0999999999999996" customHeight="1">
      <c r="A47" s="28"/>
      <c r="B47" s="29"/>
      <c r="C47"/>
      <c r="D47" s="29"/>
      <c r="E47" s="565"/>
    </row>
    <row r="48" spans="1:5" ht="14.1" customHeight="1">
      <c r="A48" s="332" t="s">
        <v>273</v>
      </c>
      <c r="B48" s="333">
        <f>SUM(B11:B46)</f>
        <v>35637673</v>
      </c>
      <c r="C48" s="340">
        <f>B48/'- 3 -'!$D48*100</f>
        <v>1.848312438954381</v>
      </c>
      <c r="D48" s="333">
        <f>B48/'- 7 -'!$E48</f>
        <v>206.89442911406016</v>
      </c>
      <c r="E48" s="565"/>
    </row>
    <row r="49" spans="1:5" ht="5.0999999999999996" customHeight="1">
      <c r="A49" s="28" t="s">
        <v>18</v>
      </c>
      <c r="B49" s="29"/>
      <c r="C49"/>
      <c r="D49" s="29"/>
      <c r="E49" s="565"/>
    </row>
    <row r="50" spans="1:5" ht="14.1" customHeight="1">
      <c r="A50" s="26" t="s">
        <v>274</v>
      </c>
      <c r="B50" s="27">
        <v>111408</v>
      </c>
      <c r="C50" s="79">
        <f>B50/'- 3 -'!$D50*100</f>
        <v>3.4485928801266663</v>
      </c>
      <c r="D50" s="27">
        <f>B50/'- 7 -'!$E50</f>
        <v>615.5138121546961</v>
      </c>
      <c r="E50" s="565"/>
    </row>
    <row r="51" spans="1:5" ht="14.1" customHeight="1">
      <c r="A51" s="330" t="s">
        <v>275</v>
      </c>
      <c r="B51" s="331">
        <v>721972</v>
      </c>
      <c r="C51" s="337">
        <f>B51/'- 3 -'!$D51*100</f>
        <v>4.6946945163451286</v>
      </c>
      <c r="D51" s="331">
        <f>B51/'- 7 -'!$E51</f>
        <v>1123.6918287937742</v>
      </c>
      <c r="E51" s="565"/>
    </row>
    <row r="52" spans="1:5" ht="50.1" customHeight="1">
      <c r="A52" s="30"/>
      <c r="B52" s="30"/>
      <c r="C52" s="30"/>
      <c r="D52" s="30"/>
      <c r="E52" s="30"/>
    </row>
    <row r="53" spans="1:5" ht="15" customHeight="1">
      <c r="A53" s="2"/>
    </row>
    <row r="54" spans="1:5" ht="14.45" customHeight="1"/>
    <row r="55" spans="1:5" ht="14.45" customHeight="1"/>
    <row r="56" spans="1:5" ht="14.45" customHeight="1"/>
    <row r="57" spans="1:5" ht="14.45" customHeight="1"/>
    <row r="58" spans="1:5" ht="14.45" customHeight="1"/>
    <row r="59" spans="1:5" ht="14.45" customHeight="1"/>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sheetPr transitionEntry="1" codeName="Sheet1">
    <pageSetUpPr fitToPage="1"/>
  </sheetPr>
  <dimension ref="A1:G58"/>
  <sheetViews>
    <sheetView showGridLines="0" showZeros="0" workbookViewId="0"/>
  </sheetViews>
  <sheetFormatPr defaultColWidth="15.83203125" defaultRowHeight="12"/>
  <cols>
    <col min="1" max="1" width="32.83203125" style="1" customWidth="1"/>
    <col min="2" max="2" width="18.83203125" style="1" customWidth="1"/>
    <col min="3" max="3" width="19.83203125" style="1" customWidth="1"/>
    <col min="4" max="4" width="21.83203125" style="1" customWidth="1"/>
    <col min="5" max="5" width="19.83203125" style="1" customWidth="1"/>
    <col min="6" max="6" width="20.83203125" style="1" customWidth="1"/>
    <col min="7" max="16384" width="15.83203125" style="1"/>
  </cols>
  <sheetData>
    <row r="1" spans="1:6" ht="6.95" customHeight="1">
      <c r="A1" s="6"/>
      <c r="B1" s="7"/>
      <c r="C1" s="7"/>
      <c r="D1" s="7"/>
      <c r="E1" s="7"/>
      <c r="F1" s="7"/>
    </row>
    <row r="2" spans="1:6" ht="15.95" customHeight="1">
      <c r="A2" s="8" t="s">
        <v>465</v>
      </c>
      <c r="B2" s="9"/>
      <c r="C2" s="9"/>
      <c r="D2" s="9"/>
      <c r="E2" s="9"/>
      <c r="F2" s="9"/>
    </row>
    <row r="3" spans="1:6" ht="15.95" customHeight="1">
      <c r="A3" s="10" t="str">
        <f>"OPERATING FUND "&amp;FALLYR&amp;"/"&amp;SPRINGYR&amp;" ACTUAL"</f>
        <v>OPERATING FUND 2011/2012 ACTUAL</v>
      </c>
      <c r="B3" s="11"/>
      <c r="C3" s="12"/>
      <c r="D3" s="11"/>
      <c r="E3" s="11"/>
      <c r="F3" s="11"/>
    </row>
    <row r="4" spans="1:6" ht="15.95" customHeight="1">
      <c r="B4" s="7"/>
      <c r="C4" s="7"/>
      <c r="D4" s="7"/>
      <c r="E4" s="7"/>
      <c r="F4" s="7"/>
    </row>
    <row r="5" spans="1:6" ht="15.95" customHeight="1">
      <c r="B5" s="7"/>
      <c r="C5" s="7"/>
      <c r="D5" s="7"/>
      <c r="E5" s="7"/>
      <c r="F5" s="7"/>
    </row>
    <row r="6" spans="1:6" ht="15.95" customHeight="1">
      <c r="B6" s="13"/>
      <c r="C6" s="14" t="s">
        <v>43</v>
      </c>
      <c r="D6" s="15"/>
      <c r="E6" s="16" t="s">
        <v>43</v>
      </c>
      <c r="F6" s="16" t="s">
        <v>44</v>
      </c>
    </row>
    <row r="7" spans="1:6" ht="15.95" customHeight="1">
      <c r="B7" s="13"/>
      <c r="C7" s="17" t="s">
        <v>123</v>
      </c>
      <c r="D7" s="18"/>
      <c r="E7" s="19" t="s">
        <v>426</v>
      </c>
      <c r="F7" s="504" t="s">
        <v>279</v>
      </c>
    </row>
    <row r="8" spans="1:6" ht="15.95" customHeight="1">
      <c r="A8" s="20"/>
      <c r="B8" s="21" t="s">
        <v>69</v>
      </c>
      <c r="C8" s="17" t="s">
        <v>136</v>
      </c>
      <c r="D8" s="19" t="s">
        <v>480</v>
      </c>
      <c r="E8" s="19" t="s">
        <v>91</v>
      </c>
      <c r="F8" s="19" t="s">
        <v>92</v>
      </c>
    </row>
    <row r="9" spans="1:6" ht="14.25">
      <c r="A9" s="22" t="s">
        <v>95</v>
      </c>
      <c r="B9" s="23" t="s">
        <v>393</v>
      </c>
      <c r="C9" s="23" t="s">
        <v>394</v>
      </c>
      <c r="D9" s="503" t="s">
        <v>479</v>
      </c>
      <c r="E9" s="24" t="s">
        <v>395</v>
      </c>
      <c r="F9" s="24" t="s">
        <v>396</v>
      </c>
    </row>
    <row r="10" spans="1:6" ht="5.0999999999999996" customHeight="1">
      <c r="A10" s="25"/>
    </row>
    <row r="11" spans="1:6" ht="14.1" customHeight="1">
      <c r="A11" s="330" t="s">
        <v>238</v>
      </c>
      <c r="B11" s="331">
        <v>15091135</v>
      </c>
      <c r="C11" s="331">
        <f>-Data!K11</f>
        <v>-39150</v>
      </c>
      <c r="D11" s="331">
        <f>B11+C11</f>
        <v>15051985</v>
      </c>
      <c r="E11" s="331">
        <f>-'- 15 -'!H11-'- 16 -'!B11</f>
        <v>-17339</v>
      </c>
      <c r="F11" s="331">
        <f>D11+E11</f>
        <v>15034646</v>
      </c>
    </row>
    <row r="12" spans="1:6" ht="14.1" customHeight="1">
      <c r="A12" s="26" t="s">
        <v>239</v>
      </c>
      <c r="B12" s="27">
        <v>28931240</v>
      </c>
      <c r="C12" s="27">
        <f>-Data!K12</f>
        <v>-334576</v>
      </c>
      <c r="D12" s="27">
        <f t="shared" ref="D12:D46" si="0">B12+C12</f>
        <v>28596664</v>
      </c>
      <c r="E12" s="27">
        <f>-'- 15 -'!H12-'- 16 -'!B12</f>
        <v>-598104</v>
      </c>
      <c r="F12" s="27">
        <f t="shared" ref="F12:F46" si="1">D12+E12</f>
        <v>27998560</v>
      </c>
    </row>
    <row r="13" spans="1:6" ht="14.1" customHeight="1">
      <c r="A13" s="330" t="s">
        <v>240</v>
      </c>
      <c r="B13" s="331">
        <v>73602414</v>
      </c>
      <c r="C13" s="331">
        <f>-Data!K13</f>
        <v>-136890</v>
      </c>
      <c r="D13" s="331">
        <f t="shared" si="0"/>
        <v>73465524</v>
      </c>
      <c r="E13" s="331">
        <f>-'- 15 -'!H13-'- 16 -'!B13</f>
        <v>-413259</v>
      </c>
      <c r="F13" s="331">
        <f t="shared" si="1"/>
        <v>73052265</v>
      </c>
    </row>
    <row r="14" spans="1:6" ht="14.1" customHeight="1">
      <c r="A14" s="26" t="s">
        <v>653</v>
      </c>
      <c r="B14" s="27">
        <v>66794424</v>
      </c>
      <c r="C14" s="27">
        <f>-Data!K14</f>
        <v>-311248</v>
      </c>
      <c r="D14" s="27">
        <f t="shared" si="0"/>
        <v>66483176</v>
      </c>
      <c r="E14" s="27">
        <f>-'- 15 -'!H14-'- 16 -'!B14</f>
        <v>-1080374</v>
      </c>
      <c r="F14" s="27">
        <f t="shared" si="1"/>
        <v>65402802</v>
      </c>
    </row>
    <row r="15" spans="1:6" ht="14.1" customHeight="1">
      <c r="A15" s="330" t="s">
        <v>241</v>
      </c>
      <c r="B15" s="331">
        <v>18343003</v>
      </c>
      <c r="C15" s="331">
        <f>-Data!K15</f>
        <v>-39114</v>
      </c>
      <c r="D15" s="331">
        <f t="shared" si="0"/>
        <v>18303889</v>
      </c>
      <c r="E15" s="331">
        <f>-'- 15 -'!H15-'- 16 -'!B15</f>
        <v>-315599</v>
      </c>
      <c r="F15" s="331">
        <f t="shared" si="1"/>
        <v>17988290</v>
      </c>
    </row>
    <row r="16" spans="1:6" ht="14.1" customHeight="1">
      <c r="A16" s="26" t="s">
        <v>242</v>
      </c>
      <c r="B16" s="27">
        <v>12598396</v>
      </c>
      <c r="C16" s="27">
        <f>-Data!K16</f>
        <v>0</v>
      </c>
      <c r="D16" s="27">
        <f t="shared" si="0"/>
        <v>12598396</v>
      </c>
      <c r="E16" s="27">
        <f>-'- 15 -'!H16-'- 16 -'!B16</f>
        <v>-104383</v>
      </c>
      <c r="F16" s="27">
        <f t="shared" si="1"/>
        <v>12494013</v>
      </c>
    </row>
    <row r="17" spans="1:6" ht="14.1" customHeight="1">
      <c r="A17" s="330" t="s">
        <v>243</v>
      </c>
      <c r="B17" s="331">
        <v>16110457</v>
      </c>
      <c r="C17" s="331">
        <f>-Data!K17</f>
        <v>-190722</v>
      </c>
      <c r="D17" s="331">
        <f t="shared" si="0"/>
        <v>15919735</v>
      </c>
      <c r="E17" s="331">
        <f>-'- 15 -'!H17-'- 16 -'!B17</f>
        <v>-320294</v>
      </c>
      <c r="F17" s="331">
        <f t="shared" si="1"/>
        <v>15599441</v>
      </c>
    </row>
    <row r="18" spans="1:6" ht="14.1" customHeight="1">
      <c r="A18" s="26" t="s">
        <v>244</v>
      </c>
      <c r="B18" s="27">
        <v>113819839</v>
      </c>
      <c r="C18" s="27">
        <f>-Data!K18</f>
        <v>-4828856</v>
      </c>
      <c r="D18" s="27">
        <f t="shared" si="0"/>
        <v>108990983</v>
      </c>
      <c r="E18" s="27">
        <f>-'- 15 -'!H18-'- 16 -'!B18</f>
        <v>-4410363</v>
      </c>
      <c r="F18" s="27">
        <f t="shared" si="1"/>
        <v>104580620</v>
      </c>
    </row>
    <row r="19" spans="1:6" ht="14.1" customHeight="1">
      <c r="A19" s="330" t="s">
        <v>245</v>
      </c>
      <c r="B19" s="331">
        <v>37445781</v>
      </c>
      <c r="C19" s="331">
        <f>-Data!K19</f>
        <v>-321420</v>
      </c>
      <c r="D19" s="331">
        <f t="shared" si="0"/>
        <v>37124361</v>
      </c>
      <c r="E19" s="331">
        <f>-'- 15 -'!H19-'- 16 -'!B19</f>
        <v>-39140</v>
      </c>
      <c r="F19" s="331">
        <f t="shared" si="1"/>
        <v>37085221</v>
      </c>
    </row>
    <row r="20" spans="1:6" ht="14.1" customHeight="1">
      <c r="A20" s="26" t="s">
        <v>246</v>
      </c>
      <c r="B20" s="27">
        <v>63690797</v>
      </c>
      <c r="C20" s="27">
        <f>-Data!K20</f>
        <v>-846868</v>
      </c>
      <c r="D20" s="27">
        <f t="shared" si="0"/>
        <v>62843929</v>
      </c>
      <c r="E20" s="27">
        <f>-'- 15 -'!H20-'- 16 -'!B20</f>
        <v>-130553</v>
      </c>
      <c r="F20" s="27">
        <f t="shared" si="1"/>
        <v>62713376</v>
      </c>
    </row>
    <row r="21" spans="1:6" ht="14.1" customHeight="1">
      <c r="A21" s="330" t="s">
        <v>247</v>
      </c>
      <c r="B21" s="331">
        <v>31772151</v>
      </c>
      <c r="C21" s="331">
        <f>-Data!K21</f>
        <v>-326640</v>
      </c>
      <c r="D21" s="331">
        <f t="shared" si="0"/>
        <v>31445511</v>
      </c>
      <c r="E21" s="331">
        <f>-'- 15 -'!H21-'- 16 -'!B21</f>
        <v>-246331</v>
      </c>
      <c r="F21" s="331">
        <f t="shared" si="1"/>
        <v>31199180</v>
      </c>
    </row>
    <row r="22" spans="1:6" ht="14.1" customHeight="1">
      <c r="A22" s="26" t="s">
        <v>248</v>
      </c>
      <c r="B22" s="27">
        <v>18235400</v>
      </c>
      <c r="C22" s="27">
        <f>-Data!K22</f>
        <v>-18771</v>
      </c>
      <c r="D22" s="27">
        <f t="shared" si="0"/>
        <v>18216629</v>
      </c>
      <c r="E22" s="27">
        <f>-'- 15 -'!H22-'- 16 -'!B22</f>
        <v>-684300</v>
      </c>
      <c r="F22" s="27">
        <f t="shared" si="1"/>
        <v>17532329</v>
      </c>
    </row>
    <row r="23" spans="1:6" ht="14.1" customHeight="1">
      <c r="A23" s="330" t="s">
        <v>249</v>
      </c>
      <c r="B23" s="331">
        <v>15315530</v>
      </c>
      <c r="C23" s="331">
        <f>-Data!K23</f>
        <v>-39433</v>
      </c>
      <c r="D23" s="331">
        <f t="shared" si="0"/>
        <v>15276097</v>
      </c>
      <c r="E23" s="331">
        <f>-'- 15 -'!H23-'- 16 -'!B23</f>
        <v>-625378</v>
      </c>
      <c r="F23" s="331">
        <f t="shared" si="1"/>
        <v>14650719</v>
      </c>
    </row>
    <row r="24" spans="1:6" ht="14.1" customHeight="1">
      <c r="A24" s="26" t="s">
        <v>250</v>
      </c>
      <c r="B24" s="27">
        <v>49284522</v>
      </c>
      <c r="C24" s="27">
        <f>-Data!K24</f>
        <v>-238728</v>
      </c>
      <c r="D24" s="27">
        <f t="shared" si="0"/>
        <v>49045794</v>
      </c>
      <c r="E24" s="27">
        <f>-'- 15 -'!H24-'- 16 -'!B24</f>
        <v>-821198</v>
      </c>
      <c r="F24" s="27">
        <f t="shared" si="1"/>
        <v>48224596</v>
      </c>
    </row>
    <row r="25" spans="1:6" ht="14.1" customHeight="1">
      <c r="A25" s="330" t="s">
        <v>251</v>
      </c>
      <c r="B25" s="331">
        <v>146591132</v>
      </c>
      <c r="C25" s="331">
        <f>-Data!K25</f>
        <v>-1264288</v>
      </c>
      <c r="D25" s="331">
        <f t="shared" si="0"/>
        <v>145326844</v>
      </c>
      <c r="E25" s="331">
        <f>-'- 15 -'!H25-'- 16 -'!B25</f>
        <v>-1071322</v>
      </c>
      <c r="F25" s="331">
        <f t="shared" si="1"/>
        <v>144255522</v>
      </c>
    </row>
    <row r="26" spans="1:6" ht="14.1" customHeight="1">
      <c r="A26" s="26" t="s">
        <v>252</v>
      </c>
      <c r="B26" s="27">
        <v>35970835</v>
      </c>
      <c r="C26" s="27">
        <f>-Data!K26</f>
        <v>-22616</v>
      </c>
      <c r="D26" s="27">
        <f t="shared" si="0"/>
        <v>35948219</v>
      </c>
      <c r="E26" s="27">
        <f>-'- 15 -'!H26-'- 16 -'!B26</f>
        <v>-90158</v>
      </c>
      <c r="F26" s="27">
        <f t="shared" si="1"/>
        <v>35858061</v>
      </c>
    </row>
    <row r="27" spans="1:6" ht="14.1" customHeight="1">
      <c r="A27" s="330" t="s">
        <v>253</v>
      </c>
      <c r="B27" s="331">
        <v>39854230</v>
      </c>
      <c r="C27" s="331">
        <f>-Data!K27</f>
        <v>-1300</v>
      </c>
      <c r="D27" s="331">
        <f t="shared" si="0"/>
        <v>39852930</v>
      </c>
      <c r="E27" s="331">
        <f>-'- 15 -'!H27-'- 16 -'!B27</f>
        <v>-35146</v>
      </c>
      <c r="F27" s="331">
        <f t="shared" si="1"/>
        <v>39817784</v>
      </c>
    </row>
    <row r="28" spans="1:6" ht="14.1" customHeight="1">
      <c r="A28" s="26" t="s">
        <v>254</v>
      </c>
      <c r="B28" s="27">
        <v>24871427</v>
      </c>
      <c r="C28" s="27">
        <f>-Data!K28</f>
        <v>-98556</v>
      </c>
      <c r="D28" s="27">
        <f t="shared" si="0"/>
        <v>24772871</v>
      </c>
      <c r="E28" s="27">
        <f>-'- 15 -'!H28-'- 16 -'!B28</f>
        <v>-205985</v>
      </c>
      <c r="F28" s="27">
        <f t="shared" si="1"/>
        <v>24566886</v>
      </c>
    </row>
    <row r="29" spans="1:6" ht="14.1" customHeight="1">
      <c r="A29" s="330" t="s">
        <v>255</v>
      </c>
      <c r="B29" s="331">
        <v>136669064</v>
      </c>
      <c r="C29" s="331">
        <f>-Data!K29</f>
        <v>-1781115</v>
      </c>
      <c r="D29" s="331">
        <f t="shared" si="0"/>
        <v>134887949</v>
      </c>
      <c r="E29" s="331">
        <f>-'- 15 -'!H29-'- 16 -'!B29</f>
        <v>-778348</v>
      </c>
      <c r="F29" s="331">
        <f t="shared" si="1"/>
        <v>134109601</v>
      </c>
    </row>
    <row r="30" spans="1:6" ht="14.1" customHeight="1">
      <c r="A30" s="26" t="s">
        <v>256</v>
      </c>
      <c r="B30" s="27">
        <v>12920903</v>
      </c>
      <c r="C30" s="27">
        <f>-Data!K30</f>
        <v>-36285</v>
      </c>
      <c r="D30" s="27">
        <f t="shared" si="0"/>
        <v>12884618</v>
      </c>
      <c r="E30" s="27">
        <f>-'- 15 -'!H30-'- 16 -'!B30</f>
        <v>-13507</v>
      </c>
      <c r="F30" s="27">
        <f t="shared" si="1"/>
        <v>12871111</v>
      </c>
    </row>
    <row r="31" spans="1:6" ht="14.1" customHeight="1">
      <c r="A31" s="330" t="s">
        <v>257</v>
      </c>
      <c r="B31" s="331">
        <v>32097047</v>
      </c>
      <c r="C31" s="331">
        <f>-Data!K31</f>
        <v>-50050</v>
      </c>
      <c r="D31" s="331">
        <f t="shared" si="0"/>
        <v>32046997</v>
      </c>
      <c r="E31" s="331">
        <f>-'- 15 -'!H31-'- 16 -'!B31</f>
        <v>-40365</v>
      </c>
      <c r="F31" s="331">
        <f t="shared" si="1"/>
        <v>32006632</v>
      </c>
    </row>
    <row r="32" spans="1:6" ht="14.1" customHeight="1">
      <c r="A32" s="26" t="s">
        <v>258</v>
      </c>
      <c r="B32" s="27">
        <v>23898175</v>
      </c>
      <c r="C32" s="27">
        <f>-Data!K32</f>
        <v>-230005</v>
      </c>
      <c r="D32" s="27">
        <f t="shared" si="0"/>
        <v>23668170</v>
      </c>
      <c r="E32" s="27">
        <f>-'- 15 -'!H32-'- 16 -'!B32</f>
        <v>-270938</v>
      </c>
      <c r="F32" s="27">
        <f t="shared" si="1"/>
        <v>23397232</v>
      </c>
    </row>
    <row r="33" spans="1:7" ht="14.1" customHeight="1">
      <c r="A33" s="330" t="s">
        <v>259</v>
      </c>
      <c r="B33" s="331">
        <v>24604684</v>
      </c>
      <c r="C33" s="331">
        <f>-Data!K33</f>
        <v>-114000</v>
      </c>
      <c r="D33" s="331">
        <f t="shared" si="0"/>
        <v>24490684</v>
      </c>
      <c r="E33" s="331">
        <f>-'- 15 -'!H33-'- 16 -'!B33</f>
        <v>-29874</v>
      </c>
      <c r="F33" s="331">
        <f t="shared" si="1"/>
        <v>24460810</v>
      </c>
    </row>
    <row r="34" spans="1:7" ht="14.1" customHeight="1">
      <c r="A34" s="26" t="s">
        <v>260</v>
      </c>
      <c r="B34" s="27">
        <v>22989029</v>
      </c>
      <c r="C34" s="27">
        <f>-Data!K34</f>
        <v>-360273</v>
      </c>
      <c r="D34" s="27">
        <f t="shared" si="0"/>
        <v>22628756</v>
      </c>
      <c r="E34" s="27">
        <f>-'- 15 -'!H34-'- 16 -'!B34</f>
        <v>-28459</v>
      </c>
      <c r="F34" s="27">
        <f t="shared" si="1"/>
        <v>22600297</v>
      </c>
    </row>
    <row r="35" spans="1:7" ht="14.1" customHeight="1">
      <c r="A35" s="330" t="s">
        <v>261</v>
      </c>
      <c r="B35" s="331">
        <v>161378600</v>
      </c>
      <c r="C35" s="331">
        <f>-Data!K35</f>
        <v>-489713</v>
      </c>
      <c r="D35" s="331">
        <f t="shared" si="0"/>
        <v>160888887</v>
      </c>
      <c r="E35" s="331">
        <f>-'- 15 -'!H35-'- 16 -'!B35</f>
        <v>-2295421</v>
      </c>
      <c r="F35" s="331">
        <f t="shared" si="1"/>
        <v>158593466</v>
      </c>
    </row>
    <row r="36" spans="1:7" ht="14.1" customHeight="1">
      <c r="A36" s="26" t="s">
        <v>262</v>
      </c>
      <c r="B36" s="27">
        <v>20574396</v>
      </c>
      <c r="C36" s="27">
        <f>-Data!K36</f>
        <v>-208705</v>
      </c>
      <c r="D36" s="27">
        <f t="shared" si="0"/>
        <v>20365691</v>
      </c>
      <c r="E36" s="27">
        <f>-'- 15 -'!H36-'- 16 -'!B36</f>
        <v>-180717</v>
      </c>
      <c r="F36" s="27">
        <f t="shared" si="1"/>
        <v>20184974</v>
      </c>
    </row>
    <row r="37" spans="1:7" ht="14.1" customHeight="1">
      <c r="A37" s="330" t="s">
        <v>263</v>
      </c>
      <c r="B37" s="331">
        <v>38102866</v>
      </c>
      <c r="C37" s="331">
        <f>-Data!K37</f>
        <v>-596727</v>
      </c>
      <c r="D37" s="331">
        <f t="shared" si="0"/>
        <v>37506139</v>
      </c>
      <c r="E37" s="331">
        <f>-'- 15 -'!H37-'- 16 -'!B37</f>
        <v>-345324</v>
      </c>
      <c r="F37" s="331">
        <f t="shared" si="1"/>
        <v>37160815</v>
      </c>
    </row>
    <row r="38" spans="1:7" ht="14.1" customHeight="1">
      <c r="A38" s="26" t="s">
        <v>264</v>
      </c>
      <c r="B38" s="27">
        <v>103819604</v>
      </c>
      <c r="C38" s="27">
        <f>-Data!K38</f>
        <v>-1149129</v>
      </c>
      <c r="D38" s="27">
        <f t="shared" si="0"/>
        <v>102670475</v>
      </c>
      <c r="E38" s="27">
        <f>-'- 15 -'!H38-'- 16 -'!B38</f>
        <v>-1503409</v>
      </c>
      <c r="F38" s="27">
        <f t="shared" si="1"/>
        <v>101167066</v>
      </c>
    </row>
    <row r="39" spans="1:7" ht="14.1" customHeight="1">
      <c r="A39" s="330" t="s">
        <v>265</v>
      </c>
      <c r="B39" s="331">
        <v>19107909</v>
      </c>
      <c r="C39" s="331">
        <f>-Data!K39</f>
        <v>-108385</v>
      </c>
      <c r="D39" s="331">
        <f t="shared" si="0"/>
        <v>18999524</v>
      </c>
      <c r="E39" s="331">
        <f>-'- 15 -'!H39-'- 16 -'!B39</f>
        <v>-60563</v>
      </c>
      <c r="F39" s="331">
        <f t="shared" si="1"/>
        <v>18938961</v>
      </c>
    </row>
    <row r="40" spans="1:7" ht="14.1" customHeight="1">
      <c r="A40" s="26" t="s">
        <v>266</v>
      </c>
      <c r="B40" s="27">
        <v>91292210</v>
      </c>
      <c r="C40" s="27">
        <f>-Data!K40</f>
        <v>-443682</v>
      </c>
      <c r="D40" s="27">
        <f t="shared" si="0"/>
        <v>90848528</v>
      </c>
      <c r="E40" s="27">
        <f>-'- 15 -'!H40-'- 16 -'!B40</f>
        <v>-953494</v>
      </c>
      <c r="F40" s="27">
        <f t="shared" si="1"/>
        <v>89895034</v>
      </c>
    </row>
    <row r="41" spans="1:7" ht="14.1" customHeight="1">
      <c r="A41" s="330" t="s">
        <v>267</v>
      </c>
      <c r="B41" s="331">
        <v>55887829</v>
      </c>
      <c r="C41" s="331">
        <f>-Data!K41</f>
        <v>-671444</v>
      </c>
      <c r="D41" s="331">
        <f t="shared" si="0"/>
        <v>55216385</v>
      </c>
      <c r="E41" s="331">
        <f>-'- 15 -'!H41-'- 16 -'!B41</f>
        <v>-1238267</v>
      </c>
      <c r="F41" s="331">
        <f t="shared" si="1"/>
        <v>53978118</v>
      </c>
    </row>
    <row r="42" spans="1:7" ht="14.1" customHeight="1">
      <c r="A42" s="26" t="s">
        <v>268</v>
      </c>
      <c r="B42" s="27">
        <v>19203822</v>
      </c>
      <c r="C42" s="27">
        <f>-Data!K42</f>
        <v>-13000</v>
      </c>
      <c r="D42" s="27">
        <f t="shared" si="0"/>
        <v>19190822</v>
      </c>
      <c r="E42" s="27">
        <f>-'- 15 -'!H42-'- 16 -'!B42</f>
        <v>-73095</v>
      </c>
      <c r="F42" s="27">
        <f t="shared" si="1"/>
        <v>19117727</v>
      </c>
    </row>
    <row r="43" spans="1:7" ht="14.1" customHeight="1">
      <c r="A43" s="330" t="s">
        <v>269</v>
      </c>
      <c r="B43" s="331">
        <v>11331494</v>
      </c>
      <c r="C43" s="331">
        <f>-Data!K43</f>
        <v>-21450</v>
      </c>
      <c r="D43" s="331">
        <f t="shared" si="0"/>
        <v>11310044</v>
      </c>
      <c r="E43" s="331">
        <f>-'- 15 -'!H43-'- 16 -'!B43</f>
        <v>-254867</v>
      </c>
      <c r="F43" s="331">
        <f t="shared" si="1"/>
        <v>11055177</v>
      </c>
    </row>
    <row r="44" spans="1:7" ht="14.1" customHeight="1">
      <c r="A44" s="26" t="s">
        <v>270</v>
      </c>
      <c r="B44" s="27">
        <v>9765347</v>
      </c>
      <c r="C44" s="27">
        <f>-Data!K44</f>
        <v>-86510</v>
      </c>
      <c r="D44" s="27">
        <f t="shared" si="0"/>
        <v>9678837</v>
      </c>
      <c r="E44" s="27">
        <f>-'- 15 -'!H44-'- 16 -'!B44</f>
        <v>-10550</v>
      </c>
      <c r="F44" s="27">
        <f t="shared" si="1"/>
        <v>9668287</v>
      </c>
    </row>
    <row r="45" spans="1:7" ht="14.1" customHeight="1">
      <c r="A45" s="330" t="s">
        <v>271</v>
      </c>
      <c r="B45" s="331">
        <v>15648878</v>
      </c>
      <c r="C45" s="331">
        <f>-Data!K45</f>
        <v>-127193</v>
      </c>
      <c r="D45" s="331">
        <f t="shared" si="0"/>
        <v>15521685</v>
      </c>
      <c r="E45" s="331">
        <f>-'- 15 -'!H45-'- 16 -'!B45</f>
        <v>-408831</v>
      </c>
      <c r="F45" s="331">
        <f t="shared" si="1"/>
        <v>15112854</v>
      </c>
    </row>
    <row r="46" spans="1:7" ht="14.1" customHeight="1">
      <c r="A46" s="26" t="s">
        <v>272</v>
      </c>
      <c r="B46" s="27">
        <v>338327854</v>
      </c>
      <c r="C46" s="27">
        <f>-Data!K46</f>
        <v>-2276058</v>
      </c>
      <c r="D46" s="27">
        <f t="shared" si="0"/>
        <v>336051796</v>
      </c>
      <c r="E46" s="27">
        <f>-'- 15 -'!H46-'- 16 -'!B46</f>
        <v>-8563873</v>
      </c>
      <c r="F46" s="27">
        <f t="shared" si="1"/>
        <v>327487923</v>
      </c>
    </row>
    <row r="47" spans="1:7" ht="5.0999999999999996" customHeight="1">
      <c r="A47"/>
      <c r="B47"/>
      <c r="C47"/>
      <c r="D47"/>
      <c r="E47"/>
      <c r="F47"/>
      <c r="G47"/>
    </row>
    <row r="48" spans="1:7" ht="14.1" customHeight="1">
      <c r="A48" s="332" t="s">
        <v>273</v>
      </c>
      <c r="B48" s="333">
        <f>SUM(B11:B46)</f>
        <v>1945942424</v>
      </c>
      <c r="C48" s="333">
        <f>SUM(C11:C46)</f>
        <v>-17822900</v>
      </c>
      <c r="D48" s="333">
        <f>SUM(D11:D46)</f>
        <v>1928119524</v>
      </c>
      <c r="E48" s="333">
        <f>SUM(E11:E46)</f>
        <v>-28259128</v>
      </c>
      <c r="F48" s="333">
        <f>SUM(F11:F46)</f>
        <v>1899860396</v>
      </c>
    </row>
    <row r="49" spans="1:6" ht="5.0999999999999996" customHeight="1">
      <c r="A49" s="28" t="s">
        <v>18</v>
      </c>
      <c r="B49" s="29"/>
      <c r="C49" s="29"/>
      <c r="D49" s="29"/>
      <c r="E49" s="29"/>
      <c r="F49" s="29"/>
    </row>
    <row r="50" spans="1:6" ht="14.1" customHeight="1">
      <c r="A50" s="26" t="s">
        <v>274</v>
      </c>
      <c r="B50" s="27">
        <v>3230535</v>
      </c>
      <c r="C50" s="27">
        <f>-Data!K50</f>
        <v>0</v>
      </c>
      <c r="D50" s="27">
        <f>B50+C50</f>
        <v>3230535</v>
      </c>
      <c r="E50" s="27">
        <f>-'- 15 -'!H50-'- 16 -'!B50</f>
        <v>-9120</v>
      </c>
      <c r="F50" s="27">
        <f>D50+E50</f>
        <v>3221415</v>
      </c>
    </row>
    <row r="51" spans="1:6" ht="14.1" customHeight="1">
      <c r="A51" s="330" t="s">
        <v>275</v>
      </c>
      <c r="B51" s="331">
        <v>16041801</v>
      </c>
      <c r="C51" s="331">
        <f>-Data!K51</f>
        <v>-663335</v>
      </c>
      <c r="D51" s="331">
        <f>B51+C51</f>
        <v>15378466</v>
      </c>
      <c r="E51" s="331">
        <f>-'- 15 -'!H51-'- 16 -'!B51</f>
        <v>-6722630</v>
      </c>
      <c r="F51" s="331">
        <f>D51+E51</f>
        <v>8655836</v>
      </c>
    </row>
    <row r="52" spans="1:6" ht="50.1" customHeight="1">
      <c r="A52" s="30"/>
      <c r="B52" s="30"/>
      <c r="C52" s="30"/>
      <c r="D52" s="30"/>
      <c r="E52" s="30"/>
      <c r="F52" s="30"/>
    </row>
    <row r="53" spans="1:6" ht="14.45" customHeight="1">
      <c r="A53" s="1" t="s">
        <v>616</v>
      </c>
    </row>
    <row r="54" spans="1:6" ht="12" customHeight="1">
      <c r="A54" s="1" t="s">
        <v>617</v>
      </c>
    </row>
    <row r="55" spans="1:6" ht="12" customHeight="1">
      <c r="A55" s="1" t="s">
        <v>601</v>
      </c>
    </row>
    <row r="56" spans="1:6" ht="12" customHeight="1">
      <c r="A56" s="1" t="s">
        <v>618</v>
      </c>
    </row>
    <row r="57" spans="1:6" ht="12" customHeight="1">
      <c r="A57" s="1" t="s">
        <v>619</v>
      </c>
    </row>
    <row r="58" spans="1:6" ht="12" customHeight="1">
      <c r="A58" s="1" t="s">
        <v>620</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sheetPr codeName="Sheet171">
    <pageSetUpPr fitToPage="1"/>
  </sheetPr>
  <dimension ref="A1:F52"/>
  <sheetViews>
    <sheetView showGridLines="0" showZeros="0" workbookViewId="0"/>
  </sheetViews>
  <sheetFormatPr defaultColWidth="15.83203125" defaultRowHeight="12"/>
  <cols>
    <col min="1" max="1" width="32.83203125" style="1" customWidth="1"/>
    <col min="2" max="2" width="23.83203125" style="1" customWidth="1"/>
    <col min="3" max="3" width="12.83203125" style="1" customWidth="1"/>
    <col min="4" max="4" width="22.83203125" style="1" customWidth="1"/>
    <col min="5" max="5" width="12.83203125" style="1" customWidth="1"/>
    <col min="6" max="6" width="27.83203125" style="1" customWidth="1"/>
    <col min="7" max="16384" width="15.83203125" style="1"/>
  </cols>
  <sheetData>
    <row r="1" spans="1:6" ht="6.95" customHeight="1">
      <c r="A1" s="6"/>
      <c r="B1" s="7"/>
      <c r="C1" s="7"/>
      <c r="D1" s="7"/>
      <c r="E1" s="7"/>
    </row>
    <row r="2" spans="1:6" ht="15.95" customHeight="1">
      <c r="A2" s="152"/>
      <c r="B2" s="8" t="s">
        <v>483</v>
      </c>
      <c r="C2" s="9"/>
      <c r="D2" s="9"/>
      <c r="E2" s="153"/>
      <c r="F2" s="491" t="s">
        <v>453</v>
      </c>
    </row>
    <row r="3" spans="1:6" ht="15.95" customHeight="1">
      <c r="A3" s="154"/>
      <c r="B3" s="10" t="str">
        <f>OPYEAR</f>
        <v>OPERATING FUND 2011/2012 ACTUAL</v>
      </c>
      <c r="C3" s="11"/>
      <c r="D3" s="11"/>
      <c r="E3" s="74"/>
      <c r="F3" s="74"/>
    </row>
    <row r="4" spans="1:6" ht="15.95" customHeight="1">
      <c r="B4" s="7"/>
      <c r="C4" s="7"/>
      <c r="D4" s="7"/>
      <c r="E4" s="7"/>
    </row>
    <row r="5" spans="1:6" ht="15.95" customHeight="1">
      <c r="B5" s="174" t="s">
        <v>321</v>
      </c>
      <c r="C5" s="194"/>
      <c r="D5" s="46"/>
      <c r="E5" s="205"/>
    </row>
    <row r="6" spans="1:6" ht="15.95" customHeight="1">
      <c r="B6" s="358" t="s">
        <v>45</v>
      </c>
      <c r="C6" s="361"/>
      <c r="D6" s="392"/>
      <c r="E6" s="393"/>
    </row>
    <row r="7" spans="1:6" ht="15.95" customHeight="1">
      <c r="B7" s="344" t="s">
        <v>222</v>
      </c>
      <c r="C7" s="345"/>
      <c r="D7" s="344" t="s">
        <v>176</v>
      </c>
      <c r="E7" s="346"/>
    </row>
    <row r="8" spans="1:6" ht="15.95" customHeight="1">
      <c r="A8" s="75"/>
      <c r="B8" s="157"/>
      <c r="C8" s="155"/>
      <c r="D8" s="157"/>
      <c r="E8" s="155"/>
    </row>
    <row r="9" spans="1:6" ht="15.95" customHeight="1">
      <c r="A9" s="42" t="s">
        <v>95</v>
      </c>
      <c r="B9" s="87" t="s">
        <v>96</v>
      </c>
      <c r="C9" s="87" t="s">
        <v>97</v>
      </c>
      <c r="D9" s="87" t="s">
        <v>96</v>
      </c>
      <c r="E9" s="87" t="s">
        <v>97</v>
      </c>
    </row>
    <row r="10" spans="1:6" ht="5.0999999999999996" customHeight="1">
      <c r="A10" s="5"/>
    </row>
    <row r="11" spans="1:6" ht="14.1" customHeight="1">
      <c r="A11" s="330" t="s">
        <v>238</v>
      </c>
      <c r="B11" s="331">
        <v>0</v>
      </c>
      <c r="C11" s="337">
        <f>B11/'- 3 -'!$D11*100</f>
        <v>0</v>
      </c>
      <c r="D11" s="331">
        <v>0</v>
      </c>
      <c r="E11" s="337">
        <f>D11/'- 3 -'!$D11*100</f>
        <v>0</v>
      </c>
    </row>
    <row r="12" spans="1:6" ht="14.1" customHeight="1">
      <c r="A12" s="26" t="s">
        <v>239</v>
      </c>
      <c r="B12" s="27">
        <v>111641</v>
      </c>
      <c r="C12" s="79">
        <f>B12/'- 3 -'!$D12*100</f>
        <v>0.3903986842661088</v>
      </c>
      <c r="D12" s="27">
        <v>441451</v>
      </c>
      <c r="E12" s="79">
        <f>D12/'- 3 -'!$D12*100</f>
        <v>1.5437150291376645</v>
      </c>
    </row>
    <row r="13" spans="1:6" ht="14.1" customHeight="1">
      <c r="A13" s="330" t="s">
        <v>240</v>
      </c>
      <c r="B13" s="331">
        <v>0</v>
      </c>
      <c r="C13" s="337">
        <f>B13/'- 3 -'!$D13*100</f>
        <v>0</v>
      </c>
      <c r="D13" s="331">
        <v>0</v>
      </c>
      <c r="E13" s="337">
        <f>D13/'- 3 -'!$D13*100</f>
        <v>0</v>
      </c>
    </row>
    <row r="14" spans="1:6" ht="14.1" customHeight="1">
      <c r="A14" s="26" t="s">
        <v>653</v>
      </c>
      <c r="B14" s="27">
        <v>64904</v>
      </c>
      <c r="C14" s="79">
        <f>B14/'- 3 -'!$D14*100</f>
        <v>9.7624698314653327E-2</v>
      </c>
      <c r="D14" s="27">
        <v>172297</v>
      </c>
      <c r="E14" s="79">
        <f>D14/'- 3 -'!$D14*100</f>
        <v>0.25915879831011684</v>
      </c>
    </row>
    <row r="15" spans="1:6" ht="14.1" customHeight="1">
      <c r="A15" s="330" t="s">
        <v>241</v>
      </c>
      <c r="B15" s="331">
        <v>0</v>
      </c>
      <c r="C15" s="337">
        <f>B15/'- 3 -'!$D15*100</f>
        <v>0</v>
      </c>
      <c r="D15" s="331">
        <v>0</v>
      </c>
      <c r="E15" s="337">
        <f>D15/'- 3 -'!$D15*100</f>
        <v>0</v>
      </c>
    </row>
    <row r="16" spans="1:6" ht="14.1" customHeight="1">
      <c r="A16" s="26" t="s">
        <v>242</v>
      </c>
      <c r="B16" s="27">
        <v>22935</v>
      </c>
      <c r="C16" s="79">
        <f>B16/'- 3 -'!$D16*100</f>
        <v>0.18204698439388634</v>
      </c>
      <c r="D16" s="27">
        <v>69365</v>
      </c>
      <c r="E16" s="79">
        <f>D16/'- 3 -'!$D16*100</f>
        <v>0.5505859634829704</v>
      </c>
    </row>
    <row r="17" spans="1:5" ht="14.1" customHeight="1">
      <c r="A17" s="330" t="s">
        <v>243</v>
      </c>
      <c r="B17" s="331">
        <v>0</v>
      </c>
      <c r="C17" s="337">
        <f>B17/'- 3 -'!$D17*100</f>
        <v>0</v>
      </c>
      <c r="D17" s="331">
        <v>0</v>
      </c>
      <c r="E17" s="337">
        <f>D17/'- 3 -'!$D17*100</f>
        <v>0</v>
      </c>
    </row>
    <row r="18" spans="1:5" ht="14.1" customHeight="1">
      <c r="A18" s="26" t="s">
        <v>244</v>
      </c>
      <c r="B18" s="27">
        <v>206404</v>
      </c>
      <c r="C18" s="79">
        <f>B18/'- 3 -'!$D18*100</f>
        <v>0.18937713406988907</v>
      </c>
      <c r="D18" s="27">
        <v>1709898</v>
      </c>
      <c r="E18" s="79">
        <f>D18/'- 3 -'!$D18*100</f>
        <v>1.5688435436902151</v>
      </c>
    </row>
    <row r="19" spans="1:5" ht="14.1" customHeight="1">
      <c r="A19" s="330" t="s">
        <v>245</v>
      </c>
      <c r="B19" s="331">
        <v>0</v>
      </c>
      <c r="C19" s="337">
        <f>B19/'- 3 -'!$D19*100</f>
        <v>0</v>
      </c>
      <c r="D19" s="331">
        <v>0</v>
      </c>
      <c r="E19" s="337">
        <f>D19/'- 3 -'!$D19*100</f>
        <v>0</v>
      </c>
    </row>
    <row r="20" spans="1:5" ht="14.1" customHeight="1">
      <c r="A20" s="26" t="s">
        <v>246</v>
      </c>
      <c r="B20" s="27">
        <v>0</v>
      </c>
      <c r="C20" s="79">
        <f>B20/'- 3 -'!$D20*100</f>
        <v>0</v>
      </c>
      <c r="D20" s="27">
        <v>0</v>
      </c>
      <c r="E20" s="79">
        <f>D20/'- 3 -'!$D20*100</f>
        <v>0</v>
      </c>
    </row>
    <row r="21" spans="1:5" ht="14.1" customHeight="1">
      <c r="A21" s="330" t="s">
        <v>247</v>
      </c>
      <c r="B21" s="331">
        <v>0</v>
      </c>
      <c r="C21" s="337">
        <f>B21/'- 3 -'!$D21*100</f>
        <v>0</v>
      </c>
      <c r="D21" s="331">
        <v>0</v>
      </c>
      <c r="E21" s="337">
        <f>D21/'- 3 -'!$D21*100</f>
        <v>0</v>
      </c>
    </row>
    <row r="22" spans="1:5" ht="14.1" customHeight="1">
      <c r="A22" s="26" t="s">
        <v>248</v>
      </c>
      <c r="B22" s="27">
        <v>148441</v>
      </c>
      <c r="C22" s="79">
        <f>B22/'- 3 -'!$D22*100</f>
        <v>0.81486536285061295</v>
      </c>
      <c r="D22" s="27">
        <v>484887</v>
      </c>
      <c r="E22" s="79">
        <f>D22/'- 3 -'!$D22*100</f>
        <v>2.6617822649843723</v>
      </c>
    </row>
    <row r="23" spans="1:5" ht="14.1" customHeight="1">
      <c r="A23" s="330" t="s">
        <v>249</v>
      </c>
      <c r="B23" s="331">
        <v>39195</v>
      </c>
      <c r="C23" s="337">
        <f>B23/'- 3 -'!$D23*100</f>
        <v>0.25657731814612073</v>
      </c>
      <c r="D23" s="331">
        <v>243045</v>
      </c>
      <c r="E23" s="337">
        <f>D23/'- 3 -'!$D23*100</f>
        <v>1.5910150347958643</v>
      </c>
    </row>
    <row r="24" spans="1:5" ht="14.1" customHeight="1">
      <c r="A24" s="26" t="s">
        <v>250</v>
      </c>
      <c r="B24" s="27">
        <v>126780</v>
      </c>
      <c r="C24" s="79">
        <f>B24/'- 3 -'!$D24*100</f>
        <v>0.25849311359909882</v>
      </c>
      <c r="D24" s="27">
        <v>221853</v>
      </c>
      <c r="E24" s="79">
        <f>D24/'- 3 -'!$D24*100</f>
        <v>0.45233848186859821</v>
      </c>
    </row>
    <row r="25" spans="1:5" ht="14.1" customHeight="1">
      <c r="A25" s="330" t="s">
        <v>251</v>
      </c>
      <c r="B25" s="331">
        <v>0</v>
      </c>
      <c r="C25" s="337">
        <f>B25/'- 3 -'!$D25*100</f>
        <v>0</v>
      </c>
      <c r="D25" s="331">
        <v>0</v>
      </c>
      <c r="E25" s="337">
        <f>D25/'- 3 -'!$D25*100</f>
        <v>0</v>
      </c>
    </row>
    <row r="26" spans="1:5" ht="14.1" customHeight="1">
      <c r="A26" s="26" t="s">
        <v>252</v>
      </c>
      <c r="B26" s="27">
        <v>0</v>
      </c>
      <c r="C26" s="79">
        <f>B26/'- 3 -'!$D26*100</f>
        <v>0</v>
      </c>
      <c r="D26" s="27">
        <v>0</v>
      </c>
      <c r="E26" s="79">
        <f>D26/'- 3 -'!$D26*100</f>
        <v>0</v>
      </c>
    </row>
    <row r="27" spans="1:5" ht="14.1" customHeight="1">
      <c r="A27" s="330" t="s">
        <v>253</v>
      </c>
      <c r="B27" s="331">
        <v>0</v>
      </c>
      <c r="C27" s="337">
        <f>B27/'- 3 -'!$D27*100</f>
        <v>0</v>
      </c>
      <c r="D27" s="331">
        <v>0</v>
      </c>
      <c r="E27" s="337">
        <f>D27/'- 3 -'!$D27*100</f>
        <v>0</v>
      </c>
    </row>
    <row r="28" spans="1:5" ht="14.1" customHeight="1">
      <c r="A28" s="26" t="s">
        <v>254</v>
      </c>
      <c r="B28" s="27">
        <v>0</v>
      </c>
      <c r="C28" s="79">
        <f>B28/'- 3 -'!$D28*100</f>
        <v>0</v>
      </c>
      <c r="D28" s="27">
        <v>135751</v>
      </c>
      <c r="E28" s="79">
        <f>D28/'- 3 -'!$D28*100</f>
        <v>0.54798250876937116</v>
      </c>
    </row>
    <row r="29" spans="1:5" ht="14.1" customHeight="1">
      <c r="A29" s="330" t="s">
        <v>255</v>
      </c>
      <c r="B29" s="331">
        <v>0</v>
      </c>
      <c r="C29" s="337">
        <f>B29/'- 3 -'!$D29*100</f>
        <v>0</v>
      </c>
      <c r="D29" s="331">
        <v>0</v>
      </c>
      <c r="E29" s="337">
        <f>D29/'- 3 -'!$D29*100</f>
        <v>0</v>
      </c>
    </row>
    <row r="30" spans="1:5" ht="14.1" customHeight="1">
      <c r="A30" s="26" t="s">
        <v>256</v>
      </c>
      <c r="B30" s="27">
        <v>0</v>
      </c>
      <c r="C30" s="79">
        <f>B30/'- 3 -'!$D30*100</f>
        <v>0</v>
      </c>
      <c r="D30" s="27">
        <v>0</v>
      </c>
      <c r="E30" s="79">
        <f>D30/'- 3 -'!$D30*100</f>
        <v>0</v>
      </c>
    </row>
    <row r="31" spans="1:5" ht="14.1" customHeight="1">
      <c r="A31" s="330" t="s">
        <v>257</v>
      </c>
      <c r="B31" s="331">
        <v>0</v>
      </c>
      <c r="C31" s="337">
        <f>B31/'- 3 -'!$D31*100</f>
        <v>0</v>
      </c>
      <c r="D31" s="331">
        <v>0</v>
      </c>
      <c r="E31" s="337">
        <f>D31/'- 3 -'!$D31*100</f>
        <v>0</v>
      </c>
    </row>
    <row r="32" spans="1:5" ht="14.1" customHeight="1">
      <c r="A32" s="26" t="s">
        <v>258</v>
      </c>
      <c r="B32" s="27">
        <v>55381</v>
      </c>
      <c r="C32" s="79">
        <f>B32/'- 3 -'!$D32*100</f>
        <v>0.23398936208418311</v>
      </c>
      <c r="D32" s="27">
        <v>190533</v>
      </c>
      <c r="E32" s="79">
        <f>D32/'- 3 -'!$D32*100</f>
        <v>0.80501787844180595</v>
      </c>
    </row>
    <row r="33" spans="1:6" ht="14.1" customHeight="1">
      <c r="A33" s="330" t="s">
        <v>259</v>
      </c>
      <c r="B33" s="331">
        <v>0</v>
      </c>
      <c r="C33" s="337">
        <f>B33/'- 3 -'!$D33*100</f>
        <v>0</v>
      </c>
      <c r="D33" s="331">
        <v>0</v>
      </c>
      <c r="E33" s="337">
        <f>D33/'- 3 -'!$D33*100</f>
        <v>0</v>
      </c>
    </row>
    <row r="34" spans="1:6" ht="14.1" customHeight="1">
      <c r="A34" s="26" t="s">
        <v>260</v>
      </c>
      <c r="B34" s="27">
        <v>0</v>
      </c>
      <c r="C34" s="79">
        <f>B34/'- 3 -'!$D34*100</f>
        <v>0</v>
      </c>
      <c r="D34" s="27">
        <v>0</v>
      </c>
      <c r="E34" s="79">
        <f>D34/'- 3 -'!$D34*100</f>
        <v>0</v>
      </c>
    </row>
    <row r="35" spans="1:6" ht="14.1" customHeight="1">
      <c r="A35" s="330" t="s">
        <v>261</v>
      </c>
      <c r="B35" s="331">
        <v>242995</v>
      </c>
      <c r="C35" s="337">
        <f>B35/'- 3 -'!$D35*100</f>
        <v>0.15103280564057853</v>
      </c>
      <c r="D35" s="331">
        <v>770375</v>
      </c>
      <c r="E35" s="337">
        <f>D35/'- 3 -'!$D35*100</f>
        <v>0.47882424595304707</v>
      </c>
    </row>
    <row r="36" spans="1:6" ht="14.1" customHeight="1">
      <c r="A36" s="26" t="s">
        <v>262</v>
      </c>
      <c r="B36" s="27">
        <v>28076</v>
      </c>
      <c r="C36" s="79">
        <f>B36/'- 3 -'!$D36*100</f>
        <v>0.13785930465114096</v>
      </c>
      <c r="D36" s="27">
        <v>128461</v>
      </c>
      <c r="E36" s="79">
        <f>D36/'- 3 -'!$D36*100</f>
        <v>0.63077162468977854</v>
      </c>
    </row>
    <row r="37" spans="1:6" ht="14.1" customHeight="1">
      <c r="A37" s="330" t="s">
        <v>263</v>
      </c>
      <c r="B37" s="331">
        <v>78520</v>
      </c>
      <c r="C37" s="337">
        <f>B37/'- 3 -'!$D37*100</f>
        <v>0.20935239428403973</v>
      </c>
      <c r="D37" s="331">
        <v>224923</v>
      </c>
      <c r="E37" s="337">
        <f>D37/'- 3 -'!$D37*100</f>
        <v>0.59969649235289191</v>
      </c>
    </row>
    <row r="38" spans="1:6" ht="14.1" customHeight="1">
      <c r="A38" s="26" t="s">
        <v>264</v>
      </c>
      <c r="B38" s="27">
        <v>291533</v>
      </c>
      <c r="C38" s="79">
        <f>B38/'- 3 -'!$D38*100</f>
        <v>0.2839501813934337</v>
      </c>
      <c r="D38" s="27">
        <v>304446</v>
      </c>
      <c r="E38" s="79">
        <f>D38/'- 3 -'!$D38*100</f>
        <v>0.29652731225797874</v>
      </c>
    </row>
    <row r="39" spans="1:6" ht="14.1" customHeight="1">
      <c r="A39" s="330" t="s">
        <v>265</v>
      </c>
      <c r="B39" s="331">
        <v>0</v>
      </c>
      <c r="C39" s="337">
        <f>B39/'- 3 -'!$D39*100</f>
        <v>0</v>
      </c>
      <c r="D39" s="331">
        <v>0</v>
      </c>
      <c r="E39" s="337">
        <f>D39/'- 3 -'!$D39*100</f>
        <v>0</v>
      </c>
    </row>
    <row r="40" spans="1:6" ht="14.1" customHeight="1">
      <c r="A40" s="26" t="s">
        <v>266</v>
      </c>
      <c r="B40" s="27">
        <v>0</v>
      </c>
      <c r="C40" s="79">
        <f>B40/'- 3 -'!$D40*100</f>
        <v>0</v>
      </c>
      <c r="D40" s="27">
        <v>0</v>
      </c>
      <c r="E40" s="79">
        <f>D40/'- 3 -'!$D40*100</f>
        <v>0</v>
      </c>
    </row>
    <row r="41" spans="1:6" ht="14.1" customHeight="1">
      <c r="A41" s="330" t="s">
        <v>267</v>
      </c>
      <c r="B41" s="331">
        <v>342228</v>
      </c>
      <c r="C41" s="337">
        <f>B41/'- 3 -'!$D41*100</f>
        <v>0.61979428751085397</v>
      </c>
      <c r="D41" s="331">
        <v>621988</v>
      </c>
      <c r="E41" s="337">
        <f>D41/'- 3 -'!$D41*100</f>
        <v>1.12645548961599</v>
      </c>
    </row>
    <row r="42" spans="1:6" ht="14.1" customHeight="1">
      <c r="A42" s="26" t="s">
        <v>268</v>
      </c>
      <c r="B42" s="27">
        <v>0</v>
      </c>
      <c r="C42" s="79">
        <f>B42/'- 3 -'!$D42*100</f>
        <v>0</v>
      </c>
      <c r="D42" s="27">
        <v>0</v>
      </c>
      <c r="E42" s="79">
        <f>D42/'- 3 -'!$D42*100</f>
        <v>0</v>
      </c>
    </row>
    <row r="43" spans="1:6" ht="14.1" customHeight="1">
      <c r="A43" s="330" t="s">
        <v>269</v>
      </c>
      <c r="B43" s="331">
        <v>0</v>
      </c>
      <c r="C43" s="337">
        <f>B43/'- 3 -'!$D43*100</f>
        <v>0</v>
      </c>
      <c r="D43" s="331">
        <v>241517</v>
      </c>
      <c r="E43" s="337">
        <f>D43/'- 3 -'!$D43*100</f>
        <v>2.135420516489591</v>
      </c>
    </row>
    <row r="44" spans="1:6" ht="14.1" customHeight="1">
      <c r="A44" s="26" t="s">
        <v>270</v>
      </c>
      <c r="B44" s="27">
        <v>0</v>
      </c>
      <c r="C44" s="79">
        <f>B44/'- 3 -'!$D44*100</f>
        <v>0</v>
      </c>
      <c r="D44" s="27">
        <v>0</v>
      </c>
      <c r="E44" s="79">
        <f>D44/'- 3 -'!$D44*100</f>
        <v>0</v>
      </c>
    </row>
    <row r="45" spans="1:6" ht="14.1" customHeight="1">
      <c r="A45" s="330" t="s">
        <v>271</v>
      </c>
      <c r="B45" s="331">
        <v>178115</v>
      </c>
      <c r="C45" s="337">
        <f>B45/'- 3 -'!$D45*100</f>
        <v>1.1475236097111878</v>
      </c>
      <c r="D45" s="331">
        <v>194675</v>
      </c>
      <c r="E45" s="337">
        <f>D45/'- 3 -'!$D45*100</f>
        <v>1.2542130574096821</v>
      </c>
    </row>
    <row r="46" spans="1:6" ht="14.1" customHeight="1">
      <c r="A46" s="26" t="s">
        <v>272</v>
      </c>
      <c r="B46" s="27">
        <v>121747</v>
      </c>
      <c r="C46" s="79">
        <f>B46/'- 3 -'!$D46*100</f>
        <v>3.6228641372891224E-2</v>
      </c>
      <c r="D46" s="27">
        <v>630271</v>
      </c>
      <c r="E46" s="79">
        <f>D46/'- 3 -'!$D46*100</f>
        <v>0.18755174276765357</v>
      </c>
    </row>
    <row r="47" spans="1:6" ht="5.0999999999999996" customHeight="1">
      <c r="A47"/>
      <c r="B47"/>
      <c r="C47"/>
      <c r="D47"/>
      <c r="E47"/>
      <c r="F47"/>
    </row>
    <row r="48" spans="1:6" ht="14.1" customHeight="1">
      <c r="A48" s="332" t="s">
        <v>273</v>
      </c>
      <c r="B48" s="333">
        <f>SUM(B11:B46)</f>
        <v>2058895</v>
      </c>
      <c r="C48" s="340">
        <f>B48/'- 3 -'!$D48*100</f>
        <v>0.10678253989818527</v>
      </c>
      <c r="D48" s="333">
        <f>SUM(D11:D46)</f>
        <v>6785736</v>
      </c>
      <c r="E48" s="340">
        <f>D48/'- 3 -'!$D48*100</f>
        <v>0.35193544360375451</v>
      </c>
    </row>
    <row r="49" spans="1:5" ht="5.0999999999999996" customHeight="1">
      <c r="A49" s="28" t="s">
        <v>18</v>
      </c>
      <c r="B49"/>
      <c r="C49"/>
      <c r="D49"/>
      <c r="E49"/>
    </row>
    <row r="50" spans="1:5" ht="14.1" customHeight="1">
      <c r="A50" s="26" t="s">
        <v>274</v>
      </c>
      <c r="B50" s="27">
        <v>0</v>
      </c>
      <c r="C50" s="79">
        <f>B50/'- 3 -'!$D50*100</f>
        <v>0</v>
      </c>
      <c r="D50" s="27">
        <v>0</v>
      </c>
      <c r="E50" s="79">
        <f>D50/'- 3 -'!$D50*100</f>
        <v>0</v>
      </c>
    </row>
    <row r="51" spans="1:5" ht="14.1" customHeight="1">
      <c r="A51" s="330" t="s">
        <v>275</v>
      </c>
      <c r="B51" s="331">
        <v>907733</v>
      </c>
      <c r="C51" s="337">
        <f>B51/'- 3 -'!$D51*100</f>
        <v>5.9026238377741969</v>
      </c>
      <c r="D51" s="331">
        <v>1544914</v>
      </c>
      <c r="E51" s="337">
        <f>D51/'- 3 -'!$D51*100</f>
        <v>10.045956469260329</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sheetPr codeName="Sheet20">
    <pageSetUpPr fitToPage="1"/>
  </sheetPr>
  <dimension ref="A1:J52"/>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14.83203125" style="1" customWidth="1"/>
    <col min="5" max="5" width="10.5" style="1" customWidth="1"/>
    <col min="6" max="6" width="18.83203125" style="1" customWidth="1"/>
    <col min="7" max="7" width="8.83203125" style="1" customWidth="1"/>
    <col min="8" max="8" width="16.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52"/>
      <c r="B2" s="8" t="s">
        <v>483</v>
      </c>
      <c r="C2" s="9"/>
      <c r="D2" s="9"/>
      <c r="E2" s="9"/>
      <c r="F2" s="9"/>
      <c r="G2" s="82"/>
      <c r="H2" s="82"/>
      <c r="I2" s="491" t="s">
        <v>452</v>
      </c>
    </row>
    <row r="3" spans="1:9" ht="15.95" customHeight="1">
      <c r="A3" s="154"/>
      <c r="B3" s="10" t="str">
        <f>OPYEAR</f>
        <v>OPERATING FUND 2011/2012 ACTUAL</v>
      </c>
      <c r="C3" s="11"/>
      <c r="D3" s="11"/>
      <c r="E3" s="11"/>
      <c r="F3" s="11"/>
      <c r="G3" s="84"/>
      <c r="H3" s="84"/>
      <c r="I3" s="74"/>
    </row>
    <row r="4" spans="1:9" ht="15.95" customHeight="1">
      <c r="B4" s="7"/>
      <c r="C4" s="7"/>
      <c r="D4" s="7"/>
      <c r="E4" s="7"/>
      <c r="F4" s="7"/>
      <c r="G4" s="7"/>
      <c r="H4" s="7"/>
      <c r="I4" s="7"/>
    </row>
    <row r="5" spans="1:9" ht="15.95" customHeight="1">
      <c r="B5" s="185" t="s">
        <v>28</v>
      </c>
      <c r="C5" s="186"/>
      <c r="D5" s="187"/>
      <c r="E5" s="187"/>
      <c r="F5" s="187"/>
      <c r="G5" s="187"/>
      <c r="H5" s="187"/>
      <c r="I5" s="188"/>
    </row>
    <row r="6" spans="1:9" ht="15.95" customHeight="1">
      <c r="B6" s="358"/>
      <c r="C6" s="359"/>
      <c r="D6" s="358" t="s">
        <v>440</v>
      </c>
      <c r="E6" s="359"/>
      <c r="F6" s="392"/>
      <c r="G6" s="393"/>
      <c r="H6" s="358"/>
      <c r="I6" s="359"/>
    </row>
    <row r="7" spans="1:9" ht="15.95" customHeight="1">
      <c r="B7" s="394" t="s">
        <v>234</v>
      </c>
      <c r="C7" s="395"/>
      <c r="D7" s="394" t="s">
        <v>527</v>
      </c>
      <c r="E7" s="395"/>
      <c r="F7" s="394" t="s">
        <v>52</v>
      </c>
      <c r="G7" s="395"/>
      <c r="H7" s="394" t="s">
        <v>196</v>
      </c>
      <c r="I7" s="395"/>
    </row>
    <row r="8" spans="1:9" ht="15.95" customHeight="1">
      <c r="A8" s="75"/>
      <c r="B8" s="344" t="s">
        <v>91</v>
      </c>
      <c r="C8" s="346"/>
      <c r="D8" s="344" t="s">
        <v>414</v>
      </c>
      <c r="E8" s="346"/>
      <c r="F8" s="344" t="s">
        <v>76</v>
      </c>
      <c r="G8" s="346"/>
      <c r="H8" s="344" t="s">
        <v>91</v>
      </c>
      <c r="I8" s="346"/>
    </row>
    <row r="9" spans="1:9" ht="15.95" customHeight="1">
      <c r="A9" s="42" t="s">
        <v>95</v>
      </c>
      <c r="B9" s="189" t="s">
        <v>96</v>
      </c>
      <c r="C9" s="189" t="s">
        <v>97</v>
      </c>
      <c r="D9" s="189" t="s">
        <v>96</v>
      </c>
      <c r="E9" s="189" t="s">
        <v>97</v>
      </c>
      <c r="F9" s="189" t="s">
        <v>96</v>
      </c>
      <c r="G9" s="189" t="s">
        <v>97</v>
      </c>
      <c r="H9" s="189" t="s">
        <v>96</v>
      </c>
      <c r="I9" s="189" t="s">
        <v>97</v>
      </c>
    </row>
    <row r="10" spans="1:9" ht="5.0999999999999996" customHeight="1">
      <c r="A10" s="5"/>
    </row>
    <row r="11" spans="1:9" ht="14.1" customHeight="1">
      <c r="A11" s="330" t="s">
        <v>238</v>
      </c>
      <c r="B11" s="331">
        <v>0</v>
      </c>
      <c r="C11" s="337">
        <f>B11/'- 3 -'!$D11*100</f>
        <v>0</v>
      </c>
      <c r="D11" s="331">
        <v>0</v>
      </c>
      <c r="E11" s="337">
        <f>D11/'- 3 -'!$D11*100</f>
        <v>0</v>
      </c>
      <c r="F11" s="331">
        <v>0</v>
      </c>
      <c r="G11" s="337">
        <f>F11/'- 3 -'!$D11*100</f>
        <v>0</v>
      </c>
      <c r="H11" s="331">
        <v>17339</v>
      </c>
      <c r="I11" s="337">
        <f>H11/'- 3 -'!$D11*100</f>
        <v>0.11519410894974982</v>
      </c>
    </row>
    <row r="12" spans="1:9" ht="14.1" customHeight="1">
      <c r="A12" s="26" t="s">
        <v>239</v>
      </c>
      <c r="B12" s="27">
        <v>0</v>
      </c>
      <c r="C12" s="79">
        <f>B12/'- 3 -'!$D12*100</f>
        <v>0</v>
      </c>
      <c r="D12" s="27">
        <v>0</v>
      </c>
      <c r="E12" s="79">
        <f>D12/'- 3 -'!$D12*100</f>
        <v>0</v>
      </c>
      <c r="F12" s="27">
        <v>0</v>
      </c>
      <c r="G12" s="79">
        <f>F12/'- 3 -'!$D12*100</f>
        <v>0</v>
      </c>
      <c r="H12" s="27">
        <v>45012</v>
      </c>
      <c r="I12" s="79">
        <f>H12/'- 3 -'!$D12*100</f>
        <v>0.15740297539601122</v>
      </c>
    </row>
    <row r="13" spans="1:9" ht="14.1" customHeight="1">
      <c r="A13" s="330" t="s">
        <v>240</v>
      </c>
      <c r="B13" s="331">
        <v>0</v>
      </c>
      <c r="C13" s="337">
        <f>B13/'- 3 -'!$D13*100</f>
        <v>0</v>
      </c>
      <c r="D13" s="331">
        <v>0</v>
      </c>
      <c r="E13" s="337">
        <f>D13/'- 3 -'!$D13*100</f>
        <v>0</v>
      </c>
      <c r="F13" s="331">
        <v>173783</v>
      </c>
      <c r="G13" s="337">
        <f>F13/'- 3 -'!$D13*100</f>
        <v>0.23655041240841077</v>
      </c>
      <c r="H13" s="331">
        <v>239476</v>
      </c>
      <c r="I13" s="337">
        <f>H13/'- 3 -'!$D13*100</f>
        <v>0.32597058723762729</v>
      </c>
    </row>
    <row r="14" spans="1:9" ht="14.1" customHeight="1">
      <c r="A14" s="26" t="s">
        <v>653</v>
      </c>
      <c r="B14" s="27">
        <v>0</v>
      </c>
      <c r="C14" s="79">
        <f>B14/'- 3 -'!$D14*100</f>
        <v>0</v>
      </c>
      <c r="D14" s="27">
        <v>0</v>
      </c>
      <c r="E14" s="79">
        <f>D14/'- 3 -'!$D14*100</f>
        <v>0</v>
      </c>
      <c r="F14" s="27">
        <v>0</v>
      </c>
      <c r="G14" s="79">
        <f>F14/'- 3 -'!$D14*100</f>
        <v>0</v>
      </c>
      <c r="H14" s="27">
        <v>843173</v>
      </c>
      <c r="I14" s="79">
        <f>H14/'- 3 -'!$D14*100</f>
        <v>1.2682501810683653</v>
      </c>
    </row>
    <row r="15" spans="1:9" ht="14.1" customHeight="1">
      <c r="A15" s="330" t="s">
        <v>241</v>
      </c>
      <c r="B15" s="331">
        <v>267903</v>
      </c>
      <c r="C15" s="337">
        <f>B15/'- 3 -'!$D15*100</f>
        <v>1.4636397762246045</v>
      </c>
      <c r="D15" s="331">
        <v>0</v>
      </c>
      <c r="E15" s="337">
        <f>D15/'- 3 -'!$D15*100</f>
        <v>0</v>
      </c>
      <c r="F15" s="331">
        <v>0</v>
      </c>
      <c r="G15" s="337">
        <f>F15/'- 3 -'!$D15*100</f>
        <v>0</v>
      </c>
      <c r="H15" s="331">
        <v>47696</v>
      </c>
      <c r="I15" s="337">
        <f>H15/'- 3 -'!$D15*100</f>
        <v>0.26057850328965609</v>
      </c>
    </row>
    <row r="16" spans="1:9" ht="14.1" customHeight="1">
      <c r="A16" s="26" t="s">
        <v>242</v>
      </c>
      <c r="B16" s="27">
        <v>0</v>
      </c>
      <c r="C16" s="79">
        <f>B16/'- 3 -'!$D16*100</f>
        <v>0</v>
      </c>
      <c r="D16" s="27">
        <v>0</v>
      </c>
      <c r="E16" s="79">
        <f>D16/'- 3 -'!$D16*100</f>
        <v>0</v>
      </c>
      <c r="F16" s="27">
        <v>0</v>
      </c>
      <c r="G16" s="79">
        <f>F16/'- 3 -'!$D16*100</f>
        <v>0</v>
      </c>
      <c r="H16" s="27">
        <v>12083</v>
      </c>
      <c r="I16" s="79">
        <f>H16/'- 3 -'!$D16*100</f>
        <v>9.5909034769188078E-2</v>
      </c>
    </row>
    <row r="17" spans="1:9" ht="14.1" customHeight="1">
      <c r="A17" s="330" t="s">
        <v>243</v>
      </c>
      <c r="B17" s="331">
        <v>0</v>
      </c>
      <c r="C17" s="337">
        <f>B17/'- 3 -'!$D17*100</f>
        <v>0</v>
      </c>
      <c r="D17" s="331">
        <v>0</v>
      </c>
      <c r="E17" s="337">
        <f>D17/'- 3 -'!$D17*100</f>
        <v>0</v>
      </c>
      <c r="F17" s="331">
        <v>67876</v>
      </c>
      <c r="G17" s="337">
        <f>F17/'- 3 -'!$D17*100</f>
        <v>0.42636388105706535</v>
      </c>
      <c r="H17" s="331">
        <v>252418</v>
      </c>
      <c r="I17" s="337">
        <f>H17/'- 3 -'!$D17*100</f>
        <v>1.5855665939162933</v>
      </c>
    </row>
    <row r="18" spans="1:9" ht="14.1" customHeight="1">
      <c r="A18" s="26" t="s">
        <v>244</v>
      </c>
      <c r="B18" s="27">
        <v>0</v>
      </c>
      <c r="C18" s="79">
        <f>B18/'- 3 -'!$D18*100</f>
        <v>0</v>
      </c>
      <c r="D18" s="27">
        <v>0</v>
      </c>
      <c r="E18" s="79">
        <f>D18/'- 3 -'!$D18*100</f>
        <v>0</v>
      </c>
      <c r="F18" s="27">
        <v>997317</v>
      </c>
      <c r="G18" s="79">
        <f>F18/'- 3 -'!$D18*100</f>
        <v>0.91504542169327896</v>
      </c>
      <c r="H18" s="27">
        <v>1496744</v>
      </c>
      <c r="I18" s="79">
        <f>H18/'- 3 -'!$D18*100</f>
        <v>1.3732732367410614</v>
      </c>
    </row>
    <row r="19" spans="1:9" ht="14.1" customHeight="1">
      <c r="A19" s="330" t="s">
        <v>245</v>
      </c>
      <c r="B19" s="331">
        <v>0</v>
      </c>
      <c r="C19" s="337">
        <f>B19/'- 3 -'!$D19*100</f>
        <v>0</v>
      </c>
      <c r="D19" s="331">
        <v>0</v>
      </c>
      <c r="E19" s="337">
        <f>D19/'- 3 -'!$D19*100</f>
        <v>0</v>
      </c>
      <c r="F19" s="331">
        <v>0</v>
      </c>
      <c r="G19" s="337">
        <f>F19/'- 3 -'!$D19*100</f>
        <v>0</v>
      </c>
      <c r="H19" s="331">
        <v>39140</v>
      </c>
      <c r="I19" s="337">
        <f>H19/'- 3 -'!$D19*100</f>
        <v>0.10542942409163622</v>
      </c>
    </row>
    <row r="20" spans="1:9" ht="14.1" customHeight="1">
      <c r="A20" s="26" t="s">
        <v>246</v>
      </c>
      <c r="B20" s="27">
        <v>0</v>
      </c>
      <c r="C20" s="79">
        <f>B20/'- 3 -'!$D20*100</f>
        <v>0</v>
      </c>
      <c r="D20" s="27">
        <v>0</v>
      </c>
      <c r="E20" s="79">
        <f>D20/'- 3 -'!$D20*100</f>
        <v>0</v>
      </c>
      <c r="F20" s="27">
        <v>0</v>
      </c>
      <c r="G20" s="79">
        <f>F20/'- 3 -'!$D20*100</f>
        <v>0</v>
      </c>
      <c r="H20" s="27">
        <v>130553</v>
      </c>
      <c r="I20" s="79">
        <f>H20/'- 3 -'!$D20*100</f>
        <v>0.20774162608451804</v>
      </c>
    </row>
    <row r="21" spans="1:9" ht="14.1" customHeight="1">
      <c r="A21" s="330" t="s">
        <v>247</v>
      </c>
      <c r="B21" s="331">
        <v>169848</v>
      </c>
      <c r="C21" s="337">
        <f>B21/'- 3 -'!$D21*100</f>
        <v>0.54013432950731821</v>
      </c>
      <c r="D21" s="331">
        <v>0</v>
      </c>
      <c r="E21" s="337">
        <f>D21/'- 3 -'!$D21*100</f>
        <v>0</v>
      </c>
      <c r="F21" s="331">
        <v>0</v>
      </c>
      <c r="G21" s="337">
        <f>F21/'- 3 -'!$D21*100</f>
        <v>0</v>
      </c>
      <c r="H21" s="331">
        <v>76483</v>
      </c>
      <c r="I21" s="337">
        <f>H21/'- 3 -'!$D21*100</f>
        <v>0.24322390563155422</v>
      </c>
    </row>
    <row r="22" spans="1:9" ht="14.1" customHeight="1">
      <c r="A22" s="26" t="s">
        <v>248</v>
      </c>
      <c r="B22" s="27">
        <v>0</v>
      </c>
      <c r="C22" s="79">
        <f>B22/'- 3 -'!$D22*100</f>
        <v>0</v>
      </c>
      <c r="D22" s="27">
        <v>0</v>
      </c>
      <c r="E22" s="79">
        <f>D22/'- 3 -'!$D22*100</f>
        <v>0</v>
      </c>
      <c r="F22" s="27">
        <v>50972</v>
      </c>
      <c r="G22" s="79">
        <f>F22/'- 3 -'!$D22*100</f>
        <v>0.27981027664338998</v>
      </c>
      <c r="H22" s="27">
        <v>0</v>
      </c>
      <c r="I22" s="79">
        <f>H22/'- 3 -'!$D22*100</f>
        <v>0</v>
      </c>
    </row>
    <row r="23" spans="1:9" ht="14.1" customHeight="1">
      <c r="A23" s="330" t="s">
        <v>249</v>
      </c>
      <c r="B23" s="331">
        <v>172777</v>
      </c>
      <c r="C23" s="337">
        <f>B23/'- 3 -'!$D23*100</f>
        <v>1.1310284295785762</v>
      </c>
      <c r="D23" s="331">
        <v>0</v>
      </c>
      <c r="E23" s="337">
        <f>D23/'- 3 -'!$D23*100</f>
        <v>0</v>
      </c>
      <c r="F23" s="331">
        <v>134151</v>
      </c>
      <c r="G23" s="337">
        <f>F23/'- 3 -'!$D23*100</f>
        <v>0.87817588484807341</v>
      </c>
      <c r="H23" s="331">
        <v>36210</v>
      </c>
      <c r="I23" s="337">
        <f>H23/'- 3 -'!$D23*100</f>
        <v>0.23703698660724662</v>
      </c>
    </row>
    <row r="24" spans="1:9" ht="14.1" customHeight="1">
      <c r="A24" s="26" t="s">
        <v>250</v>
      </c>
      <c r="B24" s="27">
        <v>298642</v>
      </c>
      <c r="C24" s="79">
        <f>B24/'- 3 -'!$D24*100</f>
        <v>0.60890440472836471</v>
      </c>
      <c r="D24" s="27">
        <v>0</v>
      </c>
      <c r="E24" s="79">
        <f>D24/'- 3 -'!$D24*100</f>
        <v>0</v>
      </c>
      <c r="F24" s="27">
        <v>173923</v>
      </c>
      <c r="G24" s="79">
        <f>F24/'- 3 -'!$D24*100</f>
        <v>0.35461348632667666</v>
      </c>
      <c r="H24" s="27">
        <v>0</v>
      </c>
      <c r="I24" s="79">
        <f>H24/'- 3 -'!$D24*100</f>
        <v>0</v>
      </c>
    </row>
    <row r="25" spans="1:9" ht="14.1" customHeight="1">
      <c r="A25" s="330" t="s">
        <v>251</v>
      </c>
      <c r="B25" s="331">
        <v>337688</v>
      </c>
      <c r="C25" s="337">
        <f>B25/'- 3 -'!$D25*100</f>
        <v>0.23236450383523088</v>
      </c>
      <c r="D25" s="331">
        <v>134850</v>
      </c>
      <c r="E25" s="337">
        <f>D25/'- 3 -'!$D25*100</f>
        <v>9.2790840486427953E-2</v>
      </c>
      <c r="F25" s="331">
        <v>112818</v>
      </c>
      <c r="G25" s="337">
        <f>F25/'- 3 -'!$D25*100</f>
        <v>7.7630530530202663E-2</v>
      </c>
      <c r="H25" s="331">
        <v>485966</v>
      </c>
      <c r="I25" s="337">
        <f>H25/'- 3 -'!$D25*100</f>
        <v>0.33439520643550202</v>
      </c>
    </row>
    <row r="26" spans="1:9" ht="14.1" customHeight="1">
      <c r="A26" s="26" t="s">
        <v>252</v>
      </c>
      <c r="B26" s="27">
        <v>0</v>
      </c>
      <c r="C26" s="79">
        <f>B26/'- 3 -'!$D26*100</f>
        <v>0</v>
      </c>
      <c r="D26" s="27">
        <v>0</v>
      </c>
      <c r="E26" s="79">
        <f>D26/'- 3 -'!$D26*100</f>
        <v>0</v>
      </c>
      <c r="F26" s="27">
        <v>1219</v>
      </c>
      <c r="G26" s="79">
        <f>F26/'- 3 -'!$D26*100</f>
        <v>3.3909885772087905E-3</v>
      </c>
      <c r="H26" s="27">
        <v>88939</v>
      </c>
      <c r="I26" s="79">
        <f>H26/'- 3 -'!$D26*100</f>
        <v>0.24740864074517849</v>
      </c>
    </row>
    <row r="27" spans="1:9" ht="14.1" customHeight="1">
      <c r="A27" s="330" t="s">
        <v>253</v>
      </c>
      <c r="B27" s="331">
        <v>0</v>
      </c>
      <c r="C27" s="337">
        <f>B27/'- 3 -'!$D27*100</f>
        <v>0</v>
      </c>
      <c r="D27" s="331">
        <v>0</v>
      </c>
      <c r="E27" s="337">
        <f>D27/'- 3 -'!$D27*100</f>
        <v>0</v>
      </c>
      <c r="F27" s="331">
        <v>0</v>
      </c>
      <c r="G27" s="337">
        <f>F27/'- 3 -'!$D27*100</f>
        <v>0</v>
      </c>
      <c r="H27" s="331">
        <v>35146</v>
      </c>
      <c r="I27" s="337">
        <f>H27/'- 3 -'!$D27*100</f>
        <v>8.8189249824291466E-2</v>
      </c>
    </row>
    <row r="28" spans="1:9" ht="14.1" customHeight="1">
      <c r="A28" s="26" t="s">
        <v>254</v>
      </c>
      <c r="B28" s="27">
        <v>0</v>
      </c>
      <c r="C28" s="79">
        <f>B28/'- 3 -'!$D28*100</f>
        <v>0</v>
      </c>
      <c r="D28" s="27">
        <v>0</v>
      </c>
      <c r="E28" s="79">
        <f>D28/'- 3 -'!$D28*100</f>
        <v>0</v>
      </c>
      <c r="F28" s="27">
        <v>0</v>
      </c>
      <c r="G28" s="79">
        <f>F28/'- 3 -'!$D28*100</f>
        <v>0</v>
      </c>
      <c r="H28" s="27">
        <v>70234</v>
      </c>
      <c r="I28" s="79">
        <f>H28/'- 3 -'!$D28*100</f>
        <v>0.28351174960706005</v>
      </c>
    </row>
    <row r="29" spans="1:9" ht="14.1" customHeight="1">
      <c r="A29" s="330" t="s">
        <v>255</v>
      </c>
      <c r="B29" s="331">
        <v>0</v>
      </c>
      <c r="C29" s="337">
        <f>B29/'- 3 -'!$D29*100</f>
        <v>0</v>
      </c>
      <c r="D29" s="331">
        <v>0</v>
      </c>
      <c r="E29" s="337">
        <f>D29/'- 3 -'!$D29*100</f>
        <v>0</v>
      </c>
      <c r="F29" s="331">
        <v>561333</v>
      </c>
      <c r="G29" s="337">
        <f>F29/'- 3 -'!$D29*100</f>
        <v>0.41614762783590104</v>
      </c>
      <c r="H29" s="331">
        <v>217015</v>
      </c>
      <c r="I29" s="337">
        <f>H29/'- 3 -'!$D29*100</f>
        <v>0.16088538791556539</v>
      </c>
    </row>
    <row r="30" spans="1:9" ht="14.1" customHeight="1">
      <c r="A30" s="26" t="s">
        <v>256</v>
      </c>
      <c r="B30" s="27">
        <v>0</v>
      </c>
      <c r="C30" s="79">
        <f>B30/'- 3 -'!$D30*100</f>
        <v>0</v>
      </c>
      <c r="D30" s="27">
        <v>0</v>
      </c>
      <c r="E30" s="79">
        <f>D30/'- 3 -'!$D30*100</f>
        <v>0</v>
      </c>
      <c r="F30" s="27">
        <v>0</v>
      </c>
      <c r="G30" s="79">
        <f>F30/'- 3 -'!$D30*100</f>
        <v>0</v>
      </c>
      <c r="H30" s="27">
        <v>13507</v>
      </c>
      <c r="I30" s="79">
        <f>H30/'- 3 -'!$D30*100</f>
        <v>0.10483042648218209</v>
      </c>
    </row>
    <row r="31" spans="1:9" ht="14.1" customHeight="1">
      <c r="A31" s="330" t="s">
        <v>257</v>
      </c>
      <c r="B31" s="331">
        <v>0</v>
      </c>
      <c r="C31" s="337">
        <f>B31/'- 3 -'!$D31*100</f>
        <v>0</v>
      </c>
      <c r="D31" s="331">
        <v>0</v>
      </c>
      <c r="E31" s="337">
        <f>D31/'- 3 -'!$D31*100</f>
        <v>0</v>
      </c>
      <c r="F31" s="331">
        <v>0</v>
      </c>
      <c r="G31" s="337">
        <f>F31/'- 3 -'!$D31*100</f>
        <v>0</v>
      </c>
      <c r="H31" s="331">
        <v>40365</v>
      </c>
      <c r="I31" s="337">
        <f>H31/'- 3 -'!$D31*100</f>
        <v>0.1259556394628801</v>
      </c>
    </row>
    <row r="32" spans="1:9" ht="14.1" customHeight="1">
      <c r="A32" s="26" t="s">
        <v>258</v>
      </c>
      <c r="B32" s="27">
        <v>0</v>
      </c>
      <c r="C32" s="79">
        <f>B32/'- 3 -'!$D32*100</f>
        <v>0</v>
      </c>
      <c r="D32" s="27">
        <v>0</v>
      </c>
      <c r="E32" s="79">
        <f>D32/'- 3 -'!$D32*100</f>
        <v>0</v>
      </c>
      <c r="F32" s="27">
        <v>0</v>
      </c>
      <c r="G32" s="79">
        <f>F32/'- 3 -'!$D32*100</f>
        <v>0</v>
      </c>
      <c r="H32" s="27">
        <v>25024</v>
      </c>
      <c r="I32" s="79">
        <f>H32/'- 3 -'!$D32*100</f>
        <v>0.10572849527445509</v>
      </c>
    </row>
    <row r="33" spans="1:10" ht="14.1" customHeight="1">
      <c r="A33" s="330" t="s">
        <v>259</v>
      </c>
      <c r="B33" s="331">
        <v>0</v>
      </c>
      <c r="C33" s="337">
        <f>B33/'- 3 -'!$D33*100</f>
        <v>0</v>
      </c>
      <c r="D33" s="331">
        <v>0</v>
      </c>
      <c r="E33" s="337">
        <f>D33/'- 3 -'!$D33*100</f>
        <v>0</v>
      </c>
      <c r="F33" s="331">
        <v>0</v>
      </c>
      <c r="G33" s="337">
        <f>F33/'- 3 -'!$D33*100</f>
        <v>0</v>
      </c>
      <c r="H33" s="331">
        <v>29874</v>
      </c>
      <c r="I33" s="337">
        <f>H33/'- 3 -'!$D33*100</f>
        <v>0.12198107655956036</v>
      </c>
    </row>
    <row r="34" spans="1:10" ht="14.1" customHeight="1">
      <c r="A34" s="26" t="s">
        <v>260</v>
      </c>
      <c r="B34" s="27">
        <v>0</v>
      </c>
      <c r="C34" s="79">
        <f>B34/'- 3 -'!$D34*100</f>
        <v>0</v>
      </c>
      <c r="D34" s="27">
        <v>0</v>
      </c>
      <c r="E34" s="79">
        <f>D34/'- 3 -'!$D34*100</f>
        <v>0</v>
      </c>
      <c r="F34" s="27">
        <v>0</v>
      </c>
      <c r="G34" s="79">
        <f>F34/'- 3 -'!$D34*100</f>
        <v>0</v>
      </c>
      <c r="H34" s="27">
        <v>28459</v>
      </c>
      <c r="I34" s="79">
        <f>H34/'- 3 -'!$D34*100</f>
        <v>0.12576475701978493</v>
      </c>
    </row>
    <row r="35" spans="1:10" ht="14.1" customHeight="1">
      <c r="A35" s="330" t="s">
        <v>261</v>
      </c>
      <c r="B35" s="331">
        <v>375889</v>
      </c>
      <c r="C35" s="337">
        <f>B35/'- 3 -'!$D35*100</f>
        <v>0.23363266848878134</v>
      </c>
      <c r="D35" s="331">
        <v>80684</v>
      </c>
      <c r="E35" s="337">
        <f>D35/'- 3 -'!$D35*100</f>
        <v>5.0148895616388973E-2</v>
      </c>
      <c r="F35" s="331">
        <v>570613</v>
      </c>
      <c r="G35" s="337">
        <f>F35/'- 3 -'!$D35*100</f>
        <v>0.35466278040695254</v>
      </c>
      <c r="H35" s="331">
        <v>254865</v>
      </c>
      <c r="I35" s="337">
        <f>H35/'- 3 -'!$D35*100</f>
        <v>0.15841056815813512</v>
      </c>
    </row>
    <row r="36" spans="1:10" ht="14.1" customHeight="1">
      <c r="A36" s="26" t="s">
        <v>262</v>
      </c>
      <c r="B36" s="27">
        <v>0</v>
      </c>
      <c r="C36" s="79">
        <f>B36/'- 3 -'!$D36*100</f>
        <v>0</v>
      </c>
      <c r="D36" s="27">
        <v>0</v>
      </c>
      <c r="E36" s="79">
        <f>D36/'- 3 -'!$D36*100</f>
        <v>0</v>
      </c>
      <c r="F36" s="27">
        <v>0</v>
      </c>
      <c r="G36" s="79">
        <f>F36/'- 3 -'!$D36*100</f>
        <v>0</v>
      </c>
      <c r="H36" s="27">
        <v>24180</v>
      </c>
      <c r="I36" s="79">
        <f>H36/'- 3 -'!$D36*100</f>
        <v>0.11872909198121487</v>
      </c>
    </row>
    <row r="37" spans="1:10" ht="14.1" customHeight="1">
      <c r="A37" s="330" t="s">
        <v>263</v>
      </c>
      <c r="B37" s="331">
        <v>0</v>
      </c>
      <c r="C37" s="337">
        <f>B37/'- 3 -'!$D37*100</f>
        <v>0</v>
      </c>
      <c r="D37" s="331">
        <v>0</v>
      </c>
      <c r="E37" s="337">
        <f>D37/'- 3 -'!$D37*100</f>
        <v>0</v>
      </c>
      <c r="F37" s="331">
        <v>0</v>
      </c>
      <c r="G37" s="337">
        <f>F37/'- 3 -'!$D37*100</f>
        <v>0</v>
      </c>
      <c r="H37" s="331">
        <v>41881</v>
      </c>
      <c r="I37" s="337">
        <f>H37/'- 3 -'!$D37*100</f>
        <v>0.11166438646217355</v>
      </c>
    </row>
    <row r="38" spans="1:10" ht="14.1" customHeight="1">
      <c r="A38" s="26" t="s">
        <v>264</v>
      </c>
      <c r="B38" s="27">
        <v>63336</v>
      </c>
      <c r="C38" s="79">
        <f>B38/'- 3 -'!$D38*100</f>
        <v>6.1688620803595197E-2</v>
      </c>
      <c r="D38" s="27">
        <v>159467</v>
      </c>
      <c r="E38" s="79">
        <f>D38/'- 3 -'!$D38*100</f>
        <v>0.1553192385639591</v>
      </c>
      <c r="F38" s="27">
        <v>356955</v>
      </c>
      <c r="G38" s="79">
        <f>F38/'- 3 -'!$D38*100</f>
        <v>0.34767054501306244</v>
      </c>
      <c r="H38" s="27">
        <v>327672</v>
      </c>
      <c r="I38" s="79">
        <f>H38/'- 3 -'!$D38*100</f>
        <v>0.31914920039086214</v>
      </c>
    </row>
    <row r="39" spans="1:10" ht="14.1" customHeight="1">
      <c r="A39" s="330" t="s">
        <v>265</v>
      </c>
      <c r="B39" s="331">
        <v>0</v>
      </c>
      <c r="C39" s="337">
        <f>B39/'- 3 -'!$D39*100</f>
        <v>0</v>
      </c>
      <c r="D39" s="331">
        <v>0</v>
      </c>
      <c r="E39" s="337">
        <f>D39/'- 3 -'!$D39*100</f>
        <v>0</v>
      </c>
      <c r="F39" s="331">
        <v>0</v>
      </c>
      <c r="G39" s="337">
        <f>F39/'- 3 -'!$D39*100</f>
        <v>0</v>
      </c>
      <c r="H39" s="331">
        <v>60563</v>
      </c>
      <c r="I39" s="337">
        <f>H39/'- 3 -'!$D39*100</f>
        <v>0.31876061737125627</v>
      </c>
    </row>
    <row r="40" spans="1:10" ht="14.1" customHeight="1">
      <c r="A40" s="26" t="s">
        <v>266</v>
      </c>
      <c r="B40" s="27">
        <v>501452</v>
      </c>
      <c r="C40" s="79">
        <f>B40/'- 3 -'!$D40*100</f>
        <v>0.5519649146103941</v>
      </c>
      <c r="D40" s="27">
        <v>0</v>
      </c>
      <c r="E40" s="79">
        <f>D40/'- 3 -'!$D40*100</f>
        <v>0</v>
      </c>
      <c r="F40" s="27">
        <v>347099</v>
      </c>
      <c r="G40" s="79">
        <f>F40/'- 3 -'!$D40*100</f>
        <v>0.382063427598959</v>
      </c>
      <c r="H40" s="27">
        <v>104943</v>
      </c>
      <c r="I40" s="79">
        <f>H40/'- 3 -'!$D40*100</f>
        <v>0.11551425467234869</v>
      </c>
    </row>
    <row r="41" spans="1:10" ht="14.1" customHeight="1">
      <c r="A41" s="330" t="s">
        <v>267</v>
      </c>
      <c r="B41" s="331">
        <v>0</v>
      </c>
      <c r="C41" s="337">
        <f>B41/'- 3 -'!$D41*100</f>
        <v>0</v>
      </c>
      <c r="D41" s="331">
        <v>0</v>
      </c>
      <c r="E41" s="337">
        <f>D41/'- 3 -'!$D41*100</f>
        <v>0</v>
      </c>
      <c r="F41" s="331">
        <v>0</v>
      </c>
      <c r="G41" s="337">
        <f>F41/'- 3 -'!$D41*100</f>
        <v>0</v>
      </c>
      <c r="H41" s="331">
        <v>274051</v>
      </c>
      <c r="I41" s="337">
        <f>H41/'- 3 -'!$D41*100</f>
        <v>0.49632187981882553</v>
      </c>
    </row>
    <row r="42" spans="1:10" ht="14.1" customHeight="1">
      <c r="A42" s="26" t="s">
        <v>268</v>
      </c>
      <c r="B42" s="27">
        <v>0</v>
      </c>
      <c r="C42" s="79">
        <f>B42/'- 3 -'!$D42*100</f>
        <v>0</v>
      </c>
      <c r="D42" s="27">
        <v>0</v>
      </c>
      <c r="E42" s="79">
        <f>D42/'- 3 -'!$D42*100</f>
        <v>0</v>
      </c>
      <c r="F42" s="27">
        <v>1480</v>
      </c>
      <c r="G42" s="79">
        <f>F42/'- 3 -'!$D42*100</f>
        <v>7.7120198394836862E-3</v>
      </c>
      <c r="H42" s="27">
        <v>71615</v>
      </c>
      <c r="I42" s="79">
        <f>H42/'- 3 -'!$D42*100</f>
        <v>0.37317317621934065</v>
      </c>
    </row>
    <row r="43" spans="1:10" ht="14.1" customHeight="1">
      <c r="A43" s="330" t="s">
        <v>269</v>
      </c>
      <c r="B43" s="331">
        <v>0</v>
      </c>
      <c r="C43" s="337">
        <f>B43/'- 3 -'!$D43*100</f>
        <v>0</v>
      </c>
      <c r="D43" s="331">
        <v>0</v>
      </c>
      <c r="E43" s="337">
        <f>D43/'- 3 -'!$D43*100</f>
        <v>0</v>
      </c>
      <c r="F43" s="331">
        <v>0</v>
      </c>
      <c r="G43" s="337">
        <f>F43/'- 3 -'!$D43*100</f>
        <v>0</v>
      </c>
      <c r="H43" s="331">
        <v>13350</v>
      </c>
      <c r="I43" s="337">
        <f>H43/'- 3 -'!$D43*100</f>
        <v>0.11803667607305506</v>
      </c>
    </row>
    <row r="44" spans="1:10" ht="14.1" customHeight="1">
      <c r="A44" s="26" t="s">
        <v>270</v>
      </c>
      <c r="B44" s="27">
        <v>0</v>
      </c>
      <c r="C44" s="79">
        <f>B44/'- 3 -'!$D44*100</f>
        <v>0</v>
      </c>
      <c r="D44" s="27">
        <v>0</v>
      </c>
      <c r="E44" s="79">
        <f>D44/'- 3 -'!$D44*100</f>
        <v>0</v>
      </c>
      <c r="F44" s="27">
        <v>0</v>
      </c>
      <c r="G44" s="79">
        <f>F44/'- 3 -'!$D44*100</f>
        <v>0</v>
      </c>
      <c r="H44" s="27">
        <v>10550</v>
      </c>
      <c r="I44" s="79">
        <f>H44/'- 3 -'!$D44*100</f>
        <v>0.10900069915424757</v>
      </c>
    </row>
    <row r="45" spans="1:10" ht="14.1" customHeight="1">
      <c r="A45" s="330" t="s">
        <v>271</v>
      </c>
      <c r="B45" s="331">
        <v>0</v>
      </c>
      <c r="C45" s="337">
        <f>B45/'- 3 -'!$D45*100</f>
        <v>0</v>
      </c>
      <c r="D45" s="331">
        <v>0</v>
      </c>
      <c r="E45" s="337">
        <f>D45/'- 3 -'!$D45*100</f>
        <v>0</v>
      </c>
      <c r="F45" s="331">
        <v>4194</v>
      </c>
      <c r="G45" s="337">
        <f>F45/'- 3 -'!$D45*100</f>
        <v>2.7020262297553388E-2</v>
      </c>
      <c r="H45" s="331">
        <v>31847</v>
      </c>
      <c r="I45" s="337">
        <f>H45/'- 3 -'!$D45*100</f>
        <v>0.20517746623514135</v>
      </c>
    </row>
    <row r="46" spans="1:10" ht="14.1" customHeight="1">
      <c r="A46" s="26" t="s">
        <v>272</v>
      </c>
      <c r="B46" s="27">
        <v>0</v>
      </c>
      <c r="C46" s="79">
        <f>B46/'- 3 -'!$D46*100</f>
        <v>0</v>
      </c>
      <c r="D46" s="27">
        <v>2951581</v>
      </c>
      <c r="E46" s="79">
        <f>D46/'- 3 -'!$D46*100</f>
        <v>0.87831133031647302</v>
      </c>
      <c r="F46" s="27">
        <v>179330</v>
      </c>
      <c r="G46" s="79">
        <f>F46/'- 3 -'!$D46*100</f>
        <v>5.3363797526021849E-2</v>
      </c>
      <c r="H46" s="27">
        <v>4680944</v>
      </c>
      <c r="I46" s="79">
        <f>H46/'- 3 -'!$D46*100</f>
        <v>1.3929233694677234</v>
      </c>
    </row>
    <row r="47" spans="1:10" ht="5.0999999999999996" customHeight="1">
      <c r="A47"/>
      <c r="B47"/>
      <c r="C47"/>
      <c r="D47"/>
      <c r="E47"/>
      <c r="F47"/>
      <c r="G47"/>
      <c r="H47"/>
      <c r="I47"/>
      <c r="J47"/>
    </row>
    <row r="48" spans="1:10" ht="14.1" customHeight="1">
      <c r="A48" s="332" t="s">
        <v>273</v>
      </c>
      <c r="B48" s="333">
        <f>SUM(B11:B46)</f>
        <v>2187535</v>
      </c>
      <c r="C48" s="340">
        <f>B48/'- 3 -'!$D48*100</f>
        <v>0.11345432545913062</v>
      </c>
      <c r="D48" s="333">
        <f>SUM(D11:D46)</f>
        <v>3326582</v>
      </c>
      <c r="E48" s="340">
        <f>D48/'- 3 -'!$D48*100</f>
        <v>0.17252986438822038</v>
      </c>
      <c r="F48" s="333">
        <f>SUM(F11:F46)</f>
        <v>3733063</v>
      </c>
      <c r="G48" s="340">
        <f>F48/'- 3 -'!$D48*100</f>
        <v>0.19361159687110766</v>
      </c>
      <c r="H48" s="333">
        <f>SUM(H11:H46)</f>
        <v>10167317</v>
      </c>
      <c r="I48" s="340">
        <f>H48/'- 3 -'!$D48*100</f>
        <v>0.52731777638490429</v>
      </c>
    </row>
    <row r="49" spans="1:9" ht="5.0999999999999996" customHeight="1">
      <c r="A49" s="28" t="s">
        <v>18</v>
      </c>
      <c r="B49"/>
      <c r="C49"/>
      <c r="D49"/>
      <c r="E49"/>
      <c r="F49"/>
      <c r="G49"/>
      <c r="H49"/>
      <c r="I49"/>
    </row>
    <row r="50" spans="1:9" ht="14.1" customHeight="1">
      <c r="A50" s="26" t="s">
        <v>274</v>
      </c>
      <c r="B50" s="27">
        <v>0</v>
      </c>
      <c r="C50" s="79">
        <f>B50/'- 3 -'!$D50*100</f>
        <v>0</v>
      </c>
      <c r="D50" s="27">
        <v>0</v>
      </c>
      <c r="E50" s="79">
        <f>D50/'- 3 -'!$D50*100</f>
        <v>0</v>
      </c>
      <c r="F50" s="27">
        <v>0</v>
      </c>
      <c r="G50" s="79">
        <f>F50/'- 3 -'!$D50*100</f>
        <v>0</v>
      </c>
      <c r="H50" s="27">
        <v>9120</v>
      </c>
      <c r="I50" s="79">
        <f>H50/'- 3 -'!$D50*100</f>
        <v>0.28230618148387188</v>
      </c>
    </row>
    <row r="51" spans="1:9" ht="14.1" customHeight="1">
      <c r="A51" s="330" t="s">
        <v>275</v>
      </c>
      <c r="B51" s="331">
        <v>34968</v>
      </c>
      <c r="C51" s="337">
        <f>B51/'- 3 -'!$D51*100</f>
        <v>0.22738288721384825</v>
      </c>
      <c r="D51" s="331">
        <v>2871290</v>
      </c>
      <c r="E51" s="337">
        <f>D51/'- 3 -'!$D51*100</f>
        <v>18.670847924623953</v>
      </c>
      <c r="F51" s="331">
        <v>1363725</v>
      </c>
      <c r="G51" s="337">
        <f>F51/'- 3 -'!$D51*100</f>
        <v>8.8677570311629257</v>
      </c>
      <c r="H51" s="331">
        <v>0</v>
      </c>
      <c r="I51" s="337">
        <f>H51/'- 3 -'!$D51*100</f>
        <v>0</v>
      </c>
    </row>
    <row r="52" spans="1:9"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sheetPr codeName="Sheet21">
    <pageSetUpPr fitToPage="1"/>
  </sheetPr>
  <dimension ref="A1:J52"/>
  <sheetViews>
    <sheetView showGridLines="0" showZeros="0" workbookViewId="0"/>
  </sheetViews>
  <sheetFormatPr defaultColWidth="15.83203125" defaultRowHeight="12"/>
  <cols>
    <col min="1" max="1" width="32.83203125" style="1" customWidth="1"/>
    <col min="2" max="2" width="14.83203125" style="1" customWidth="1"/>
    <col min="3" max="3" width="7.83203125" style="1" customWidth="1"/>
    <col min="4" max="4" width="9.83203125" style="1" customWidth="1"/>
    <col min="5" max="5" width="16.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483</v>
      </c>
      <c r="C2" s="9"/>
      <c r="D2" s="9"/>
      <c r="E2" s="9"/>
      <c r="F2" s="9"/>
      <c r="G2" s="82"/>
      <c r="H2" s="82"/>
      <c r="I2" s="173"/>
      <c r="J2" s="491" t="s">
        <v>451</v>
      </c>
    </row>
    <row r="3" spans="1:10" ht="15.95" customHeight="1">
      <c r="A3" s="154"/>
      <c r="B3" s="10" t="str">
        <f>OPYEAR</f>
        <v>OPERATING FUND 2011/2012 ACTUAL</v>
      </c>
      <c r="C3" s="11"/>
      <c r="D3" s="11"/>
      <c r="E3" s="11"/>
      <c r="F3" s="11"/>
      <c r="G3" s="84"/>
      <c r="H3" s="84"/>
      <c r="I3" s="84"/>
      <c r="J3" s="74"/>
    </row>
    <row r="4" spans="1:10" ht="15.95" customHeight="1">
      <c r="B4" s="7"/>
      <c r="C4" s="7"/>
      <c r="D4" s="7"/>
      <c r="E4" s="7"/>
      <c r="F4" s="7"/>
      <c r="G4" s="7"/>
      <c r="H4" s="7"/>
      <c r="I4" s="7"/>
      <c r="J4" s="7"/>
    </row>
    <row r="5" spans="1:10" ht="15.95" customHeight="1">
      <c r="B5" s="185" t="s">
        <v>195</v>
      </c>
      <c r="C5" s="186"/>
      <c r="D5" s="187"/>
      <c r="E5" s="187"/>
      <c r="F5" s="187"/>
      <c r="G5" s="187"/>
      <c r="H5" s="187"/>
      <c r="I5" s="187"/>
      <c r="J5" s="188"/>
    </row>
    <row r="6" spans="1:10" ht="15.95" customHeight="1">
      <c r="B6" s="358"/>
      <c r="C6" s="361"/>
      <c r="D6" s="359"/>
      <c r="E6" s="358" t="s">
        <v>29</v>
      </c>
      <c r="F6" s="361"/>
      <c r="G6" s="359"/>
      <c r="H6" s="358" t="s">
        <v>27</v>
      </c>
      <c r="I6" s="361"/>
      <c r="J6" s="359"/>
    </row>
    <row r="7" spans="1:10" ht="15.95" customHeight="1">
      <c r="B7" s="344" t="s">
        <v>53</v>
      </c>
      <c r="C7" s="345"/>
      <c r="D7" s="346"/>
      <c r="E7" s="344" t="s">
        <v>54</v>
      </c>
      <c r="F7" s="345"/>
      <c r="G7" s="346"/>
      <c r="H7" s="344" t="s">
        <v>55</v>
      </c>
      <c r="I7" s="345"/>
      <c r="J7" s="346"/>
    </row>
    <row r="8" spans="1:10" ht="15.95" customHeight="1">
      <c r="A8" s="75"/>
      <c r="B8" s="155"/>
      <c r="C8" s="156"/>
      <c r="D8" s="157" t="s">
        <v>75</v>
      </c>
      <c r="E8" s="155"/>
      <c r="F8" s="157"/>
      <c r="G8" s="157" t="s">
        <v>75</v>
      </c>
      <c r="H8" s="155"/>
      <c r="I8" s="157"/>
      <c r="J8" s="157" t="s">
        <v>75</v>
      </c>
    </row>
    <row r="9" spans="1:10" ht="15.95" customHeight="1">
      <c r="A9" s="42" t="s">
        <v>95</v>
      </c>
      <c r="B9" s="87" t="s">
        <v>96</v>
      </c>
      <c r="C9" s="87" t="s">
        <v>97</v>
      </c>
      <c r="D9" s="87" t="s">
        <v>98</v>
      </c>
      <c r="E9" s="87" t="s">
        <v>96</v>
      </c>
      <c r="F9" s="87" t="s">
        <v>97</v>
      </c>
      <c r="G9" s="87" t="s">
        <v>98</v>
      </c>
      <c r="H9" s="87" t="s">
        <v>96</v>
      </c>
      <c r="I9" s="87" t="s">
        <v>97</v>
      </c>
      <c r="J9" s="87" t="s">
        <v>98</v>
      </c>
    </row>
    <row r="10" spans="1:10" ht="5.0999999999999996" customHeight="1">
      <c r="A10" s="5"/>
    </row>
    <row r="11" spans="1:10" ht="14.1" customHeight="1">
      <c r="A11" s="330" t="s">
        <v>238</v>
      </c>
      <c r="B11" s="331">
        <v>104212</v>
      </c>
      <c r="C11" s="337">
        <f>B11/'- 3 -'!$D11*100</f>
        <v>0.69234722197769927</v>
      </c>
      <c r="D11" s="331">
        <f>B11/'- 7 -'!$E11</f>
        <v>72.748342059336821</v>
      </c>
      <c r="E11" s="331">
        <v>148105</v>
      </c>
      <c r="F11" s="337">
        <f>E11/'- 3 -'!$D11*100</f>
        <v>0.98395660107288185</v>
      </c>
      <c r="G11" s="331">
        <f>E11/'- 7 -'!$E11</f>
        <v>103.3891797556719</v>
      </c>
      <c r="H11" s="331">
        <v>302560</v>
      </c>
      <c r="I11" s="337">
        <f>H11/'- 3 -'!$D11*100</f>
        <v>2.0101003289599344</v>
      </c>
      <c r="J11" s="331">
        <f>H11/'- 7 -'!$E11</f>
        <v>211.2111692844677</v>
      </c>
    </row>
    <row r="12" spans="1:10" ht="14.1" customHeight="1">
      <c r="A12" s="26" t="s">
        <v>239</v>
      </c>
      <c r="B12" s="27">
        <v>128492</v>
      </c>
      <c r="C12" s="79">
        <f>B12/'- 3 -'!$D12*100</f>
        <v>0.44932513806505536</v>
      </c>
      <c r="D12" s="27">
        <f>B12/'- 7 -'!$E12</f>
        <v>54.927072824581508</v>
      </c>
      <c r="E12" s="27">
        <v>152393</v>
      </c>
      <c r="F12" s="79">
        <f>E12/'- 3 -'!$D12*100</f>
        <v>0.53290481714930105</v>
      </c>
      <c r="G12" s="27">
        <f>E12/'- 7 -'!$E12</f>
        <v>65.144144452233988</v>
      </c>
      <c r="H12" s="27">
        <v>531951</v>
      </c>
      <c r="I12" s="79">
        <f>H12/'- 3 -'!$D12*100</f>
        <v>1.8601855097503679</v>
      </c>
      <c r="J12" s="27">
        <f>H12/'- 7 -'!$E12</f>
        <v>227.39556794282103</v>
      </c>
    </row>
    <row r="13" spans="1:10" ht="14.1" customHeight="1">
      <c r="A13" s="330" t="s">
        <v>240</v>
      </c>
      <c r="B13" s="331">
        <v>255647</v>
      </c>
      <c r="C13" s="337">
        <f>B13/'- 3 -'!$D13*100</f>
        <v>0.34798227260993875</v>
      </c>
      <c r="D13" s="331">
        <f>B13/'- 7 -'!$E13</f>
        <v>33.597976080956762</v>
      </c>
      <c r="E13" s="331">
        <v>563960</v>
      </c>
      <c r="F13" s="337">
        <f>E13/'- 3 -'!$D13*100</f>
        <v>0.76765259307209188</v>
      </c>
      <c r="G13" s="331">
        <f>E13/'- 7 -'!$E13</f>
        <v>74.117492443159421</v>
      </c>
      <c r="H13" s="331">
        <v>1138925</v>
      </c>
      <c r="I13" s="337">
        <f>H13/'- 3 -'!$D13*100</f>
        <v>1.5502850017104621</v>
      </c>
      <c r="J13" s="331">
        <f>H13/'- 7 -'!$E13</f>
        <v>149.68129846234723</v>
      </c>
    </row>
    <row r="14" spans="1:10" ht="14.1" customHeight="1">
      <c r="A14" s="26" t="s">
        <v>653</v>
      </c>
      <c r="B14" s="27">
        <v>641340</v>
      </c>
      <c r="C14" s="79">
        <f>B14/'- 3 -'!$D14*100</f>
        <v>0.96466510565018737</v>
      </c>
      <c r="D14" s="27">
        <f>B14/'- 7 -'!$E14</f>
        <v>129.51130856219709</v>
      </c>
      <c r="E14" s="27">
        <v>1035889</v>
      </c>
      <c r="F14" s="79">
        <f>E14/'- 3 -'!$D14*100</f>
        <v>1.5581220127028828</v>
      </c>
      <c r="G14" s="27">
        <f>E14/'- 7 -'!$E14</f>
        <v>209.18598546042003</v>
      </c>
      <c r="H14" s="27">
        <v>801778</v>
      </c>
      <c r="I14" s="79">
        <f>H14/'- 3 -'!$D14*100</f>
        <v>1.205986308475997</v>
      </c>
      <c r="J14" s="27">
        <f>H14/'- 7 -'!$E14</f>
        <v>161.90993537964459</v>
      </c>
    </row>
    <row r="15" spans="1:10" ht="14.1" customHeight="1">
      <c r="A15" s="330" t="s">
        <v>241</v>
      </c>
      <c r="B15" s="331">
        <v>139976</v>
      </c>
      <c r="C15" s="337">
        <f>B15/'- 3 -'!$D15*100</f>
        <v>0.76473365851377262</v>
      </c>
      <c r="D15" s="331">
        <f>B15/'- 7 -'!$E15</f>
        <v>91.308545335942597</v>
      </c>
      <c r="E15" s="331">
        <v>192076</v>
      </c>
      <c r="F15" s="337">
        <f>E15/'- 3 -'!$D15*100</f>
        <v>1.0493726223973496</v>
      </c>
      <c r="G15" s="331">
        <f>E15/'- 7 -'!$E15</f>
        <v>125.2941943900848</v>
      </c>
      <c r="H15" s="331">
        <v>397114</v>
      </c>
      <c r="I15" s="337">
        <f>H15/'- 3 -'!$D15*100</f>
        <v>2.169560796615408</v>
      </c>
      <c r="J15" s="331">
        <f>H15/'- 7 -'!$E15</f>
        <v>259.04370515329418</v>
      </c>
    </row>
    <row r="16" spans="1:10" ht="14.1" customHeight="1">
      <c r="A16" s="26" t="s">
        <v>242</v>
      </c>
      <c r="B16" s="27">
        <v>88610</v>
      </c>
      <c r="C16" s="79">
        <f>B16/'- 3 -'!$D16*100</f>
        <v>0.70334350499857279</v>
      </c>
      <c r="D16" s="27">
        <f>B16/'- 7 -'!$E16</f>
        <v>89.55027791814048</v>
      </c>
      <c r="E16" s="27">
        <v>188274</v>
      </c>
      <c r="F16" s="79">
        <f>E16/'- 3 -'!$D16*100</f>
        <v>1.4944283383376742</v>
      </c>
      <c r="G16" s="27">
        <f>E16/'- 7 -'!$E16</f>
        <v>190.27185447195552</v>
      </c>
      <c r="H16" s="27">
        <v>318175</v>
      </c>
      <c r="I16" s="79">
        <f>H16/'- 3 -'!$D16*100</f>
        <v>2.5255199153924037</v>
      </c>
      <c r="J16" s="27">
        <f>H16/'- 7 -'!$E16</f>
        <v>321.5512885295604</v>
      </c>
    </row>
    <row r="17" spans="1:10" ht="14.1" customHeight="1">
      <c r="A17" s="330" t="s">
        <v>243</v>
      </c>
      <c r="B17" s="331">
        <v>189367</v>
      </c>
      <c r="C17" s="337">
        <f>B17/'- 3 -'!$D17*100</f>
        <v>1.1895110063075798</v>
      </c>
      <c r="D17" s="331">
        <f>B17/'- 7 -'!$E17</f>
        <v>143.18865784499056</v>
      </c>
      <c r="E17" s="331">
        <v>142149</v>
      </c>
      <c r="F17" s="337">
        <f>E17/'- 3 -'!$D17*100</f>
        <v>0.8929105917906297</v>
      </c>
      <c r="G17" s="331">
        <f>E17/'- 7 -'!$E17</f>
        <v>107.48506616257089</v>
      </c>
      <c r="H17" s="331">
        <v>259021</v>
      </c>
      <c r="I17" s="337">
        <f>H17/'- 3 -'!$D17*100</f>
        <v>1.6270434149814679</v>
      </c>
      <c r="J17" s="331">
        <f>H17/'- 7 -'!$E17</f>
        <v>195.85708884688091</v>
      </c>
    </row>
    <row r="18" spans="1:10" ht="14.1" customHeight="1">
      <c r="A18" s="26" t="s">
        <v>244</v>
      </c>
      <c r="B18" s="27">
        <v>944599</v>
      </c>
      <c r="C18" s="79">
        <f>B18/'- 3 -'!$D18*100</f>
        <v>0.86667628275267505</v>
      </c>
      <c r="D18" s="27">
        <f>B18/'- 7 -'!$E18</f>
        <v>163.42260514523969</v>
      </c>
      <c r="E18" s="27">
        <v>1931984</v>
      </c>
      <c r="F18" s="79">
        <f>E18/'- 3 -'!$D18*100</f>
        <v>1.7726090239960492</v>
      </c>
      <c r="G18" s="27">
        <f>E18/'- 7 -'!$E18</f>
        <v>334.24750436843652</v>
      </c>
      <c r="H18" s="27">
        <v>2680583</v>
      </c>
      <c r="I18" s="79">
        <f>H18/'- 3 -'!$D18*100</f>
        <v>2.4594539164767419</v>
      </c>
      <c r="J18" s="27">
        <f>H18/'- 7 -'!$E18</f>
        <v>463.76066158024946</v>
      </c>
    </row>
    <row r="19" spans="1:10" ht="14.1" customHeight="1">
      <c r="A19" s="330" t="s">
        <v>245</v>
      </c>
      <c r="B19" s="331">
        <v>162306</v>
      </c>
      <c r="C19" s="337">
        <f>B19/'- 3 -'!$D19*100</f>
        <v>0.43719540384816319</v>
      </c>
      <c r="D19" s="331">
        <f>B19/'- 7 -'!$E19</f>
        <v>39.200560332335044</v>
      </c>
      <c r="E19" s="331">
        <v>325853</v>
      </c>
      <c r="F19" s="337">
        <f>E19/'- 3 -'!$D19*100</f>
        <v>0.87773362617608419</v>
      </c>
      <c r="G19" s="331">
        <f>E19/'- 7 -'!$E19</f>
        <v>78.700850159404894</v>
      </c>
      <c r="H19" s="331">
        <v>670636</v>
      </c>
      <c r="I19" s="337">
        <f>H19/'- 3 -'!$D19*100</f>
        <v>1.8064580290014958</v>
      </c>
      <c r="J19" s="331">
        <f>H19/'- 7 -'!$E19</f>
        <v>161.97372234566711</v>
      </c>
    </row>
    <row r="20" spans="1:10" ht="14.1" customHeight="1">
      <c r="A20" s="26" t="s">
        <v>246</v>
      </c>
      <c r="B20" s="27">
        <v>248355</v>
      </c>
      <c r="C20" s="79">
        <f>B20/'- 3 -'!$D20*100</f>
        <v>0.39519330498893535</v>
      </c>
      <c r="D20" s="27">
        <f>B20/'- 7 -'!$E20</f>
        <v>34.035219953405509</v>
      </c>
      <c r="E20" s="27">
        <v>531911</v>
      </c>
      <c r="F20" s="79">
        <f>E20/'- 3 -'!$D20*100</f>
        <v>0.84639997604223638</v>
      </c>
      <c r="G20" s="27">
        <f>E20/'- 7 -'!$E20</f>
        <v>72.894477182403733</v>
      </c>
      <c r="H20" s="27">
        <v>924944</v>
      </c>
      <c r="I20" s="79">
        <f>H20/'- 3 -'!$D20*100</f>
        <v>1.4718112230061235</v>
      </c>
      <c r="J20" s="27">
        <f>H20/'- 7 -'!$E20</f>
        <v>126.75674934904755</v>
      </c>
    </row>
    <row r="21" spans="1:10" ht="14.1" customHeight="1">
      <c r="A21" s="330" t="s">
        <v>247</v>
      </c>
      <c r="B21" s="331">
        <v>202681</v>
      </c>
      <c r="C21" s="337">
        <f>B21/'- 3 -'!$D21*100</f>
        <v>0.64454668903297518</v>
      </c>
      <c r="D21" s="331">
        <f>B21/'- 7 -'!$E21</f>
        <v>71.291241646148436</v>
      </c>
      <c r="E21" s="331">
        <v>357833</v>
      </c>
      <c r="F21" s="337">
        <f>E21/'- 3 -'!$D21*100</f>
        <v>1.1379462079659002</v>
      </c>
      <c r="G21" s="331">
        <f>E21/'- 7 -'!$E21</f>
        <v>125.86457966936335</v>
      </c>
      <c r="H21" s="331">
        <v>584349</v>
      </c>
      <c r="I21" s="337">
        <f>H21/'- 3 -'!$D21*100</f>
        <v>1.8582906793914082</v>
      </c>
      <c r="J21" s="331">
        <f>H21/'- 7 -'!$E21</f>
        <v>205.53957087583538</v>
      </c>
    </row>
    <row r="22" spans="1:10" ht="14.1" customHeight="1">
      <c r="A22" s="26" t="s">
        <v>248</v>
      </c>
      <c r="B22" s="27">
        <v>89435</v>
      </c>
      <c r="C22" s="79">
        <f>B22/'- 3 -'!$D22*100</f>
        <v>0.49095252475087459</v>
      </c>
      <c r="D22" s="27">
        <f>B22/'- 7 -'!$E22</f>
        <v>57.139662662918475</v>
      </c>
      <c r="E22" s="27">
        <v>119104</v>
      </c>
      <c r="F22" s="79">
        <f>E22/'- 3 -'!$D22*100</f>
        <v>0.65382019911587375</v>
      </c>
      <c r="G22" s="27">
        <f>E22/'- 7 -'!$E22</f>
        <v>76.095067722974704</v>
      </c>
      <c r="H22" s="27">
        <v>481906</v>
      </c>
      <c r="I22" s="79">
        <f>H22/'- 3 -'!$D22*100</f>
        <v>2.6454180957409847</v>
      </c>
      <c r="J22" s="27">
        <f>H22/'- 7 -'!$E22</f>
        <v>307.88780986455401</v>
      </c>
    </row>
    <row r="23" spans="1:10" ht="14.1" customHeight="1">
      <c r="A23" s="330" t="s">
        <v>249</v>
      </c>
      <c r="B23" s="331">
        <v>85656</v>
      </c>
      <c r="C23" s="337">
        <f>B23/'- 3 -'!$D23*100</f>
        <v>0.56071914180696814</v>
      </c>
      <c r="D23" s="331">
        <f>B23/'- 7 -'!$E23</f>
        <v>71.768747381650613</v>
      </c>
      <c r="E23" s="331">
        <v>181725</v>
      </c>
      <c r="F23" s="337">
        <f>E23/'- 3 -'!$D23*100</f>
        <v>1.1896036009721593</v>
      </c>
      <c r="G23" s="331">
        <f>E23/'- 7 -'!$E23</f>
        <v>152.26225387515711</v>
      </c>
      <c r="H23" s="331">
        <v>297257</v>
      </c>
      <c r="I23" s="337">
        <f>H23/'- 3 -'!$D23*100</f>
        <v>1.9458962587105857</v>
      </c>
      <c r="J23" s="331">
        <f>H23/'- 7 -'!$E23</f>
        <v>249.06325932132384</v>
      </c>
    </row>
    <row r="24" spans="1:10" ht="14.1" customHeight="1">
      <c r="A24" s="26" t="s">
        <v>250</v>
      </c>
      <c r="B24" s="27">
        <v>286871</v>
      </c>
      <c r="C24" s="79">
        <f>B24/'- 3 -'!$D24*100</f>
        <v>0.58490438548104651</v>
      </c>
      <c r="D24" s="27">
        <f>B24/'- 7 -'!$E24</f>
        <v>66.229019969987306</v>
      </c>
      <c r="E24" s="27">
        <v>300139</v>
      </c>
      <c r="F24" s="79">
        <f>E24/'- 3 -'!$D24*100</f>
        <v>0.61195665422400947</v>
      </c>
      <c r="G24" s="27">
        <f>E24/'- 7 -'!$E24</f>
        <v>69.292162068567464</v>
      </c>
      <c r="H24" s="27">
        <v>976969</v>
      </c>
      <c r="I24" s="79">
        <f>H24/'- 3 -'!$D24*100</f>
        <v>1.9919526636677551</v>
      </c>
      <c r="J24" s="27">
        <f>H24/'- 7 -'!$E24</f>
        <v>225.54980953480319</v>
      </c>
    </row>
    <row r="25" spans="1:10" ht="14.1" customHeight="1">
      <c r="A25" s="330" t="s">
        <v>251</v>
      </c>
      <c r="B25" s="331">
        <v>357728</v>
      </c>
      <c r="C25" s="337">
        <f>B25/'- 3 -'!$D25*100</f>
        <v>0.24615411038582793</v>
      </c>
      <c r="D25" s="331">
        <f>B25/'- 7 -'!$E25</f>
        <v>25.959941944847607</v>
      </c>
      <c r="E25" s="331">
        <v>997947</v>
      </c>
      <c r="F25" s="337">
        <f>E25/'- 3 -'!$D25*100</f>
        <v>0.68669144153436645</v>
      </c>
      <c r="G25" s="331">
        <f>E25/'- 7 -'!$E25</f>
        <v>72.41995645863571</v>
      </c>
      <c r="H25" s="331">
        <v>3221447</v>
      </c>
      <c r="I25" s="337">
        <f>H25/'- 3 -'!$D25*100</f>
        <v>2.2166909507785086</v>
      </c>
      <c r="J25" s="331">
        <f>H25/'- 7 -'!$E25</f>
        <v>233.77699564586356</v>
      </c>
    </row>
    <row r="26" spans="1:10" ht="14.1" customHeight="1">
      <c r="A26" s="26" t="s">
        <v>252</v>
      </c>
      <c r="B26" s="27">
        <v>196772</v>
      </c>
      <c r="C26" s="79">
        <f>B26/'- 3 -'!$D26*100</f>
        <v>0.54737621354760302</v>
      </c>
      <c r="D26" s="27">
        <f>B26/'- 7 -'!$E26</f>
        <v>63.301270709345346</v>
      </c>
      <c r="E26" s="27">
        <v>371561</v>
      </c>
      <c r="F26" s="79">
        <f>E26/'- 3 -'!$D26*100</f>
        <v>1.0336005797672481</v>
      </c>
      <c r="G26" s="27">
        <f>E26/'- 7 -'!$E26</f>
        <v>119.53064178864405</v>
      </c>
      <c r="H26" s="27">
        <v>584941</v>
      </c>
      <c r="I26" s="79">
        <f>H26/'- 3 -'!$D26*100</f>
        <v>1.6271765786227128</v>
      </c>
      <c r="J26" s="27">
        <f>H26/'- 7 -'!$E26</f>
        <v>188.17468232266367</v>
      </c>
    </row>
    <row r="27" spans="1:10" ht="14.1" customHeight="1">
      <c r="A27" s="330" t="s">
        <v>253</v>
      </c>
      <c r="B27" s="331">
        <v>219981</v>
      </c>
      <c r="C27" s="337">
        <f>B27/'- 3 -'!$D27*100</f>
        <v>0.55198199981783014</v>
      </c>
      <c r="D27" s="331">
        <f>B27/'- 7 -'!$E27</f>
        <v>78.696740958036699</v>
      </c>
      <c r="E27" s="331">
        <v>555370</v>
      </c>
      <c r="F27" s="337">
        <f>E27/'- 3 -'!$D27*100</f>
        <v>1.393548730294109</v>
      </c>
      <c r="G27" s="331">
        <f>E27/'- 7 -'!$E27</f>
        <v>198.67992702035559</v>
      </c>
      <c r="H27" s="331">
        <v>1186215</v>
      </c>
      <c r="I27" s="337">
        <f>H27/'- 3 -'!$D27*100</f>
        <v>2.9764812775371849</v>
      </c>
      <c r="J27" s="331">
        <f>H27/'- 7 -'!$E27</f>
        <v>424.36053375308552</v>
      </c>
    </row>
    <row r="28" spans="1:10" ht="14.1" customHeight="1">
      <c r="A28" s="26" t="s">
        <v>254</v>
      </c>
      <c r="B28" s="27">
        <v>226369</v>
      </c>
      <c r="C28" s="79">
        <f>B28/'- 3 -'!$D28*100</f>
        <v>0.91377781767805599</v>
      </c>
      <c r="D28" s="27">
        <f>B28/'- 7 -'!$E28</f>
        <v>113.01497753369945</v>
      </c>
      <c r="E28" s="27">
        <v>332574</v>
      </c>
      <c r="F28" s="79">
        <f>E28/'- 3 -'!$D28*100</f>
        <v>1.3424927615374092</v>
      </c>
      <c r="G28" s="27">
        <f>E28/'- 7 -'!$E28</f>
        <v>166.03794308537195</v>
      </c>
      <c r="H28" s="27">
        <v>465374</v>
      </c>
      <c r="I28" s="79">
        <f>H28/'- 3 -'!$D28*100</f>
        <v>1.8785630458415576</v>
      </c>
      <c r="J28" s="27">
        <f>H28/'- 7 -'!$E28</f>
        <v>232.3384922616076</v>
      </c>
    </row>
    <row r="29" spans="1:10" ht="14.1" customHeight="1">
      <c r="A29" s="330" t="s">
        <v>255</v>
      </c>
      <c r="B29" s="331">
        <v>325429</v>
      </c>
      <c r="C29" s="337">
        <f>B29/'- 3 -'!$D29*100</f>
        <v>0.2412587650806374</v>
      </c>
      <c r="D29" s="331">
        <f>B29/'- 7 -'!$E29</f>
        <v>26.708660254095403</v>
      </c>
      <c r="E29" s="331">
        <v>1849871</v>
      </c>
      <c r="F29" s="337">
        <f>E29/'- 3 -'!$D29*100</f>
        <v>1.3714130978446415</v>
      </c>
      <c r="G29" s="331">
        <f>E29/'- 7 -'!$E29</f>
        <v>151.82290469781032</v>
      </c>
      <c r="H29" s="331">
        <v>1440768</v>
      </c>
      <c r="I29" s="337">
        <f>H29/'- 3 -'!$D29*100</f>
        <v>1.0681221048145673</v>
      </c>
      <c r="J29" s="331">
        <f>H29/'- 7 -'!$E29</f>
        <v>118.24693870851253</v>
      </c>
    </row>
    <row r="30" spans="1:10" ht="14.1" customHeight="1">
      <c r="A30" s="26" t="s">
        <v>256</v>
      </c>
      <c r="B30" s="27">
        <v>95915</v>
      </c>
      <c r="C30" s="79">
        <f>B30/'- 3 -'!$D30*100</f>
        <v>0.74441477426804581</v>
      </c>
      <c r="D30" s="27">
        <f>B30/'- 7 -'!$E30</f>
        <v>87.354280510018214</v>
      </c>
      <c r="E30" s="27">
        <v>133125</v>
      </c>
      <c r="F30" s="79">
        <f>E30/'- 3 -'!$D30*100</f>
        <v>1.0332087454979262</v>
      </c>
      <c r="G30" s="27">
        <f>E30/'- 7 -'!$E30</f>
        <v>121.2431693989071</v>
      </c>
      <c r="H30" s="27">
        <v>280056</v>
      </c>
      <c r="I30" s="79">
        <f>H30/'- 3 -'!$D30*100</f>
        <v>2.1735685140219134</v>
      </c>
      <c r="J30" s="27">
        <f>H30/'- 7 -'!$E30</f>
        <v>255.06010928961749</v>
      </c>
    </row>
    <row r="31" spans="1:10" ht="14.1" customHeight="1">
      <c r="A31" s="330" t="s">
        <v>257</v>
      </c>
      <c r="B31" s="331">
        <v>137523</v>
      </c>
      <c r="C31" s="337">
        <f>B31/'- 3 -'!$D31*100</f>
        <v>0.42912913181849766</v>
      </c>
      <c r="D31" s="331">
        <f>B31/'- 7 -'!$E31</f>
        <v>42.996091918086606</v>
      </c>
      <c r="E31" s="331">
        <v>278788</v>
      </c>
      <c r="F31" s="337">
        <f>E31/'- 3 -'!$D31*100</f>
        <v>0.86993486472383041</v>
      </c>
      <c r="G31" s="331">
        <f>E31/'- 7 -'!$E31</f>
        <v>87.1621072377677</v>
      </c>
      <c r="H31" s="331">
        <v>529860</v>
      </c>
      <c r="I31" s="337">
        <f>H31/'- 3 -'!$D31*100</f>
        <v>1.6533842468921502</v>
      </c>
      <c r="J31" s="331">
        <f>H31/'- 7 -'!$E31</f>
        <v>165.65890261059872</v>
      </c>
    </row>
    <row r="32" spans="1:10" ht="14.1" customHeight="1">
      <c r="A32" s="26" t="s">
        <v>258</v>
      </c>
      <c r="B32" s="27">
        <v>158688</v>
      </c>
      <c r="C32" s="79">
        <f>B32/'- 3 -'!$D32*100</f>
        <v>0.67047008704095001</v>
      </c>
      <c r="D32" s="27">
        <f>B32/'- 7 -'!$E32</f>
        <v>76.939636363636367</v>
      </c>
      <c r="E32" s="27">
        <v>202567</v>
      </c>
      <c r="F32" s="79">
        <f>E32/'- 3 -'!$D32*100</f>
        <v>0.85586253605580831</v>
      </c>
      <c r="G32" s="27">
        <f>E32/'- 7 -'!$E32</f>
        <v>98.214303030303029</v>
      </c>
      <c r="H32" s="27">
        <v>560397</v>
      </c>
      <c r="I32" s="79">
        <f>H32/'- 3 -'!$D32*100</f>
        <v>2.3677242473752722</v>
      </c>
      <c r="J32" s="27">
        <f>H32/'- 7 -'!$E32</f>
        <v>271.70763636363637</v>
      </c>
    </row>
    <row r="33" spans="1:10" ht="14.1" customHeight="1">
      <c r="A33" s="330" t="s">
        <v>259</v>
      </c>
      <c r="B33" s="331">
        <v>191435</v>
      </c>
      <c r="C33" s="337">
        <f>B33/'- 3 -'!$D33*100</f>
        <v>0.78166457090377717</v>
      </c>
      <c r="D33" s="331">
        <f>B33/'- 7 -'!$E33</f>
        <v>93.955828220858891</v>
      </c>
      <c r="E33" s="331">
        <v>435549</v>
      </c>
      <c r="F33" s="337">
        <f>E33/'- 3 -'!$D33*100</f>
        <v>1.7784272582995233</v>
      </c>
      <c r="G33" s="331">
        <f>E33/'- 7 -'!$E33</f>
        <v>213.76638036809817</v>
      </c>
      <c r="H33" s="331">
        <v>427606</v>
      </c>
      <c r="I33" s="337">
        <f>H33/'- 3 -'!$D33*100</f>
        <v>1.7459945177521381</v>
      </c>
      <c r="J33" s="331">
        <f>H33/'- 7 -'!$E33</f>
        <v>209.86797546012269</v>
      </c>
    </row>
    <row r="34" spans="1:10" ht="14.1" customHeight="1">
      <c r="A34" s="26" t="s">
        <v>260</v>
      </c>
      <c r="B34" s="27">
        <v>161216</v>
      </c>
      <c r="C34" s="79">
        <f>B34/'- 3 -'!$D34*100</f>
        <v>0.7124386333919549</v>
      </c>
      <c r="D34" s="27">
        <f>B34/'- 7 -'!$E34</f>
        <v>80.878944463954255</v>
      </c>
      <c r="E34" s="27">
        <v>275427</v>
      </c>
      <c r="F34" s="79">
        <f>E34/'- 3 -'!$D34*100</f>
        <v>1.2171548449238658</v>
      </c>
      <c r="G34" s="27">
        <f>E34/'- 7 -'!$E34</f>
        <v>138.176390909547</v>
      </c>
      <c r="H34" s="27">
        <v>459706</v>
      </c>
      <c r="I34" s="79">
        <f>H34/'- 3 -'!$D34*100</f>
        <v>2.0315124702391949</v>
      </c>
      <c r="J34" s="27">
        <f>H34/'- 7 -'!$E34</f>
        <v>230.62559574574826</v>
      </c>
    </row>
    <row r="35" spans="1:10" ht="14.1" customHeight="1">
      <c r="A35" s="330" t="s">
        <v>261</v>
      </c>
      <c r="B35" s="331">
        <v>360382</v>
      </c>
      <c r="C35" s="337">
        <f>B35/'- 3 -'!$D35*100</f>
        <v>0.22399433964634241</v>
      </c>
      <c r="D35" s="331">
        <f>B35/'- 7 -'!$E35</f>
        <v>22.858900764327171</v>
      </c>
      <c r="E35" s="331">
        <v>1418933</v>
      </c>
      <c r="F35" s="337">
        <f>E35/'- 3 -'!$D35*100</f>
        <v>0.88193350482932975</v>
      </c>
      <c r="G35" s="331">
        <f>E35/'- 7 -'!$E35</f>
        <v>90.002410326345498</v>
      </c>
      <c r="H35" s="331">
        <v>2036006</v>
      </c>
      <c r="I35" s="337">
        <f>H35/'- 3 -'!$D35*100</f>
        <v>1.2654733573985131</v>
      </c>
      <c r="J35" s="331">
        <f>H35/'- 7 -'!$E35</f>
        <v>129.1431289841743</v>
      </c>
    </row>
    <row r="36" spans="1:10" ht="14.1" customHeight="1">
      <c r="A36" s="26" t="s">
        <v>262</v>
      </c>
      <c r="B36" s="27">
        <v>211349</v>
      </c>
      <c r="C36" s="79">
        <f>B36/'- 3 -'!$D36*100</f>
        <v>1.0377698453737709</v>
      </c>
      <c r="D36" s="27">
        <f>B36/'- 7 -'!$E36</f>
        <v>126.63211503894547</v>
      </c>
      <c r="E36" s="27">
        <v>205034</v>
      </c>
      <c r="F36" s="79">
        <f>E36/'- 3 -'!$D36*100</f>
        <v>1.0067618132868656</v>
      </c>
      <c r="G36" s="27">
        <f>E36/'- 7 -'!$E36</f>
        <v>122.84841222288796</v>
      </c>
      <c r="H36" s="27">
        <v>438240</v>
      </c>
      <c r="I36" s="79">
        <f>H36/'- 3 -'!$D36*100</f>
        <v>2.1518543122352196</v>
      </c>
      <c r="J36" s="27">
        <f>H36/'- 7 -'!$E36</f>
        <v>262.57639304973037</v>
      </c>
    </row>
    <row r="37" spans="1:10" ht="14.1" customHeight="1">
      <c r="A37" s="330" t="s">
        <v>263</v>
      </c>
      <c r="B37" s="331">
        <v>142392</v>
      </c>
      <c r="C37" s="337">
        <f>B37/'- 3 -'!$D37*100</f>
        <v>0.3796498487887543</v>
      </c>
      <c r="D37" s="331">
        <f>B37/'- 7 -'!$E37</f>
        <v>38.719782460910942</v>
      </c>
      <c r="E37" s="331">
        <v>341592</v>
      </c>
      <c r="F37" s="337">
        <f>E37/'- 3 -'!$D37*100</f>
        <v>0.91076290204118315</v>
      </c>
      <c r="G37" s="331">
        <f>E37/'- 7 -'!$E37</f>
        <v>92.887015635622021</v>
      </c>
      <c r="H37" s="331">
        <v>635420</v>
      </c>
      <c r="I37" s="337">
        <f>H37/'- 3 -'!$D37*100</f>
        <v>1.6941759854300118</v>
      </c>
      <c r="J37" s="331">
        <f>H37/'- 7 -'!$E37</f>
        <v>172.78585995921142</v>
      </c>
    </row>
    <row r="38" spans="1:10" ht="14.1" customHeight="1">
      <c r="A38" s="26" t="s">
        <v>264</v>
      </c>
      <c r="B38" s="27">
        <v>290563</v>
      </c>
      <c r="C38" s="79">
        <f>B38/'- 3 -'!$D38*100</f>
        <v>0.28300541124407963</v>
      </c>
      <c r="D38" s="27">
        <f>B38/'- 7 -'!$E38</f>
        <v>28.605477671890998</v>
      </c>
      <c r="E38" s="27">
        <v>1070391</v>
      </c>
      <c r="F38" s="79">
        <f>E38/'- 3 -'!$D38*100</f>
        <v>1.0425499638528017</v>
      </c>
      <c r="G38" s="27">
        <f>E38/'- 7 -'!$E38</f>
        <v>105.37833740253603</v>
      </c>
      <c r="H38" s="27">
        <v>1392949</v>
      </c>
      <c r="I38" s="79">
        <f>H38/'- 3 -'!$D38*100</f>
        <v>1.3567181801778943</v>
      </c>
      <c r="J38" s="27">
        <f>H38/'- 7 -'!$E38</f>
        <v>137.13367330865557</v>
      </c>
    </row>
    <row r="39" spans="1:10" ht="14.1" customHeight="1">
      <c r="A39" s="330" t="s">
        <v>265</v>
      </c>
      <c r="B39" s="331">
        <v>145576</v>
      </c>
      <c r="C39" s="337">
        <f>B39/'- 3 -'!$D39*100</f>
        <v>0.76620866922771325</v>
      </c>
      <c r="D39" s="331">
        <f>B39/'- 7 -'!$E39</f>
        <v>91.609086904537165</v>
      </c>
      <c r="E39" s="331">
        <v>225161</v>
      </c>
      <c r="F39" s="337">
        <f>E39/'- 3 -'!$D39*100</f>
        <v>1.1850875842994804</v>
      </c>
      <c r="G39" s="331">
        <f>E39/'- 7 -'!$E39</f>
        <v>141.69089421685231</v>
      </c>
      <c r="H39" s="331">
        <v>400183</v>
      </c>
      <c r="I39" s="337">
        <f>H39/'- 3 -'!$D39*100</f>
        <v>2.1062790836233578</v>
      </c>
      <c r="J39" s="331">
        <f>H39/'- 7 -'!$E39</f>
        <v>251.82996664778807</v>
      </c>
    </row>
    <row r="40" spans="1:10" ht="14.1" customHeight="1">
      <c r="A40" s="26" t="s">
        <v>266</v>
      </c>
      <c r="B40" s="27">
        <v>352204</v>
      </c>
      <c r="C40" s="79">
        <f>B40/'- 3 -'!$D40*100</f>
        <v>0.38768267109402144</v>
      </c>
      <c r="D40" s="27">
        <f>B40/'- 7 -'!$E40</f>
        <v>42.956945969020609</v>
      </c>
      <c r="E40" s="27">
        <v>1117463</v>
      </c>
      <c r="F40" s="79">
        <f>E40/'- 3 -'!$D40*100</f>
        <v>1.2300287353032291</v>
      </c>
      <c r="G40" s="27">
        <f>E40/'- 7 -'!$E40</f>
        <v>136.29259665812904</v>
      </c>
      <c r="H40" s="27">
        <v>1407223</v>
      </c>
      <c r="I40" s="79">
        <f>H40/'- 3 -'!$D40*100</f>
        <v>1.5489772162296345</v>
      </c>
      <c r="J40" s="27">
        <f>H40/'- 7 -'!$E40</f>
        <v>171.6334918892548</v>
      </c>
    </row>
    <row r="41" spans="1:10" ht="14.1" customHeight="1">
      <c r="A41" s="330" t="s">
        <v>267</v>
      </c>
      <c r="B41" s="331">
        <v>226581</v>
      </c>
      <c r="C41" s="337">
        <f>B41/'- 3 -'!$D41*100</f>
        <v>0.41035102171212406</v>
      </c>
      <c r="D41" s="331">
        <f>B41/'- 7 -'!$E41</f>
        <v>49.825398570643209</v>
      </c>
      <c r="E41" s="331">
        <v>634929</v>
      </c>
      <c r="F41" s="337">
        <f>E41/'- 3 -'!$D41*100</f>
        <v>1.1498923734322701</v>
      </c>
      <c r="G41" s="331">
        <f>E41/'- 7 -'!$E41</f>
        <v>139.62155030236394</v>
      </c>
      <c r="H41" s="331">
        <v>994278</v>
      </c>
      <c r="I41" s="337">
        <f>H41/'- 3 -'!$D41*100</f>
        <v>1.8006937614622904</v>
      </c>
      <c r="J41" s="331">
        <f>H41/'- 7 -'!$E41</f>
        <v>218.64277075316107</v>
      </c>
    </row>
    <row r="42" spans="1:10" ht="14.1" customHeight="1">
      <c r="A42" s="26" t="s">
        <v>268</v>
      </c>
      <c r="B42" s="27">
        <v>155805</v>
      </c>
      <c r="C42" s="79">
        <f>B42/'- 3 -'!$D42*100</f>
        <v>0.81187246695321336</v>
      </c>
      <c r="D42" s="27">
        <f>B42/'- 7 -'!$E42</f>
        <v>106.43872113676733</v>
      </c>
      <c r="E42" s="27">
        <v>209173</v>
      </c>
      <c r="F42" s="79">
        <f>E42/'- 3 -'!$D42*100</f>
        <v>1.0899637337056223</v>
      </c>
      <c r="G42" s="27">
        <f>E42/'- 7 -'!$E42</f>
        <v>142.89725372318622</v>
      </c>
      <c r="H42" s="27">
        <v>393183</v>
      </c>
      <c r="I42" s="79">
        <f>H42/'- 3 -'!$D42*100</f>
        <v>2.0488074976673745</v>
      </c>
      <c r="J42" s="27">
        <f>H42/'- 7 -'!$E42</f>
        <v>268.60431752971721</v>
      </c>
    </row>
    <row r="43" spans="1:10" ht="14.1" customHeight="1">
      <c r="A43" s="330" t="s">
        <v>269</v>
      </c>
      <c r="B43" s="331">
        <v>130407</v>
      </c>
      <c r="C43" s="337">
        <f>B43/'- 3 -'!$D43*100</f>
        <v>1.1530193870156473</v>
      </c>
      <c r="D43" s="331">
        <f>B43/'- 7 -'!$E43</f>
        <v>134.05324835526315</v>
      </c>
      <c r="E43" s="331">
        <v>104216</v>
      </c>
      <c r="F43" s="337">
        <f>E43/'- 3 -'!$D43*100</f>
        <v>0.92144645944790304</v>
      </c>
      <c r="G43" s="331">
        <f>E43/'- 7 -'!$E43</f>
        <v>107.12993421052632</v>
      </c>
      <c r="H43" s="331">
        <v>294051</v>
      </c>
      <c r="I43" s="337">
        <f>H43/'- 3 -'!$D43*100</f>
        <v>2.5999103098095815</v>
      </c>
      <c r="J43" s="331">
        <f>H43/'- 7 -'!$E43</f>
        <v>302.27282072368416</v>
      </c>
    </row>
    <row r="44" spans="1:10" ht="14.1" customHeight="1">
      <c r="A44" s="26" t="s">
        <v>270</v>
      </c>
      <c r="B44" s="27">
        <v>94463</v>
      </c>
      <c r="C44" s="79">
        <f>B44/'- 3 -'!$D44*100</f>
        <v>0.97597469613343002</v>
      </c>
      <c r="D44" s="27">
        <f>B44/'- 7 -'!$E44</f>
        <v>132.02375960866527</v>
      </c>
      <c r="E44" s="27">
        <v>46929</v>
      </c>
      <c r="F44" s="79">
        <f>E44/'- 3 -'!$D44*100</f>
        <v>0.48486197256963826</v>
      </c>
      <c r="G44" s="27">
        <f>E44/'- 7 -'!$E44</f>
        <v>65.589098532494759</v>
      </c>
      <c r="H44" s="27">
        <v>251321</v>
      </c>
      <c r="I44" s="79">
        <f>H44/'- 3 -'!$D44*100</f>
        <v>2.5966032902506777</v>
      </c>
      <c r="J44" s="27">
        <f>H44/'- 7 -'!$E44</f>
        <v>351.25227113906357</v>
      </c>
    </row>
    <row r="45" spans="1:10" ht="14.1" customHeight="1">
      <c r="A45" s="330" t="s">
        <v>271</v>
      </c>
      <c r="B45" s="331">
        <v>105258</v>
      </c>
      <c r="C45" s="337">
        <f>B45/'- 3 -'!$D45*100</f>
        <v>0.67813513803430492</v>
      </c>
      <c r="D45" s="331">
        <f>B45/'- 7 -'!$E45</f>
        <v>63.523234761617381</v>
      </c>
      <c r="E45" s="331">
        <v>140753</v>
      </c>
      <c r="F45" s="337">
        <f>E45/'- 3 -'!$D45*100</f>
        <v>0.90681520724070863</v>
      </c>
      <c r="G45" s="331">
        <f>E45/'- 7 -'!$E45</f>
        <v>84.944477972238985</v>
      </c>
      <c r="H45" s="331">
        <v>250070</v>
      </c>
      <c r="I45" s="337">
        <f>H45/'- 3 -'!$D45*100</f>
        <v>1.6111008566402425</v>
      </c>
      <c r="J45" s="331">
        <f>H45/'- 7 -'!$E45</f>
        <v>150.91732045866024</v>
      </c>
    </row>
    <row r="46" spans="1:10" ht="14.1" customHeight="1">
      <c r="A46" s="26" t="s">
        <v>272</v>
      </c>
      <c r="B46" s="27">
        <v>761314</v>
      </c>
      <c r="C46" s="79">
        <f>B46/'- 3 -'!$D46*100</f>
        <v>0.2265466243781063</v>
      </c>
      <c r="D46" s="27">
        <f>B46/'- 7 -'!$E46</f>
        <v>25.170150793309684</v>
      </c>
      <c r="E46" s="27">
        <v>1944810</v>
      </c>
      <c r="F46" s="79">
        <f>E46/'- 3 -'!$D46*100</f>
        <v>0.57872328704947607</v>
      </c>
      <c r="G46" s="27">
        <f>E46/'- 7 -'!$E46</f>
        <v>64.298254024405963</v>
      </c>
      <c r="H46" s="27">
        <v>5480562</v>
      </c>
      <c r="I46" s="79">
        <f>H46/'- 3 -'!$D46*100</f>
        <v>1.6308682367524081</v>
      </c>
      <c r="J46" s="27">
        <f>H46/'- 7 -'!$E46</f>
        <v>181.1953700734295</v>
      </c>
    </row>
    <row r="47" spans="1:10" ht="5.0999999999999996" customHeight="1">
      <c r="A47" s="28"/>
      <c r="B47" s="29"/>
      <c r="C47"/>
      <c r="D47" s="29"/>
      <c r="E47" s="29"/>
      <c r="F47"/>
      <c r="G47" s="29"/>
      <c r="H47"/>
      <c r="I47"/>
      <c r="J47"/>
    </row>
    <row r="48" spans="1:10" ht="14.1" customHeight="1">
      <c r="A48" s="332" t="s">
        <v>273</v>
      </c>
      <c r="B48" s="333">
        <f>SUM(B11:B46)</f>
        <v>8614897</v>
      </c>
      <c r="C48" s="340">
        <f>B48/'- 3 -'!$D48*100</f>
        <v>0.44680305825273098</v>
      </c>
      <c r="D48" s="333">
        <f>B48/'- 7 -'!$E48</f>
        <v>50.013764835078582</v>
      </c>
      <c r="E48" s="333">
        <f>SUM(E11:E46)</f>
        <v>19063558</v>
      </c>
      <c r="F48" s="340">
        <f>E48/'- 3 -'!$D48*100</f>
        <v>0.98871246116794165</v>
      </c>
      <c r="G48" s="333">
        <f>E48/'- 7 -'!$E48</f>
        <v>110.67344237915799</v>
      </c>
      <c r="H48" s="333">
        <f>SUM(H11:H46)</f>
        <v>33496024</v>
      </c>
      <c r="I48" s="340">
        <f>H48/'- 3 -'!$D48*100</f>
        <v>1.737237945213608</v>
      </c>
      <c r="J48" s="333">
        <f>H48/'- 7 -'!$E48</f>
        <v>194.46109074155481</v>
      </c>
    </row>
    <row r="49" spans="1:10" ht="5.0999999999999996" customHeight="1">
      <c r="A49" s="28" t="s">
        <v>18</v>
      </c>
      <c r="B49" s="29"/>
      <c r="C49"/>
      <c r="D49" s="29"/>
      <c r="E49" s="29"/>
      <c r="F49"/>
      <c r="H49"/>
      <c r="I49"/>
      <c r="J49"/>
    </row>
    <row r="50" spans="1:10" ht="14.1" customHeight="1">
      <c r="A50" s="26" t="s">
        <v>274</v>
      </c>
      <c r="B50" s="27">
        <v>38421</v>
      </c>
      <c r="C50" s="79">
        <f>B50/'- 3 -'!$D50*100</f>
        <v>1.1893076533762985</v>
      </c>
      <c r="D50" s="27">
        <f>B50/'- 7 -'!$E50</f>
        <v>212.2707182320442</v>
      </c>
      <c r="E50" s="27">
        <v>49630</v>
      </c>
      <c r="F50" s="79">
        <f>E50/'- 3 -'!$D50*100</f>
        <v>1.5362780468250614</v>
      </c>
      <c r="G50" s="27">
        <f>E50/'- 7 -'!$E50</f>
        <v>274.1988950276243</v>
      </c>
      <c r="H50" s="27">
        <v>104367</v>
      </c>
      <c r="I50" s="79">
        <f>H50/'- 3 -'!$D50*100</f>
        <v>3.2306413643560585</v>
      </c>
      <c r="J50" s="27">
        <f>H50/'- 7 -'!$E50</f>
        <v>576.61325966850825</v>
      </c>
    </row>
    <row r="51" spans="1:10" ht="14.1" customHeight="1">
      <c r="A51" s="330" t="s">
        <v>275</v>
      </c>
      <c r="B51" s="331">
        <v>34009</v>
      </c>
      <c r="C51" s="337">
        <f>B51/'- 3 -'!$D51*100</f>
        <v>0.22114689462525067</v>
      </c>
      <c r="D51" s="331">
        <f>B51/'- 7 -'!$E51</f>
        <v>52.932295719844355</v>
      </c>
      <c r="E51" s="331">
        <v>264800</v>
      </c>
      <c r="F51" s="337">
        <f>E51/'- 3 -'!$D51*100</f>
        <v>1.7218882559547879</v>
      </c>
      <c r="G51" s="331">
        <f>E51/'- 7 -'!$E51</f>
        <v>412.14007782101169</v>
      </c>
      <c r="H51" s="331">
        <v>629004</v>
      </c>
      <c r="I51" s="337">
        <f>H51/'- 3 -'!$D51*100</f>
        <v>4.0901608782046273</v>
      </c>
      <c r="J51" s="331">
        <f>H51/'- 7 -'!$E51</f>
        <v>978.9945525291829</v>
      </c>
    </row>
    <row r="52" spans="1:10"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sheetPr codeName="Sheet22">
    <pageSetUpPr fitToPage="1"/>
  </sheetPr>
  <dimension ref="A1:E52"/>
  <sheetViews>
    <sheetView showGridLines="0" showZeros="0" workbookViewId="0"/>
  </sheetViews>
  <sheetFormatPr defaultColWidth="15.83203125" defaultRowHeight="12"/>
  <cols>
    <col min="1" max="1" width="35.83203125" style="1" customWidth="1"/>
    <col min="2" max="2" width="20.83203125" style="1" customWidth="1"/>
    <col min="3" max="4" width="15.83203125" style="1" customWidth="1"/>
    <col min="5" max="5" width="44.83203125" style="1" customWidth="1"/>
    <col min="6" max="16384" width="15.83203125" style="1"/>
  </cols>
  <sheetData>
    <row r="1" spans="1:5" ht="6.95" customHeight="1">
      <c r="A1" s="6"/>
      <c r="B1" s="7"/>
      <c r="C1" s="7"/>
      <c r="D1" s="7"/>
      <c r="E1" s="7"/>
    </row>
    <row r="2" spans="1:5" ht="15.95" customHeight="1">
      <c r="A2" s="152"/>
      <c r="B2" s="8" t="s">
        <v>483</v>
      </c>
      <c r="C2" s="9"/>
      <c r="D2" s="9"/>
      <c r="E2" s="491" t="s">
        <v>450</v>
      </c>
    </row>
    <row r="3" spans="1:5" ht="15.95" customHeight="1">
      <c r="A3" s="154"/>
      <c r="B3" s="10" t="str">
        <f>OPYEAR</f>
        <v>OPERATING FUND 2011/2012 ACTUAL</v>
      </c>
      <c r="C3" s="11"/>
      <c r="D3" s="11"/>
      <c r="E3" s="74"/>
    </row>
    <row r="4" spans="1:5" ht="15.95" customHeight="1">
      <c r="B4" s="7"/>
      <c r="C4" s="7"/>
      <c r="D4" s="7"/>
      <c r="E4" s="7"/>
    </row>
    <row r="5" spans="1:5" ht="15.95" customHeight="1">
      <c r="B5" s="185" t="s">
        <v>195</v>
      </c>
      <c r="C5" s="175"/>
      <c r="D5" s="177"/>
      <c r="E5" s="50"/>
    </row>
    <row r="6" spans="1:5" ht="15.95" customHeight="1">
      <c r="B6" s="358" t="s">
        <v>30</v>
      </c>
      <c r="C6" s="361"/>
      <c r="D6" s="359"/>
      <c r="E6" s="78"/>
    </row>
    <row r="7" spans="1:5" ht="15.95" customHeight="1">
      <c r="B7" s="344" t="s">
        <v>56</v>
      </c>
      <c r="C7" s="345"/>
      <c r="D7" s="346"/>
      <c r="E7" s="78"/>
    </row>
    <row r="8" spans="1:5" ht="15.95" customHeight="1">
      <c r="A8" s="75"/>
      <c r="B8" s="157"/>
      <c r="C8" s="77"/>
      <c r="D8" s="19" t="s">
        <v>75</v>
      </c>
      <c r="E8" s="78"/>
    </row>
    <row r="9" spans="1:5" ht="15.95" customHeight="1">
      <c r="A9" s="42" t="s">
        <v>95</v>
      </c>
      <c r="B9" s="87" t="s">
        <v>96</v>
      </c>
      <c r="C9" s="87" t="s">
        <v>97</v>
      </c>
      <c r="D9" s="87" t="s">
        <v>98</v>
      </c>
    </row>
    <row r="10" spans="1:5" ht="5.0999999999999996" customHeight="1">
      <c r="A10" s="5"/>
    </row>
    <row r="11" spans="1:5" ht="14.1" customHeight="1">
      <c r="A11" s="330" t="s">
        <v>238</v>
      </c>
      <c r="B11" s="331">
        <v>0</v>
      </c>
      <c r="C11" s="337">
        <f>B11/'- 3 -'!$D11*100</f>
        <v>0</v>
      </c>
      <c r="D11" s="331">
        <f>B11/'- 7 -'!$E11</f>
        <v>0</v>
      </c>
    </row>
    <row r="12" spans="1:5" ht="14.1" customHeight="1">
      <c r="A12" s="26" t="s">
        <v>239</v>
      </c>
      <c r="B12" s="27">
        <v>39168</v>
      </c>
      <c r="C12" s="79">
        <f>B12/'- 3 -'!$D12*100</f>
        <v>0.13696702524462295</v>
      </c>
      <c r="D12" s="27">
        <f>B12/'- 7 -'!$E12</f>
        <v>16.743327120701746</v>
      </c>
    </row>
    <row r="13" spans="1:5" ht="14.1" customHeight="1">
      <c r="A13" s="330" t="s">
        <v>240</v>
      </c>
      <c r="B13" s="331">
        <v>188332</v>
      </c>
      <c r="C13" s="337">
        <f>B13/'- 3 -'!$D13*100</f>
        <v>0.25635425944828216</v>
      </c>
      <c r="D13" s="331">
        <f>B13/'- 7 -'!$E13</f>
        <v>24.751215665659089</v>
      </c>
    </row>
    <row r="14" spans="1:5" ht="14.1" customHeight="1">
      <c r="A14" s="26" t="s">
        <v>653</v>
      </c>
      <c r="B14" s="27">
        <v>109113</v>
      </c>
      <c r="C14" s="79">
        <f>B14/'- 3 -'!$D14*100</f>
        <v>0.16412122068295895</v>
      </c>
      <c r="D14" s="27">
        <f>B14/'- 7 -'!$E14</f>
        <v>22.03412762520194</v>
      </c>
    </row>
    <row r="15" spans="1:5" ht="14.1" customHeight="1">
      <c r="A15" s="330" t="s">
        <v>241</v>
      </c>
      <c r="B15" s="331">
        <v>0</v>
      </c>
      <c r="C15" s="337">
        <f>B15/'- 3 -'!$D15*100</f>
        <v>0</v>
      </c>
      <c r="D15" s="331">
        <f>B15/'- 7 -'!$E15</f>
        <v>0</v>
      </c>
    </row>
    <row r="16" spans="1:5" ht="14.1" customHeight="1">
      <c r="A16" s="26" t="s">
        <v>242</v>
      </c>
      <c r="B16" s="27">
        <v>29168</v>
      </c>
      <c r="C16" s="79">
        <f>B16/'- 3 -'!$D16*100</f>
        <v>0.23152153655116095</v>
      </c>
      <c r="D16" s="27">
        <f>B16/'- 7 -'!$E16</f>
        <v>29.477513895907023</v>
      </c>
    </row>
    <row r="17" spans="1:4" ht="14.1" customHeight="1">
      <c r="A17" s="330" t="s">
        <v>243</v>
      </c>
      <c r="B17" s="331">
        <v>51555</v>
      </c>
      <c r="C17" s="337">
        <f>B17/'- 3 -'!$D17*100</f>
        <v>0.32384333030669166</v>
      </c>
      <c r="D17" s="331">
        <f>B17/'- 7 -'!$E17</f>
        <v>38.982986767485819</v>
      </c>
    </row>
    <row r="18" spans="1:4" ht="14.1" customHeight="1">
      <c r="A18" s="26" t="s">
        <v>244</v>
      </c>
      <c r="B18" s="27">
        <v>354973</v>
      </c>
      <c r="C18" s="79">
        <f>B18/'- 3 -'!$D18*100</f>
        <v>0.32569024540314495</v>
      </c>
      <c r="D18" s="27">
        <f>B18/'- 7 -'!$E18</f>
        <v>61.412951333021915</v>
      </c>
    </row>
    <row r="19" spans="1:4" ht="14.1" customHeight="1">
      <c r="A19" s="330" t="s">
        <v>245</v>
      </c>
      <c r="B19" s="331">
        <v>66458</v>
      </c>
      <c r="C19" s="337">
        <f>B19/'- 3 -'!$D19*100</f>
        <v>0.17901452903122023</v>
      </c>
      <c r="D19" s="331">
        <f>B19/'- 7 -'!$E19</f>
        <v>16.05110617331659</v>
      </c>
    </row>
    <row r="20" spans="1:4" ht="14.1" customHeight="1">
      <c r="A20" s="26" t="s">
        <v>246</v>
      </c>
      <c r="B20" s="27">
        <v>58980</v>
      </c>
      <c r="C20" s="79">
        <f>B20/'- 3 -'!$D20*100</f>
        <v>9.3851547696834806E-2</v>
      </c>
      <c r="D20" s="27">
        <f>B20/'- 7 -'!$E20</f>
        <v>8.0827737426339592</v>
      </c>
    </row>
    <row r="21" spans="1:4" ht="14.1" customHeight="1">
      <c r="A21" s="330" t="s">
        <v>247</v>
      </c>
      <c r="B21" s="331">
        <v>43026</v>
      </c>
      <c r="C21" s="337">
        <f>B21/'- 3 -'!$D21*100</f>
        <v>0.136827161116892</v>
      </c>
      <c r="D21" s="331">
        <f>B21/'- 7 -'!$E21</f>
        <v>15.134013366162504</v>
      </c>
    </row>
    <row r="22" spans="1:4" ht="14.1" customHeight="1">
      <c r="A22" s="26" t="s">
        <v>248</v>
      </c>
      <c r="B22" s="27">
        <v>0</v>
      </c>
      <c r="C22" s="79">
        <f>B22/'- 3 -'!$D22*100</f>
        <v>0</v>
      </c>
      <c r="D22" s="27">
        <f>B22/'- 7 -'!$E22</f>
        <v>0</v>
      </c>
    </row>
    <row r="23" spans="1:4" ht="14.1" customHeight="1">
      <c r="A23" s="330" t="s">
        <v>249</v>
      </c>
      <c r="B23" s="331">
        <v>0</v>
      </c>
      <c r="C23" s="337">
        <f>B23/'- 3 -'!$D23*100</f>
        <v>0</v>
      </c>
      <c r="D23" s="331">
        <f>B23/'- 7 -'!$E23</f>
        <v>0</v>
      </c>
    </row>
    <row r="24" spans="1:4" ht="14.1" customHeight="1">
      <c r="A24" s="26" t="s">
        <v>250</v>
      </c>
      <c r="B24" s="27">
        <v>143867</v>
      </c>
      <c r="C24" s="79">
        <f>B24/'- 3 -'!$D24*100</f>
        <v>0.29333198275880701</v>
      </c>
      <c r="D24" s="27">
        <f>B24/'- 7 -'!$E24</f>
        <v>33.214129054600022</v>
      </c>
    </row>
    <row r="25" spans="1:4" ht="14.1" customHeight="1">
      <c r="A25" s="330" t="s">
        <v>251</v>
      </c>
      <c r="B25" s="331">
        <v>317586</v>
      </c>
      <c r="C25" s="337">
        <f>B25/'- 3 -'!$D25*100</f>
        <v>0.21853223482923775</v>
      </c>
      <c r="D25" s="331">
        <f>B25/'- 7 -'!$E25</f>
        <v>23.04687953555878</v>
      </c>
    </row>
    <row r="26" spans="1:4" ht="14.1" customHeight="1">
      <c r="A26" s="26" t="s">
        <v>252</v>
      </c>
      <c r="B26" s="27">
        <v>15392</v>
      </c>
      <c r="C26" s="79">
        <f>B26/'- 3 -'!$D26*100</f>
        <v>4.2817142067594502E-2</v>
      </c>
      <c r="D26" s="27">
        <f>B26/'- 7 -'!$E26</f>
        <v>4.9515843654495741</v>
      </c>
    </row>
    <row r="27" spans="1:4" ht="14.1" customHeight="1">
      <c r="A27" s="330" t="s">
        <v>253</v>
      </c>
      <c r="B27" s="331">
        <v>235980</v>
      </c>
      <c r="C27" s="337">
        <f>B27/'- 3 -'!$D27*100</f>
        <v>0.59212710332715812</v>
      </c>
      <c r="D27" s="331">
        <f>B27/'- 7 -'!$E27</f>
        <v>84.4202768933567</v>
      </c>
    </row>
    <row r="28" spans="1:4" ht="14.1" customHeight="1">
      <c r="A28" s="26" t="s">
        <v>254</v>
      </c>
      <c r="B28" s="27">
        <v>40512</v>
      </c>
      <c r="C28" s="79">
        <f>B28/'- 3 -'!$D28*100</f>
        <v>0.16353373010338607</v>
      </c>
      <c r="D28" s="27">
        <f>B28/'- 7 -'!$E28</f>
        <v>20.225661507738394</v>
      </c>
    </row>
    <row r="29" spans="1:4" ht="14.1" customHeight="1">
      <c r="A29" s="330" t="s">
        <v>255</v>
      </c>
      <c r="B29" s="331">
        <v>744594</v>
      </c>
      <c r="C29" s="337">
        <f>B29/'- 3 -'!$D29*100</f>
        <v>0.55200928290487983</v>
      </c>
      <c r="D29" s="331">
        <f>B29/'- 7 -'!$E29</f>
        <v>61.110436295591086</v>
      </c>
    </row>
    <row r="30" spans="1:4" ht="14.1" customHeight="1">
      <c r="A30" s="26" t="s">
        <v>256</v>
      </c>
      <c r="B30" s="27">
        <v>29805</v>
      </c>
      <c r="C30" s="79">
        <f>B30/'- 3 -'!$D30*100</f>
        <v>0.2313223411047188</v>
      </c>
      <c r="D30" s="27">
        <f>B30/'- 7 -'!$E30</f>
        <v>27.144808743169399</v>
      </c>
    </row>
    <row r="31" spans="1:4" ht="14.1" customHeight="1">
      <c r="A31" s="330" t="s">
        <v>257</v>
      </c>
      <c r="B31" s="331">
        <v>132648</v>
      </c>
      <c r="C31" s="337">
        <f>B31/'- 3 -'!$D31*100</f>
        <v>0.4139170980669421</v>
      </c>
      <c r="D31" s="331">
        <f>B31/'- 7 -'!$E31</f>
        <v>41.471939971861808</v>
      </c>
    </row>
    <row r="32" spans="1:4" ht="14.1" customHeight="1">
      <c r="A32" s="26" t="s">
        <v>258</v>
      </c>
      <c r="B32" s="27">
        <v>46977</v>
      </c>
      <c r="C32" s="79">
        <f>B32/'- 3 -'!$D32*100</f>
        <v>0.19848175841224733</v>
      </c>
      <c r="D32" s="27">
        <f>B32/'- 7 -'!$E32</f>
        <v>22.776727272727271</v>
      </c>
    </row>
    <row r="33" spans="1:5" ht="14.1" customHeight="1">
      <c r="A33" s="330" t="s">
        <v>259</v>
      </c>
      <c r="B33" s="331">
        <v>25661</v>
      </c>
      <c r="C33" s="337">
        <f>B33/'- 3 -'!$D33*100</f>
        <v>0.10477861704475057</v>
      </c>
      <c r="D33" s="331">
        <f>B33/'- 7 -'!$E33</f>
        <v>12.594355828220859</v>
      </c>
    </row>
    <row r="34" spans="1:5" ht="14.1" customHeight="1">
      <c r="A34" s="26" t="s">
        <v>260</v>
      </c>
      <c r="B34" s="27">
        <v>18454</v>
      </c>
      <c r="C34" s="79">
        <f>B34/'- 3 -'!$D34*100</f>
        <v>8.1551102499845776E-2</v>
      </c>
      <c r="D34" s="27">
        <f>B34/'- 7 -'!$E34</f>
        <v>9.2580143480660215</v>
      </c>
    </row>
    <row r="35" spans="1:5" ht="14.1" customHeight="1">
      <c r="A35" s="330" t="s">
        <v>261</v>
      </c>
      <c r="B35" s="331">
        <v>966556</v>
      </c>
      <c r="C35" s="337">
        <f>B35/'- 3 -'!$D35*100</f>
        <v>0.60075995180450215</v>
      </c>
      <c r="D35" s="331">
        <f>B35/'- 7 -'!$E35</f>
        <v>61.30829976848181</v>
      </c>
    </row>
    <row r="36" spans="1:5" ht="14.1" customHeight="1">
      <c r="A36" s="26" t="s">
        <v>262</v>
      </c>
      <c r="B36" s="27">
        <v>0</v>
      </c>
      <c r="C36" s="79">
        <f>B36/'- 3 -'!$D36*100</f>
        <v>0</v>
      </c>
      <c r="D36" s="27">
        <f>B36/'- 7 -'!$E36</f>
        <v>0</v>
      </c>
    </row>
    <row r="37" spans="1:5" ht="14.1" customHeight="1">
      <c r="A37" s="330" t="s">
        <v>263</v>
      </c>
      <c r="B37" s="331">
        <v>135959</v>
      </c>
      <c r="C37" s="337">
        <f>B37/'- 3 -'!$D37*100</f>
        <v>0.36249798999571775</v>
      </c>
      <c r="D37" s="331">
        <f>B37/'- 7 -'!$E37</f>
        <v>36.970496261046904</v>
      </c>
    </row>
    <row r="38" spans="1:5" ht="14.1" customHeight="1">
      <c r="A38" s="26" t="s">
        <v>264</v>
      </c>
      <c r="B38" s="27">
        <v>306734</v>
      </c>
      <c r="C38" s="79">
        <f>B38/'- 3 -'!$D38*100</f>
        <v>0.29875580102264065</v>
      </c>
      <c r="D38" s="27">
        <f>B38/'- 7 -'!$E38</f>
        <v>30.197487595494998</v>
      </c>
    </row>
    <row r="39" spans="1:5" ht="14.1" customHeight="1">
      <c r="A39" s="330" t="s">
        <v>265</v>
      </c>
      <c r="B39" s="331">
        <v>27449</v>
      </c>
      <c r="C39" s="337">
        <f>B39/'- 3 -'!$D39*100</f>
        <v>0.14447204045743461</v>
      </c>
      <c r="D39" s="331">
        <f>B39/'- 7 -'!$E39</f>
        <v>17.273299351834371</v>
      </c>
    </row>
    <row r="40" spans="1:5" ht="14.1" customHeight="1">
      <c r="A40" s="26" t="s">
        <v>266</v>
      </c>
      <c r="B40" s="27">
        <v>184670</v>
      </c>
      <c r="C40" s="79">
        <f>B40/'- 3 -'!$D40*100</f>
        <v>0.20327241845899804</v>
      </c>
      <c r="D40" s="27">
        <f>B40/'- 7 -'!$E40</f>
        <v>22.523478472984511</v>
      </c>
    </row>
    <row r="41" spans="1:5" ht="14.1" customHeight="1">
      <c r="A41" s="330" t="s">
        <v>267</v>
      </c>
      <c r="B41" s="331">
        <v>135077</v>
      </c>
      <c r="C41" s="337">
        <f>B41/'- 3 -'!$D41*100</f>
        <v>0.2446320960707587</v>
      </c>
      <c r="D41" s="331">
        <f>B41/'- 7 -'!$E41</f>
        <v>29.703573391973613</v>
      </c>
    </row>
    <row r="42" spans="1:5" ht="14.1" customHeight="1">
      <c r="A42" s="26" t="s">
        <v>268</v>
      </c>
      <c r="B42" s="27">
        <v>29224</v>
      </c>
      <c r="C42" s="79">
        <f>B42/'- 3 -'!$D42*100</f>
        <v>0.15228112688450759</v>
      </c>
      <c r="D42" s="27">
        <f>B42/'- 7 -'!$E42</f>
        <v>19.964476021314386</v>
      </c>
    </row>
    <row r="43" spans="1:5" ht="14.1" customHeight="1">
      <c r="A43" s="330" t="s">
        <v>269</v>
      </c>
      <c r="B43" s="331">
        <v>20677</v>
      </c>
      <c r="C43" s="337">
        <f>B43/'- 3 -'!$D43*100</f>
        <v>0.18281980158521047</v>
      </c>
      <c r="D43" s="331">
        <f>B43/'- 7 -'!$E43</f>
        <v>21.255139802631579</v>
      </c>
    </row>
    <row r="44" spans="1:5" ht="14.1" customHeight="1">
      <c r="A44" s="26" t="s">
        <v>270</v>
      </c>
      <c r="B44" s="27">
        <v>0</v>
      </c>
      <c r="C44" s="79">
        <f>B44/'- 3 -'!$D44*100</f>
        <v>0</v>
      </c>
      <c r="D44" s="27">
        <f>B44/'- 7 -'!$E44</f>
        <v>0</v>
      </c>
    </row>
    <row r="45" spans="1:5" ht="14.1" customHeight="1">
      <c r="A45" s="330" t="s">
        <v>271</v>
      </c>
      <c r="B45" s="331">
        <v>43804</v>
      </c>
      <c r="C45" s="337">
        <f>B45/'- 3 -'!$D45*100</f>
        <v>0.28221162844111319</v>
      </c>
      <c r="D45" s="331">
        <f>B45/'- 7 -'!$E45</f>
        <v>26.435727217863608</v>
      </c>
    </row>
    <row r="46" spans="1:5" ht="14.1" customHeight="1">
      <c r="A46" s="26" t="s">
        <v>272</v>
      </c>
      <c r="B46" s="27">
        <v>1207622</v>
      </c>
      <c r="C46" s="79">
        <f>B46/'- 3 -'!$D46*100</f>
        <v>0.35935591309858678</v>
      </c>
      <c r="D46" s="27">
        <f>B46/'- 7 -'!$E46</f>
        <v>39.925743965457386</v>
      </c>
    </row>
    <row r="47" spans="1:5" ht="5.0999999999999996" customHeight="1">
      <c r="A47" s="28"/>
      <c r="B47" s="29"/>
      <c r="C47"/>
      <c r="D47" s="29"/>
    </row>
    <row r="48" spans="1:5" ht="14.1" customHeight="1">
      <c r="A48" s="332" t="s">
        <v>273</v>
      </c>
      <c r="B48" s="333">
        <f>SUM(B11:B46)</f>
        <v>5750021</v>
      </c>
      <c r="C48" s="340">
        <f>B48/'- 3 -'!$D48*100</f>
        <v>0.29821911600538309</v>
      </c>
      <c r="D48" s="333">
        <f>B48/'- 7 -'!$E48</f>
        <v>33.381733767770342</v>
      </c>
      <c r="E48" s="5"/>
    </row>
    <row r="49" spans="1:4" ht="5.0999999999999996" customHeight="1">
      <c r="A49" s="28" t="s">
        <v>18</v>
      </c>
      <c r="B49" s="29"/>
      <c r="C49"/>
      <c r="D49" s="29"/>
    </row>
    <row r="50" spans="1:4" ht="14.1" customHeight="1">
      <c r="A50" s="26" t="s">
        <v>274</v>
      </c>
      <c r="B50" s="27">
        <v>12308</v>
      </c>
      <c r="C50" s="79">
        <f>B50/'- 3 -'!$D50*100</f>
        <v>0.38098952650257617</v>
      </c>
      <c r="D50" s="27">
        <f>B50/'- 7 -'!$E50</f>
        <v>68</v>
      </c>
    </row>
    <row r="51" spans="1:4" ht="14.1" customHeight="1">
      <c r="A51" s="330" t="s">
        <v>275</v>
      </c>
      <c r="B51" s="331">
        <v>527389</v>
      </c>
      <c r="C51" s="337">
        <f>B51/'- 3 -'!$D51*100</f>
        <v>3.4293992651802849</v>
      </c>
      <c r="D51" s="331">
        <f>B51/'- 7 -'!$E51</f>
        <v>820.83891050583657</v>
      </c>
    </row>
    <row r="52" spans="1:4"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sheetPr codeName="Sheet24">
    <pageSetUpPr fitToPage="1"/>
  </sheetPr>
  <dimension ref="A1:J52"/>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row>
    <row r="2" spans="1:10" ht="15.95" customHeight="1">
      <c r="A2" s="152"/>
      <c r="B2" s="8" t="s">
        <v>483</v>
      </c>
      <c r="C2" s="9"/>
      <c r="D2" s="9"/>
      <c r="E2" s="9"/>
      <c r="F2" s="9"/>
      <c r="G2" s="9"/>
      <c r="H2" s="82"/>
      <c r="I2" s="153"/>
      <c r="J2" s="491" t="s">
        <v>449</v>
      </c>
    </row>
    <row r="3" spans="1:10" ht="15.95" customHeight="1">
      <c r="A3" s="154"/>
      <c r="B3" s="10" t="str">
        <f>OPYEAR</f>
        <v>OPERATING FUND 2011/2012 ACTUAL</v>
      </c>
      <c r="C3" s="11"/>
      <c r="D3" s="11"/>
      <c r="E3" s="11"/>
      <c r="F3" s="11"/>
      <c r="G3" s="11"/>
      <c r="H3" s="84"/>
      <c r="I3" s="11"/>
      <c r="J3" s="11"/>
    </row>
    <row r="4" spans="1:10" ht="15.95" customHeight="1">
      <c r="B4" s="7"/>
      <c r="C4" s="7"/>
      <c r="D4" s="7"/>
      <c r="E4" s="7"/>
      <c r="F4" s="7"/>
      <c r="G4" s="7"/>
    </row>
    <row r="5" spans="1:10" ht="15.95" customHeight="1">
      <c r="B5" s="480" t="s">
        <v>436</v>
      </c>
      <c r="C5" s="187"/>
      <c r="D5" s="187"/>
      <c r="E5" s="187"/>
      <c r="F5" s="187"/>
      <c r="G5" s="187"/>
      <c r="H5" s="46"/>
      <c r="I5" s="46"/>
      <c r="J5" s="205"/>
    </row>
    <row r="6" spans="1:10" ht="15.95" customHeight="1">
      <c r="B6" s="358" t="s">
        <v>32</v>
      </c>
      <c r="C6" s="361"/>
      <c r="D6" s="359"/>
      <c r="E6" s="358" t="s">
        <v>32</v>
      </c>
      <c r="F6" s="361"/>
      <c r="G6" s="359"/>
      <c r="H6" s="358" t="s">
        <v>354</v>
      </c>
      <c r="I6" s="361"/>
      <c r="J6" s="359"/>
    </row>
    <row r="7" spans="1:10" ht="15.95" customHeight="1">
      <c r="B7" s="344" t="s">
        <v>368</v>
      </c>
      <c r="C7" s="345"/>
      <c r="D7" s="346"/>
      <c r="E7" s="344" t="s">
        <v>58</v>
      </c>
      <c r="F7" s="345"/>
      <c r="G7" s="346"/>
      <c r="H7" s="344" t="s">
        <v>277</v>
      </c>
      <c r="I7" s="345"/>
      <c r="J7" s="346"/>
    </row>
    <row r="8" spans="1:10" ht="15.95" customHeight="1">
      <c r="A8" s="75"/>
      <c r="B8" s="155"/>
      <c r="C8" s="156"/>
      <c r="D8" s="157" t="s">
        <v>75</v>
      </c>
      <c r="E8" s="155"/>
      <c r="F8" s="157"/>
      <c r="G8" s="157" t="s">
        <v>75</v>
      </c>
      <c r="H8" s="155"/>
      <c r="I8" s="157"/>
      <c r="J8" s="157" t="s">
        <v>75</v>
      </c>
    </row>
    <row r="9" spans="1:10" ht="15.95" customHeight="1">
      <c r="A9" s="42" t="s">
        <v>95</v>
      </c>
      <c r="B9" s="87" t="s">
        <v>96</v>
      </c>
      <c r="C9" s="87" t="s">
        <v>97</v>
      </c>
      <c r="D9" s="87" t="s">
        <v>98</v>
      </c>
      <c r="E9" s="87" t="s">
        <v>96</v>
      </c>
      <c r="F9" s="87" t="s">
        <v>97</v>
      </c>
      <c r="G9" s="87" t="s">
        <v>98</v>
      </c>
      <c r="H9" s="87" t="s">
        <v>96</v>
      </c>
      <c r="I9" s="87" t="s">
        <v>97</v>
      </c>
      <c r="J9" s="87" t="s">
        <v>98</v>
      </c>
    </row>
    <row r="10" spans="1:10" ht="5.0999999999999996" customHeight="1">
      <c r="A10" s="5"/>
    </row>
    <row r="11" spans="1:10" ht="14.1" customHeight="1">
      <c r="A11" s="330" t="s">
        <v>238</v>
      </c>
      <c r="B11" s="331">
        <v>0</v>
      </c>
      <c r="C11" s="337">
        <f>B11/'- 3 -'!$D11*100</f>
        <v>0</v>
      </c>
      <c r="D11" s="331">
        <f>B11/'- 7 -'!$E11</f>
        <v>0</v>
      </c>
      <c r="E11" s="331">
        <v>0</v>
      </c>
      <c r="F11" s="337">
        <f>E11/'- 3 -'!$D11*100</f>
        <v>0</v>
      </c>
      <c r="G11" s="331">
        <f>E11/'- 7 -'!$E11</f>
        <v>0</v>
      </c>
      <c r="H11" s="331">
        <v>178474</v>
      </c>
      <c r="I11" s="337">
        <f>H11/'- 3 -'!$D11*100</f>
        <v>1.1857173655169069</v>
      </c>
      <c r="J11" s="331">
        <f>H11/'- 7 -'!$E11</f>
        <v>124.58917975567191</v>
      </c>
    </row>
    <row r="12" spans="1:10" ht="14.1" customHeight="1">
      <c r="A12" s="26" t="s">
        <v>239</v>
      </c>
      <c r="B12" s="27">
        <v>0</v>
      </c>
      <c r="C12" s="79">
        <f>B12/'- 3 -'!$D12*100</f>
        <v>0</v>
      </c>
      <c r="D12" s="27">
        <f>B12/'- 7 -'!$E12</f>
        <v>0</v>
      </c>
      <c r="E12" s="27">
        <v>0</v>
      </c>
      <c r="F12" s="79">
        <f>E12/'- 3 -'!$D12*100</f>
        <v>0</v>
      </c>
      <c r="G12" s="27">
        <f>E12/'- 7 -'!$E12</f>
        <v>0</v>
      </c>
      <c r="H12" s="27">
        <v>237320</v>
      </c>
      <c r="I12" s="79">
        <f>H12/'- 3 -'!$D12*100</f>
        <v>0.8298870105967604</v>
      </c>
      <c r="J12" s="27">
        <f>H12/'- 7 -'!$E12</f>
        <v>101.44828411675189</v>
      </c>
    </row>
    <row r="13" spans="1:10" ht="14.1" customHeight="1">
      <c r="A13" s="330" t="s">
        <v>240</v>
      </c>
      <c r="B13" s="331">
        <v>0</v>
      </c>
      <c r="C13" s="337">
        <f>B13/'- 3 -'!$D13*100</f>
        <v>0</v>
      </c>
      <c r="D13" s="331">
        <f>B13/'- 7 -'!$E13</f>
        <v>0</v>
      </c>
      <c r="E13" s="331">
        <v>188771</v>
      </c>
      <c r="F13" s="337">
        <f>E13/'- 3 -'!$D13*100</f>
        <v>0.25695181865169842</v>
      </c>
      <c r="G13" s="331">
        <f>E13/'- 7 -'!$E13</f>
        <v>24.808910500722828</v>
      </c>
      <c r="H13" s="331">
        <v>886277</v>
      </c>
      <c r="I13" s="337">
        <f>H13/'- 3 -'!$D13*100</f>
        <v>1.2063849160049549</v>
      </c>
      <c r="J13" s="331">
        <f>H13/'- 7 -'!$E13</f>
        <v>116.47746090156394</v>
      </c>
    </row>
    <row r="14" spans="1:10" ht="14.1" customHeight="1">
      <c r="A14" s="26" t="s">
        <v>653</v>
      </c>
      <c r="B14" s="27">
        <v>148623</v>
      </c>
      <c r="C14" s="79">
        <f>B14/'- 3 -'!$D14*100</f>
        <v>0.22354978949862442</v>
      </c>
      <c r="D14" s="27">
        <f>B14/'- 7 -'!$E14</f>
        <v>30.01272213247173</v>
      </c>
      <c r="E14" s="27">
        <v>1009453</v>
      </c>
      <c r="F14" s="79">
        <f>E14/'- 3 -'!$D14*100</f>
        <v>1.518358569392052</v>
      </c>
      <c r="G14" s="27">
        <f>E14/'- 7 -'!$E14</f>
        <v>203.84753634894992</v>
      </c>
      <c r="H14" s="27">
        <v>690897</v>
      </c>
      <c r="I14" s="79">
        <f>H14/'- 3 -'!$D14*100</f>
        <v>1.0392057683886824</v>
      </c>
      <c r="J14" s="27">
        <f>H14/'- 7 -'!$E14</f>
        <v>139.5187802907916</v>
      </c>
    </row>
    <row r="15" spans="1:10" ht="14.1" customHeight="1">
      <c r="A15" s="330" t="s">
        <v>241</v>
      </c>
      <c r="B15" s="331">
        <v>0</v>
      </c>
      <c r="C15" s="337">
        <f>B15/'- 3 -'!$D15*100</f>
        <v>0</v>
      </c>
      <c r="D15" s="331">
        <f>B15/'- 7 -'!$E15</f>
        <v>0</v>
      </c>
      <c r="E15" s="331">
        <v>93662</v>
      </c>
      <c r="F15" s="337">
        <f>E15/'- 3 -'!$D15*100</f>
        <v>0.51170546324882105</v>
      </c>
      <c r="G15" s="331">
        <f>E15/'- 7 -'!$E15</f>
        <v>61.097195042400521</v>
      </c>
      <c r="H15" s="331">
        <v>162958</v>
      </c>
      <c r="I15" s="337">
        <f>H15/'- 3 -'!$D15*100</f>
        <v>0.89029167517351104</v>
      </c>
      <c r="J15" s="331">
        <f>H15/'- 7 -'!$E15</f>
        <v>106.30006523157208</v>
      </c>
    </row>
    <row r="16" spans="1:10" ht="14.1" customHeight="1">
      <c r="A16" s="26" t="s">
        <v>242</v>
      </c>
      <c r="B16" s="27">
        <v>0</v>
      </c>
      <c r="C16" s="79">
        <f>B16/'- 3 -'!$D16*100</f>
        <v>0</v>
      </c>
      <c r="D16" s="27">
        <f>B16/'- 7 -'!$E16</f>
        <v>0</v>
      </c>
      <c r="E16" s="27">
        <v>0</v>
      </c>
      <c r="F16" s="79">
        <f>E16/'- 3 -'!$D16*100</f>
        <v>0</v>
      </c>
      <c r="G16" s="27">
        <f>E16/'- 7 -'!$E16</f>
        <v>0</v>
      </c>
      <c r="H16" s="27">
        <v>155016</v>
      </c>
      <c r="I16" s="79">
        <f>H16/'- 3 -'!$D16*100</f>
        <v>1.2304423515501497</v>
      </c>
      <c r="J16" s="27">
        <f>H16/'- 7 -'!$E16</f>
        <v>156.66093986862052</v>
      </c>
    </row>
    <row r="17" spans="1:10" ht="14.1" customHeight="1">
      <c r="A17" s="330" t="s">
        <v>243</v>
      </c>
      <c r="B17" s="331">
        <v>0</v>
      </c>
      <c r="C17" s="337">
        <f>B17/'- 3 -'!$D17*100</f>
        <v>0</v>
      </c>
      <c r="D17" s="331">
        <f>B17/'- 7 -'!$E17</f>
        <v>0</v>
      </c>
      <c r="E17" s="331">
        <v>103343</v>
      </c>
      <c r="F17" s="337">
        <f>E17/'- 3 -'!$D17*100</f>
        <v>0.64915025281513794</v>
      </c>
      <c r="G17" s="331">
        <f>E17/'- 7 -'!$E17</f>
        <v>78.142155009451798</v>
      </c>
      <c r="H17" s="331">
        <v>133641</v>
      </c>
      <c r="I17" s="337">
        <f>H17/'- 3 -'!$D17*100</f>
        <v>0.83946749113600205</v>
      </c>
      <c r="J17" s="331">
        <f>H17/'- 7 -'!$E17</f>
        <v>101.05179584120982</v>
      </c>
    </row>
    <row r="18" spans="1:10" ht="14.1" customHeight="1">
      <c r="A18" s="26" t="s">
        <v>244</v>
      </c>
      <c r="B18" s="27">
        <v>0</v>
      </c>
      <c r="C18" s="79">
        <f>B18/'- 3 -'!$D18*100</f>
        <v>0</v>
      </c>
      <c r="D18" s="27">
        <f>B18/'- 7 -'!$E18</f>
        <v>0</v>
      </c>
      <c r="E18" s="27">
        <v>1982324</v>
      </c>
      <c r="F18" s="79">
        <f>E18/'- 3 -'!$D18*100</f>
        <v>1.8187963310689657</v>
      </c>
      <c r="G18" s="27">
        <f>E18/'- 7 -'!$E18</f>
        <v>342.95669625092989</v>
      </c>
      <c r="H18" s="27">
        <v>1775717</v>
      </c>
      <c r="I18" s="79">
        <f>H18/'- 3 -'!$D18*100</f>
        <v>1.6292329430591519</v>
      </c>
      <c r="J18" s="27">
        <f>H18/'- 7 -'!$E18</f>
        <v>307.21215895918755</v>
      </c>
    </row>
    <row r="19" spans="1:10" ht="14.1" customHeight="1">
      <c r="A19" s="330" t="s">
        <v>245</v>
      </c>
      <c r="B19" s="331">
        <v>0</v>
      </c>
      <c r="C19" s="337">
        <f>B19/'- 3 -'!$D19*100</f>
        <v>0</v>
      </c>
      <c r="D19" s="331">
        <f>B19/'- 7 -'!$E19</f>
        <v>0</v>
      </c>
      <c r="E19" s="331">
        <v>79644</v>
      </c>
      <c r="F19" s="337">
        <f>E19/'- 3 -'!$D19*100</f>
        <v>0.2145329854970433</v>
      </c>
      <c r="G19" s="331">
        <f>E19/'- 7 -'!$E19</f>
        <v>19.235822625833254</v>
      </c>
      <c r="H19" s="331">
        <v>415827</v>
      </c>
      <c r="I19" s="337">
        <f>H19/'- 3 -'!$D19*100</f>
        <v>1.1200920064321107</v>
      </c>
      <c r="J19" s="331">
        <f>H19/'- 7 -'!$E19</f>
        <v>100.43160081151581</v>
      </c>
    </row>
    <row r="20" spans="1:10" ht="14.1" customHeight="1">
      <c r="A20" s="26" t="s">
        <v>246</v>
      </c>
      <c r="B20" s="27">
        <v>17641</v>
      </c>
      <c r="C20" s="79">
        <f>B20/'- 3 -'!$D20*100</f>
        <v>2.8071128398098728E-2</v>
      </c>
      <c r="D20" s="27">
        <f>B20/'- 7 -'!$E20</f>
        <v>2.4175688639166779</v>
      </c>
      <c r="E20" s="27">
        <v>325012</v>
      </c>
      <c r="F20" s="79">
        <f>E20/'- 3 -'!$D20*100</f>
        <v>0.51717326585357193</v>
      </c>
      <c r="G20" s="27">
        <f>E20/'- 7 -'!$E20</f>
        <v>44.540496094285324</v>
      </c>
      <c r="H20" s="27">
        <v>862156</v>
      </c>
      <c r="I20" s="79">
        <f>H20/'- 3 -'!$D20*100</f>
        <v>1.3719002196695882</v>
      </c>
      <c r="J20" s="27">
        <f>H20/'- 7 -'!$E20</f>
        <v>118.15211730848294</v>
      </c>
    </row>
    <row r="21" spans="1:10" ht="14.1" customHeight="1">
      <c r="A21" s="330" t="s">
        <v>247</v>
      </c>
      <c r="B21" s="331">
        <v>0</v>
      </c>
      <c r="C21" s="337">
        <f>B21/'- 3 -'!$D21*100</f>
        <v>0</v>
      </c>
      <c r="D21" s="331">
        <f>B21/'- 7 -'!$E21</f>
        <v>0</v>
      </c>
      <c r="E21" s="331">
        <v>107978</v>
      </c>
      <c r="F21" s="337">
        <f>E21/'- 3 -'!$D21*100</f>
        <v>0.34338128580578642</v>
      </c>
      <c r="G21" s="331">
        <f>E21/'- 7 -'!$E21</f>
        <v>37.98030249736194</v>
      </c>
      <c r="H21" s="331">
        <v>489810</v>
      </c>
      <c r="I21" s="337">
        <f>H21/'- 3 -'!$D21*100</f>
        <v>1.557646813244663</v>
      </c>
      <c r="J21" s="331">
        <f>H21/'- 7 -'!$E21</f>
        <v>172.28631727048892</v>
      </c>
    </row>
    <row r="22" spans="1:10" ht="14.1" customHeight="1">
      <c r="A22" s="26" t="s">
        <v>248</v>
      </c>
      <c r="B22" s="27">
        <v>19481</v>
      </c>
      <c r="C22" s="79">
        <f>B22/'- 3 -'!$D22*100</f>
        <v>0.10694075177136231</v>
      </c>
      <c r="D22" s="27">
        <f>B22/'- 7 -'!$E22</f>
        <v>12.446332737030412</v>
      </c>
      <c r="E22" s="27">
        <v>64062</v>
      </c>
      <c r="F22" s="79">
        <f>E22/'- 3 -'!$D22*100</f>
        <v>0.35166769878224996</v>
      </c>
      <c r="G22" s="27">
        <f>E22/'- 7 -'!$E22</f>
        <v>40.928954766164068</v>
      </c>
      <c r="H22" s="27">
        <v>175924</v>
      </c>
      <c r="I22" s="79">
        <f>H22/'- 3 -'!$D22*100</f>
        <v>0.96573301240311804</v>
      </c>
      <c r="J22" s="27">
        <f>H22/'- 7 -'!$E22</f>
        <v>112.39713774597496</v>
      </c>
    </row>
    <row r="23" spans="1:10" ht="14.1" customHeight="1">
      <c r="A23" s="330" t="s">
        <v>249</v>
      </c>
      <c r="B23" s="331">
        <v>0</v>
      </c>
      <c r="C23" s="337">
        <f>B23/'- 3 -'!$D23*100</f>
        <v>0</v>
      </c>
      <c r="D23" s="331">
        <f>B23/'- 7 -'!$E23</f>
        <v>0</v>
      </c>
      <c r="E23" s="331">
        <v>0</v>
      </c>
      <c r="F23" s="337">
        <f>E23/'- 3 -'!$D23*100</f>
        <v>0</v>
      </c>
      <c r="G23" s="331">
        <f>E23/'- 7 -'!$E23</f>
        <v>0</v>
      </c>
      <c r="H23" s="331">
        <v>186940</v>
      </c>
      <c r="I23" s="337">
        <f>H23/'- 3 -'!$D23*100</f>
        <v>1.22374190213639</v>
      </c>
      <c r="J23" s="331">
        <f>H23/'- 7 -'!$E23</f>
        <v>156.63175534143275</v>
      </c>
    </row>
    <row r="24" spans="1:10" ht="14.1" customHeight="1">
      <c r="A24" s="26" t="s">
        <v>250</v>
      </c>
      <c r="B24" s="27">
        <v>0</v>
      </c>
      <c r="C24" s="79">
        <f>B24/'- 3 -'!$D24*100</f>
        <v>0</v>
      </c>
      <c r="D24" s="27">
        <f>B24/'- 7 -'!$E24</f>
        <v>0</v>
      </c>
      <c r="E24" s="27">
        <v>113478</v>
      </c>
      <c r="F24" s="79">
        <f>E24/'- 3 -'!$D24*100</f>
        <v>0.2313715218882989</v>
      </c>
      <c r="G24" s="27">
        <f>E24/'- 7 -'!$E24</f>
        <v>26.198314671591827</v>
      </c>
      <c r="H24" s="27">
        <v>714221</v>
      </c>
      <c r="I24" s="79">
        <f>H24/'- 3 -'!$D24*100</f>
        <v>1.4562329238670293</v>
      </c>
      <c r="J24" s="27">
        <f>H24/'- 7 -'!$E24</f>
        <v>164.88999191965831</v>
      </c>
    </row>
    <row r="25" spans="1:10" ht="14.1" customHeight="1">
      <c r="A25" s="330" t="s">
        <v>251</v>
      </c>
      <c r="B25" s="331">
        <v>136659</v>
      </c>
      <c r="C25" s="337">
        <f>B25/'- 3 -'!$D25*100</f>
        <v>9.4035620838225864E-2</v>
      </c>
      <c r="D25" s="331">
        <f>B25/'- 7 -'!$E25</f>
        <v>9.9171988388969528</v>
      </c>
      <c r="E25" s="331">
        <v>1725787</v>
      </c>
      <c r="F25" s="337">
        <f>E25/'- 3 -'!$D25*100</f>
        <v>1.1875211437193256</v>
      </c>
      <c r="G25" s="331">
        <f>E25/'- 7 -'!$E25</f>
        <v>125.23853410740203</v>
      </c>
      <c r="H25" s="331">
        <v>3456842</v>
      </c>
      <c r="I25" s="337">
        <f>H25/'- 3 -'!$D25*100</f>
        <v>2.3786672199390773</v>
      </c>
      <c r="J25" s="331">
        <f>H25/'- 7 -'!$E25</f>
        <v>250.85936139332367</v>
      </c>
    </row>
    <row r="26" spans="1:10" ht="14.1" customHeight="1">
      <c r="A26" s="26" t="s">
        <v>252</v>
      </c>
      <c r="B26" s="27">
        <v>13546</v>
      </c>
      <c r="C26" s="79">
        <f>B26/'- 3 -'!$D26*100</f>
        <v>3.7681978069622868E-2</v>
      </c>
      <c r="D26" s="27">
        <f>B26/'- 7 -'!$E26</f>
        <v>4.3577288081068035</v>
      </c>
      <c r="E26" s="27">
        <v>201896</v>
      </c>
      <c r="F26" s="79">
        <f>E26/'- 3 -'!$D26*100</f>
        <v>0.56163004904359792</v>
      </c>
      <c r="G26" s="27">
        <f>E26/'- 7 -'!$E26</f>
        <v>64.949654174038926</v>
      </c>
      <c r="H26" s="27">
        <v>462189</v>
      </c>
      <c r="I26" s="79">
        <f>H26/'- 3 -'!$D26*100</f>
        <v>1.2857076452104623</v>
      </c>
      <c r="J26" s="27">
        <f>H26/'- 7 -'!$E26</f>
        <v>148.68553964934856</v>
      </c>
    </row>
    <row r="27" spans="1:10" ht="14.1" customHeight="1">
      <c r="A27" s="330" t="s">
        <v>253</v>
      </c>
      <c r="B27" s="331">
        <v>112163</v>
      </c>
      <c r="C27" s="337">
        <f>B27/'- 3 -'!$D27*100</f>
        <v>0.28144229295060613</v>
      </c>
      <c r="D27" s="331">
        <f>B27/'- 7 -'!$E27</f>
        <v>40.125567917575928</v>
      </c>
      <c r="E27" s="331">
        <v>482047</v>
      </c>
      <c r="F27" s="337">
        <f>E27/'- 3 -'!$D27*100</f>
        <v>1.2095647672580159</v>
      </c>
      <c r="G27" s="331">
        <f>E27/'- 7 -'!$E27</f>
        <v>172.44911100776301</v>
      </c>
      <c r="H27" s="331">
        <v>1487766</v>
      </c>
      <c r="I27" s="337">
        <f>H27/'- 3 -'!$D27*100</f>
        <v>3.7331408255302687</v>
      </c>
      <c r="J27" s="331">
        <f>H27/'- 7 -'!$E27</f>
        <v>532.23840017171676</v>
      </c>
    </row>
    <row r="28" spans="1:10" ht="14.1" customHeight="1">
      <c r="A28" s="26" t="s">
        <v>254</v>
      </c>
      <c r="B28" s="27">
        <v>0</v>
      </c>
      <c r="C28" s="79">
        <f>B28/'- 3 -'!$D28*100</f>
        <v>0</v>
      </c>
      <c r="D28" s="27">
        <f>B28/'- 7 -'!$E28</f>
        <v>0</v>
      </c>
      <c r="E28" s="27">
        <v>106607</v>
      </c>
      <c r="F28" s="79">
        <f>E28/'- 3 -'!$D28*100</f>
        <v>0.43033768673804496</v>
      </c>
      <c r="G28" s="27">
        <f>E28/'- 7 -'!$E28</f>
        <v>53.223664503245132</v>
      </c>
      <c r="H28" s="27">
        <v>263036</v>
      </c>
      <c r="I28" s="79">
        <f>H28/'- 3 -'!$D28*100</f>
        <v>1.0617905369143528</v>
      </c>
      <c r="J28" s="27">
        <f>H28/'- 7 -'!$E28</f>
        <v>131.32101847229157</v>
      </c>
    </row>
    <row r="29" spans="1:10" ht="14.1" customHeight="1">
      <c r="A29" s="330" t="s">
        <v>255</v>
      </c>
      <c r="B29" s="331">
        <v>324312</v>
      </c>
      <c r="C29" s="337">
        <f>B29/'- 3 -'!$D29*100</f>
        <v>0.24043067034846827</v>
      </c>
      <c r="D29" s="331">
        <f>B29/'- 7 -'!$E29</f>
        <v>26.616985653786809</v>
      </c>
      <c r="E29" s="331">
        <v>508541</v>
      </c>
      <c r="F29" s="337">
        <f>E29/'- 3 -'!$D29*100</f>
        <v>0.37700995809492216</v>
      </c>
      <c r="G29" s="331">
        <f>E29/'- 7 -'!$E29</f>
        <v>41.737057220708451</v>
      </c>
      <c r="H29" s="331">
        <v>3195612</v>
      </c>
      <c r="I29" s="337">
        <f>H29/'- 3 -'!$D29*100</f>
        <v>2.3690863592269462</v>
      </c>
      <c r="J29" s="331">
        <f>H29/'- 7 -'!$E29</f>
        <v>262.27077246314963</v>
      </c>
    </row>
    <row r="30" spans="1:10" ht="14.1" customHeight="1">
      <c r="A30" s="26" t="s">
        <v>256</v>
      </c>
      <c r="B30" s="27">
        <v>0</v>
      </c>
      <c r="C30" s="79">
        <f>B30/'- 3 -'!$D30*100</f>
        <v>0</v>
      </c>
      <c r="D30" s="27">
        <f>B30/'- 7 -'!$E30</f>
        <v>0</v>
      </c>
      <c r="E30" s="27">
        <v>0</v>
      </c>
      <c r="F30" s="79">
        <f>E30/'- 3 -'!$D30*100</f>
        <v>0</v>
      </c>
      <c r="G30" s="27">
        <f>E30/'- 7 -'!$E30</f>
        <v>0</v>
      </c>
      <c r="H30" s="27">
        <v>279489</v>
      </c>
      <c r="I30" s="79">
        <f>H30/'- 3 -'!$D30*100</f>
        <v>2.1691679179002437</v>
      </c>
      <c r="J30" s="27">
        <f>H30/'- 7 -'!$E30</f>
        <v>254.54371584699453</v>
      </c>
    </row>
    <row r="31" spans="1:10" ht="14.1" customHeight="1">
      <c r="A31" s="330" t="s">
        <v>257</v>
      </c>
      <c r="B31" s="331">
        <v>0</v>
      </c>
      <c r="C31" s="337">
        <f>B31/'- 3 -'!$D31*100</f>
        <v>0</v>
      </c>
      <c r="D31" s="331">
        <f>B31/'- 7 -'!$E31</f>
        <v>0</v>
      </c>
      <c r="E31" s="331">
        <v>98179</v>
      </c>
      <c r="F31" s="337">
        <f>E31/'- 3 -'!$D31*100</f>
        <v>0.30635943829619977</v>
      </c>
      <c r="G31" s="331">
        <f>E31/'- 7 -'!$E31</f>
        <v>30.695325934031576</v>
      </c>
      <c r="H31" s="331">
        <v>452859</v>
      </c>
      <c r="I31" s="337">
        <f>H31/'- 3 -'!$D31*100</f>
        <v>1.4131090036298877</v>
      </c>
      <c r="J31" s="331">
        <f>H31/'- 7 -'!$E31</f>
        <v>141.58480537752072</v>
      </c>
    </row>
    <row r="32" spans="1:10" ht="14.1" customHeight="1">
      <c r="A32" s="26" t="s">
        <v>258</v>
      </c>
      <c r="B32" s="27">
        <v>0</v>
      </c>
      <c r="C32" s="79">
        <f>B32/'- 3 -'!$D32*100</f>
        <v>0</v>
      </c>
      <c r="D32" s="27">
        <f>B32/'- 7 -'!$E32</f>
        <v>0</v>
      </c>
      <c r="E32" s="27">
        <v>42673</v>
      </c>
      <c r="F32" s="79">
        <f>E32/'- 3 -'!$D32*100</f>
        <v>0.18029699803575858</v>
      </c>
      <c r="G32" s="27">
        <f>E32/'- 7 -'!$E32</f>
        <v>20.689939393939394</v>
      </c>
      <c r="H32" s="27">
        <v>264570</v>
      </c>
      <c r="I32" s="79">
        <f>H32/'- 3 -'!$D32*100</f>
        <v>1.1178304026040036</v>
      </c>
      <c r="J32" s="27">
        <f>H32/'- 7 -'!$E32</f>
        <v>128.27636363636364</v>
      </c>
    </row>
    <row r="33" spans="1:10" ht="14.1" customHeight="1">
      <c r="A33" s="330" t="s">
        <v>259</v>
      </c>
      <c r="B33" s="331">
        <v>6060</v>
      </c>
      <c r="C33" s="337">
        <f>B33/'- 3 -'!$D33*100</f>
        <v>2.4744102696355887E-2</v>
      </c>
      <c r="D33" s="331">
        <f>B33/'- 7 -'!$E33</f>
        <v>2.974233128834356</v>
      </c>
      <c r="E33" s="331">
        <v>121269</v>
      </c>
      <c r="F33" s="337">
        <f>E33/'- 3 -'!$D33*100</f>
        <v>0.49516379371029406</v>
      </c>
      <c r="G33" s="331">
        <f>E33/'- 7 -'!$E33</f>
        <v>59.51852760736196</v>
      </c>
      <c r="H33" s="331">
        <v>342999</v>
      </c>
      <c r="I33" s="337">
        <f>H33/'- 3 -'!$D33*100</f>
        <v>1.4005284621695335</v>
      </c>
      <c r="J33" s="331">
        <f>H33/'- 7 -'!$E33</f>
        <v>168.34306748466258</v>
      </c>
    </row>
    <row r="34" spans="1:10" ht="14.1" customHeight="1">
      <c r="A34" s="26" t="s">
        <v>260</v>
      </c>
      <c r="B34" s="27">
        <v>7016</v>
      </c>
      <c r="C34" s="79">
        <f>B34/'- 3 -'!$D34*100</f>
        <v>3.100479761238311E-2</v>
      </c>
      <c r="D34" s="27">
        <f>B34/'- 7 -'!$E34</f>
        <v>3.5197913008578738</v>
      </c>
      <c r="E34" s="27">
        <v>55950</v>
      </c>
      <c r="F34" s="79">
        <f>E34/'- 3 -'!$D34*100</f>
        <v>0.24725177115348276</v>
      </c>
      <c r="G34" s="27">
        <f>E34/'- 7 -'!$E34</f>
        <v>28.069031254703255</v>
      </c>
      <c r="H34" s="27">
        <v>203180</v>
      </c>
      <c r="I34" s="79">
        <f>H34/'- 3 -'!$D34*100</f>
        <v>0.89788409049087803</v>
      </c>
      <c r="J34" s="27">
        <f>H34/'- 7 -'!$E34</f>
        <v>101.93147042592686</v>
      </c>
    </row>
    <row r="35" spans="1:10" ht="14.1" customHeight="1">
      <c r="A35" s="330" t="s">
        <v>261</v>
      </c>
      <c r="B35" s="331">
        <v>365016</v>
      </c>
      <c r="C35" s="337">
        <f>B35/'- 3 -'!$D35*100</f>
        <v>0.22687458829894197</v>
      </c>
      <c r="D35" s="331">
        <f>B35/'- 7 -'!$E35</f>
        <v>23.15283371919698</v>
      </c>
      <c r="E35" s="331">
        <v>621497</v>
      </c>
      <c r="F35" s="337">
        <f>E35/'- 3 -'!$D35*100</f>
        <v>0.38628957635837208</v>
      </c>
      <c r="G35" s="331">
        <f>E35/'- 7 -'!$E35</f>
        <v>39.421331388157689</v>
      </c>
      <c r="H35" s="331">
        <v>3565387</v>
      </c>
      <c r="I35" s="337">
        <f>H35/'- 3 -'!$D35*100</f>
        <v>2.2160554818183309</v>
      </c>
      <c r="J35" s="331">
        <f>H35/'- 7 -'!$E35</f>
        <v>226.15121626335986</v>
      </c>
    </row>
    <row r="36" spans="1:10" ht="14.1" customHeight="1">
      <c r="A36" s="26" t="s">
        <v>262</v>
      </c>
      <c r="B36" s="27">
        <v>29089</v>
      </c>
      <c r="C36" s="79">
        <f>B36/'- 3 -'!$D36*100</f>
        <v>0.1428333563540761</v>
      </c>
      <c r="D36" s="27">
        <f>B36/'- 7 -'!$E36</f>
        <v>17.428999400838826</v>
      </c>
      <c r="E36" s="27">
        <v>163643</v>
      </c>
      <c r="F36" s="79">
        <f>E36/'- 3 -'!$D36*100</f>
        <v>0.80352294454433193</v>
      </c>
      <c r="G36" s="27">
        <f>E36/'- 7 -'!$E36</f>
        <v>98.048532055122834</v>
      </c>
      <c r="H36" s="27">
        <v>234419</v>
      </c>
      <c r="I36" s="79">
        <f>H36/'- 3 -'!$D36*100</f>
        <v>1.1510485944228457</v>
      </c>
      <c r="J36" s="27">
        <f>H36/'- 7 -'!$E36</f>
        <v>140.45476333133612</v>
      </c>
    </row>
    <row r="37" spans="1:10" ht="14.1" customHeight="1">
      <c r="A37" s="330" t="s">
        <v>263</v>
      </c>
      <c r="B37" s="331">
        <v>31901</v>
      </c>
      <c r="C37" s="337">
        <f>B37/'- 3 -'!$D37*100</f>
        <v>8.5055409195811921E-2</v>
      </c>
      <c r="D37" s="331">
        <f>B37/'- 7 -'!$E37</f>
        <v>8.6746430999320197</v>
      </c>
      <c r="E37" s="331">
        <v>92887</v>
      </c>
      <c r="F37" s="337">
        <f>E37/'- 3 -'!$D37*100</f>
        <v>0.24765812338081505</v>
      </c>
      <c r="G37" s="331">
        <f>E37/'- 7 -'!$E37</f>
        <v>25.258191706322229</v>
      </c>
      <c r="H37" s="331">
        <v>425791</v>
      </c>
      <c r="I37" s="337">
        <f>H37/'- 3 -'!$D37*100</f>
        <v>1.1352568175572537</v>
      </c>
      <c r="J37" s="331">
        <f>H37/'- 7 -'!$E37</f>
        <v>115.78273283480625</v>
      </c>
    </row>
    <row r="38" spans="1:10" ht="14.1" customHeight="1">
      <c r="A38" s="26" t="s">
        <v>264</v>
      </c>
      <c r="B38" s="27">
        <v>73295</v>
      </c>
      <c r="C38" s="79">
        <f>B38/'- 3 -'!$D38*100</f>
        <v>7.1388585666911544E-2</v>
      </c>
      <c r="D38" s="27">
        <f>B38/'- 7 -'!$E38</f>
        <v>7.2157793179491216</v>
      </c>
      <c r="E38" s="27">
        <v>195556</v>
      </c>
      <c r="F38" s="79">
        <f>E38/'- 3 -'!$D38*100</f>
        <v>0.19046955806915281</v>
      </c>
      <c r="G38" s="27">
        <f>E38/'- 7 -'!$E38</f>
        <v>19.252185555643063</v>
      </c>
      <c r="H38" s="27">
        <v>1401687</v>
      </c>
      <c r="I38" s="79">
        <f>H38/'- 3 -'!$D38*100</f>
        <v>1.3652289034408382</v>
      </c>
      <c r="J38" s="27">
        <f>H38/'- 7 -'!$E38</f>
        <v>137.99391588564228</v>
      </c>
    </row>
    <row r="39" spans="1:10" ht="14.1" customHeight="1">
      <c r="A39" s="330" t="s">
        <v>265</v>
      </c>
      <c r="B39" s="331">
        <v>0</v>
      </c>
      <c r="C39" s="337">
        <f>B39/'- 3 -'!$D39*100</f>
        <v>0</v>
      </c>
      <c r="D39" s="331">
        <f>B39/'- 7 -'!$E39</f>
        <v>0</v>
      </c>
      <c r="E39" s="331">
        <v>80707</v>
      </c>
      <c r="F39" s="337">
        <f>E39/'- 3 -'!$D39*100</f>
        <v>0.42478432617575046</v>
      </c>
      <c r="G39" s="331">
        <f>E39/'- 7 -'!$E39</f>
        <v>50.78786734629665</v>
      </c>
      <c r="H39" s="331">
        <v>214319</v>
      </c>
      <c r="I39" s="337">
        <f>H39/'- 3 -'!$D39*100</f>
        <v>1.1280229967866564</v>
      </c>
      <c r="J39" s="331">
        <f>H39/'- 7 -'!$E39</f>
        <v>134.86816436976906</v>
      </c>
    </row>
    <row r="40" spans="1:10" ht="14.1" customHeight="1">
      <c r="A40" s="26" t="s">
        <v>266</v>
      </c>
      <c r="B40" s="27">
        <v>0</v>
      </c>
      <c r="C40" s="79">
        <f>B40/'- 3 -'!$D40*100</f>
        <v>0</v>
      </c>
      <c r="D40" s="27">
        <f>B40/'- 7 -'!$E40</f>
        <v>0</v>
      </c>
      <c r="E40" s="27">
        <v>1081996</v>
      </c>
      <c r="F40" s="79">
        <f>E40/'- 3 -'!$D40*100</f>
        <v>1.1909890273621164</v>
      </c>
      <c r="G40" s="27">
        <f>E40/'- 7 -'!$E40</f>
        <v>131.96682522258811</v>
      </c>
      <c r="H40" s="27">
        <v>1297252</v>
      </c>
      <c r="I40" s="79">
        <f>H40/'- 3 -'!$D40*100</f>
        <v>1.4279284745263017</v>
      </c>
      <c r="J40" s="27">
        <f>H40/'- 7 -'!$E40</f>
        <v>158.22075862910111</v>
      </c>
    </row>
    <row r="41" spans="1:10" ht="14.1" customHeight="1">
      <c r="A41" s="330" t="s">
        <v>267</v>
      </c>
      <c r="B41" s="331">
        <v>38690</v>
      </c>
      <c r="C41" s="337">
        <f>B41/'- 3 -'!$D41*100</f>
        <v>7.0069780917385305E-2</v>
      </c>
      <c r="D41" s="331">
        <f>B41/'- 7 -'!$E41</f>
        <v>8.5079714128642117</v>
      </c>
      <c r="E41" s="331">
        <v>233994</v>
      </c>
      <c r="F41" s="337">
        <f>E41/'- 3 -'!$D41*100</f>
        <v>0.42377638449166855</v>
      </c>
      <c r="G41" s="331">
        <f>E41/'- 7 -'!$E41</f>
        <v>51.455525013743816</v>
      </c>
      <c r="H41" s="331">
        <v>570016</v>
      </c>
      <c r="I41" s="337">
        <f>H41/'- 3 -'!$D41*100</f>
        <v>1.032331254572352</v>
      </c>
      <c r="J41" s="331">
        <f>H41/'- 7 -'!$E41</f>
        <v>125.34711379879055</v>
      </c>
    </row>
    <row r="42" spans="1:10" ht="14.1" customHeight="1">
      <c r="A42" s="26" t="s">
        <v>268</v>
      </c>
      <c r="B42" s="27">
        <v>0</v>
      </c>
      <c r="C42" s="79">
        <f>B42/'- 3 -'!$D42*100</f>
        <v>0</v>
      </c>
      <c r="D42" s="27">
        <f>B42/'- 7 -'!$E42</f>
        <v>0</v>
      </c>
      <c r="E42" s="27">
        <v>0</v>
      </c>
      <c r="F42" s="79">
        <f>E42/'- 3 -'!$D42*100</f>
        <v>0</v>
      </c>
      <c r="G42" s="27">
        <f>E42/'- 7 -'!$E42</f>
        <v>0</v>
      </c>
      <c r="H42" s="27">
        <v>216508</v>
      </c>
      <c r="I42" s="79">
        <f>H42/'- 3 -'!$D42*100</f>
        <v>1.1281851293290095</v>
      </c>
      <c r="J42" s="27">
        <f>H42/'- 7 -'!$E42</f>
        <v>147.90818417816641</v>
      </c>
    </row>
    <row r="43" spans="1:10" ht="14.1" customHeight="1">
      <c r="A43" s="330" t="s">
        <v>269</v>
      </c>
      <c r="B43" s="331">
        <v>12859</v>
      </c>
      <c r="C43" s="337">
        <f>B43/'- 3 -'!$D43*100</f>
        <v>0.11369540206916967</v>
      </c>
      <c r="D43" s="331">
        <f>B43/'- 7 -'!$E43</f>
        <v>13.218544407894736</v>
      </c>
      <c r="E43" s="331">
        <v>0</v>
      </c>
      <c r="F43" s="337">
        <f>E43/'- 3 -'!$D43*100</f>
        <v>0</v>
      </c>
      <c r="G43" s="331">
        <f>E43/'- 7 -'!$E43</f>
        <v>0</v>
      </c>
      <c r="H43" s="331">
        <v>180316</v>
      </c>
      <c r="I43" s="337">
        <f>H43/'- 3 -'!$D43*100</f>
        <v>1.5942997215572283</v>
      </c>
      <c r="J43" s="331">
        <f>H43/'- 7 -'!$E43</f>
        <v>185.35773026315789</v>
      </c>
    </row>
    <row r="44" spans="1:10" ht="14.1" customHeight="1">
      <c r="A44" s="26" t="s">
        <v>270</v>
      </c>
      <c r="B44" s="27">
        <v>0</v>
      </c>
      <c r="C44" s="79">
        <f>B44/'- 3 -'!$D44*100</f>
        <v>0</v>
      </c>
      <c r="D44" s="27">
        <f>B44/'- 7 -'!$E44</f>
        <v>0</v>
      </c>
      <c r="E44" s="27">
        <v>0</v>
      </c>
      <c r="F44" s="79">
        <f>E44/'- 3 -'!$D44*100</f>
        <v>0</v>
      </c>
      <c r="G44" s="27">
        <f>E44/'- 7 -'!$E44</f>
        <v>0</v>
      </c>
      <c r="H44" s="27">
        <v>112035</v>
      </c>
      <c r="I44" s="79">
        <f>H44/'- 3 -'!$D44*100</f>
        <v>1.1575254340991588</v>
      </c>
      <c r="J44" s="27">
        <f>H44/'- 7 -'!$E44</f>
        <v>156.58280922431865</v>
      </c>
    </row>
    <row r="45" spans="1:10" ht="14.1" customHeight="1">
      <c r="A45" s="330" t="s">
        <v>271</v>
      </c>
      <c r="B45" s="331">
        <v>27953</v>
      </c>
      <c r="C45" s="337">
        <f>B45/'- 3 -'!$D45*100</f>
        <v>0.18008998378719837</v>
      </c>
      <c r="D45" s="331">
        <f>B45/'- 7 -'!$E45</f>
        <v>16.869643934821969</v>
      </c>
      <c r="E45" s="331">
        <v>0</v>
      </c>
      <c r="F45" s="337">
        <f>E45/'- 3 -'!$D45*100</f>
        <v>0</v>
      </c>
      <c r="G45" s="331">
        <f>E45/'- 7 -'!$E45</f>
        <v>0</v>
      </c>
      <c r="H45" s="331">
        <v>200874</v>
      </c>
      <c r="I45" s="337">
        <f>H45/'- 3 -'!$D45*100</f>
        <v>1.2941507317021315</v>
      </c>
      <c r="J45" s="331">
        <f>H45/'- 7 -'!$E45</f>
        <v>121.22751961375981</v>
      </c>
    </row>
    <row r="46" spans="1:10" ht="14.1" customHeight="1">
      <c r="A46" s="26" t="s">
        <v>272</v>
      </c>
      <c r="B46" s="27">
        <v>216784</v>
      </c>
      <c r="C46" s="79">
        <f>B46/'- 3 -'!$D46*100</f>
        <v>6.4509103233597959E-2</v>
      </c>
      <c r="D46" s="27">
        <f>B46/'- 7 -'!$E46</f>
        <v>7.1671950989694739</v>
      </c>
      <c r="E46" s="27">
        <v>744919</v>
      </c>
      <c r="F46" s="79">
        <f>E46/'- 3 -'!$D46*100</f>
        <v>0.221667912169111</v>
      </c>
      <c r="G46" s="27">
        <f>E46/'- 7 -'!$E46</f>
        <v>24.628108190314975</v>
      </c>
      <c r="H46" s="27">
        <v>3417544</v>
      </c>
      <c r="I46" s="79">
        <f>H46/'- 3 -'!$D46*100</f>
        <v>1.0169694197974173</v>
      </c>
      <c r="J46" s="27">
        <f>H46/'- 7 -'!$E46</f>
        <v>112.98898722835879</v>
      </c>
    </row>
    <row r="47" spans="1:10" ht="5.0999999999999996" customHeight="1">
      <c r="A47" s="28"/>
      <c r="B47" s="29"/>
      <c r="C47"/>
      <c r="D47" s="29"/>
      <c r="E47" s="29"/>
      <c r="F47"/>
      <c r="G47" s="29"/>
      <c r="H47"/>
      <c r="I47"/>
      <c r="J47"/>
    </row>
    <row r="48" spans="1:10" ht="14.1" customHeight="1">
      <c r="A48" s="332" t="s">
        <v>273</v>
      </c>
      <c r="B48" s="333">
        <f>SUM(B11:B46)</f>
        <v>1581088</v>
      </c>
      <c r="C48" s="340">
        <f>B48/'- 3 -'!$D48*100</f>
        <v>8.2001555418096575E-2</v>
      </c>
      <c r="D48" s="333">
        <f>B48/'- 7 -'!$E48</f>
        <v>9.1790027687579698</v>
      </c>
      <c r="E48" s="333">
        <f>SUM(E11:E46)</f>
        <v>10625875</v>
      </c>
      <c r="F48" s="340">
        <f>E48/'- 3 -'!$D48*100</f>
        <v>0.55110043063907066</v>
      </c>
      <c r="G48" s="333">
        <f>E48/'- 7 -'!$E48</f>
        <v>61.688493015870144</v>
      </c>
      <c r="H48" s="333">
        <f>SUM(H11:H46)</f>
        <v>29309868</v>
      </c>
      <c r="I48" s="340">
        <f>H48/'- 3 -'!$D48*100</f>
        <v>1.5201271308738638</v>
      </c>
      <c r="J48" s="333">
        <f>H48/'- 7 -'!$E48</f>
        <v>170.15837165542376</v>
      </c>
    </row>
    <row r="49" spans="1:10" ht="5.0999999999999996" customHeight="1">
      <c r="A49" s="28" t="s">
        <v>18</v>
      </c>
      <c r="B49" s="29"/>
      <c r="C49"/>
      <c r="D49" s="29"/>
      <c r="E49" s="29"/>
      <c r="F49"/>
      <c r="H49"/>
      <c r="I49"/>
      <c r="J49"/>
    </row>
    <row r="50" spans="1:10" ht="14.1" customHeight="1">
      <c r="A50" s="26" t="s">
        <v>274</v>
      </c>
      <c r="B50" s="27">
        <v>0</v>
      </c>
      <c r="C50" s="79">
        <f>B50/'- 3 -'!$D50*100</f>
        <v>0</v>
      </c>
      <c r="D50" s="27">
        <f>B50/'- 7 -'!$E50</f>
        <v>0</v>
      </c>
      <c r="E50" s="27">
        <v>463</v>
      </c>
      <c r="F50" s="79">
        <f>E50/'- 3 -'!$D50*100</f>
        <v>1.4331991450332529E-2</v>
      </c>
      <c r="G50" s="27">
        <f>E50/'- 7 -'!$E50</f>
        <v>2.5580110497237567</v>
      </c>
      <c r="H50" s="27">
        <v>22127</v>
      </c>
      <c r="I50" s="79">
        <f>H50/'- 3 -'!$D50*100</f>
        <v>0.68493299097517912</v>
      </c>
      <c r="J50" s="27">
        <f>H50/'- 7 -'!$E50</f>
        <v>122.24861878453039</v>
      </c>
    </row>
    <row r="51" spans="1:10" ht="14.1" customHeight="1">
      <c r="A51" s="330" t="s">
        <v>275</v>
      </c>
      <c r="B51" s="331">
        <v>0</v>
      </c>
      <c r="C51" s="337">
        <f>B51/'- 3 -'!$D51*100</f>
        <v>0</v>
      </c>
      <c r="D51" s="331">
        <f>B51/'- 7 -'!$E51</f>
        <v>0</v>
      </c>
      <c r="E51" s="331">
        <v>178389</v>
      </c>
      <c r="F51" s="337">
        <f>E51/'- 3 -'!$D51*100</f>
        <v>1.15999216046646</v>
      </c>
      <c r="G51" s="331">
        <f>E51/'- 7 -'!$E51</f>
        <v>277.64824902723734</v>
      </c>
      <c r="H51" s="331">
        <v>85266</v>
      </c>
      <c r="I51" s="337">
        <f>H51/'- 3 -'!$D51*100</f>
        <v>0.55445061945710328</v>
      </c>
      <c r="J51" s="331">
        <f>H51/'- 7 -'!$E51</f>
        <v>132.70972762645914</v>
      </c>
    </row>
    <row r="52" spans="1:10" ht="50.1" customHeight="1">
      <c r="A52" s="206"/>
      <c r="B52" s="206"/>
      <c r="C52" s="206"/>
      <c r="D52" s="206"/>
      <c r="E52" s="206"/>
      <c r="F52" s="206"/>
      <c r="G52" s="206"/>
      <c r="H52" s="206"/>
      <c r="I52" s="206"/>
      <c r="J52" s="206"/>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sheetPr codeName="Sheet25">
    <pageSetUpPr fitToPage="1"/>
  </sheetPr>
  <dimension ref="A1:J53"/>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483</v>
      </c>
      <c r="C2" s="9"/>
      <c r="D2" s="9"/>
      <c r="E2" s="9"/>
      <c r="F2" s="9"/>
      <c r="G2" s="9"/>
      <c r="H2" s="82"/>
      <c r="I2" s="173"/>
      <c r="J2" s="491" t="s">
        <v>448</v>
      </c>
    </row>
    <row r="3" spans="1:10" ht="15.95" customHeight="1">
      <c r="A3" s="154"/>
      <c r="B3" s="10" t="str">
        <f>OPYEAR</f>
        <v>OPERATING FUND 2011/2012 ACTUAL</v>
      </c>
      <c r="C3" s="11"/>
      <c r="D3" s="11"/>
      <c r="E3" s="11"/>
      <c r="F3" s="11"/>
      <c r="G3" s="11"/>
      <c r="H3" s="84"/>
      <c r="I3" s="84"/>
      <c r="J3" s="74"/>
    </row>
    <row r="4" spans="1:10" ht="15.95" customHeight="1">
      <c r="B4" s="7"/>
      <c r="C4" s="7"/>
      <c r="D4" s="7"/>
      <c r="E4" s="7"/>
      <c r="F4" s="7"/>
      <c r="G4" s="7"/>
      <c r="H4" s="7"/>
      <c r="I4" s="7"/>
      <c r="J4" s="7"/>
    </row>
    <row r="5" spans="1:10" ht="15.95" customHeight="1">
      <c r="B5" s="480" t="s">
        <v>436</v>
      </c>
      <c r="C5" s="193"/>
      <c r="D5" s="194"/>
      <c r="E5" s="203"/>
      <c r="F5" s="203"/>
      <c r="G5" s="204"/>
    </row>
    <row r="6" spans="1:10" ht="15.95" customHeight="1">
      <c r="B6" s="358" t="s">
        <v>31</v>
      </c>
      <c r="C6" s="361"/>
      <c r="D6" s="359"/>
      <c r="E6" s="474"/>
      <c r="F6" s="475"/>
      <c r="G6" s="476"/>
    </row>
    <row r="7" spans="1:10" ht="15.95" customHeight="1">
      <c r="B7" s="344" t="s">
        <v>57</v>
      </c>
      <c r="C7" s="345"/>
      <c r="D7" s="346"/>
      <c r="E7" s="344" t="s">
        <v>528</v>
      </c>
      <c r="F7" s="345"/>
      <c r="G7" s="346"/>
    </row>
    <row r="8" spans="1:10" ht="15.95" customHeight="1">
      <c r="A8" s="75"/>
      <c r="B8" s="155"/>
      <c r="C8" s="156"/>
      <c r="D8" s="157" t="s">
        <v>75</v>
      </c>
      <c r="E8" s="155"/>
      <c r="F8" s="157"/>
      <c r="G8" s="157" t="s">
        <v>75</v>
      </c>
    </row>
    <row r="9" spans="1:10" ht="15.95" customHeight="1">
      <c r="A9" s="42" t="s">
        <v>95</v>
      </c>
      <c r="B9" s="87" t="s">
        <v>96</v>
      </c>
      <c r="C9" s="87" t="s">
        <v>97</v>
      </c>
      <c r="D9" s="87" t="s">
        <v>98</v>
      </c>
      <c r="E9" s="87" t="s">
        <v>96</v>
      </c>
      <c r="F9" s="87" t="s">
        <v>97</v>
      </c>
      <c r="G9" s="87" t="s">
        <v>98</v>
      </c>
    </row>
    <row r="10" spans="1:10" ht="5.0999999999999996" customHeight="1">
      <c r="A10" s="5"/>
    </row>
    <row r="11" spans="1:10" ht="14.1" customHeight="1">
      <c r="A11" s="330" t="s">
        <v>238</v>
      </c>
      <c r="B11" s="331">
        <v>113822</v>
      </c>
      <c r="C11" s="337">
        <f>B11/'- 3 -'!$D11*100</f>
        <v>0.75619262177048407</v>
      </c>
      <c r="D11" s="331">
        <f>B11/'- 7 -'!$E11</f>
        <v>79.456893542757413</v>
      </c>
      <c r="E11" s="331">
        <v>8698</v>
      </c>
      <c r="F11" s="337">
        <f>E11/'- 3 -'!$D11*100</f>
        <v>5.7786398272387324E-2</v>
      </c>
      <c r="G11" s="331">
        <f>E11/'- 7 -'!$E11</f>
        <v>6.0719022687609074</v>
      </c>
    </row>
    <row r="12" spans="1:10" ht="14.1" customHeight="1">
      <c r="A12" s="26" t="s">
        <v>239</v>
      </c>
      <c r="B12" s="27">
        <v>348496</v>
      </c>
      <c r="C12" s="79">
        <f>B12/'- 3 -'!$D12*100</f>
        <v>1.218659631067456</v>
      </c>
      <c r="D12" s="27">
        <f>B12/'- 7 -'!$E12</f>
        <v>148.97320588889082</v>
      </c>
      <c r="E12" s="27">
        <v>119912</v>
      </c>
      <c r="F12" s="79">
        <f>E12/'- 3 -'!$D12*100</f>
        <v>0.41932163835613834</v>
      </c>
      <c r="G12" s="27">
        <f>E12/'- 7 -'!$E12</f>
        <v>51.259340321118962</v>
      </c>
    </row>
    <row r="13" spans="1:10" ht="14.1" customHeight="1">
      <c r="A13" s="330" t="s">
        <v>240</v>
      </c>
      <c r="B13" s="331">
        <v>922225</v>
      </c>
      <c r="C13" s="337">
        <f>B13/'- 3 -'!$D13*100</f>
        <v>1.2553167115503048</v>
      </c>
      <c r="D13" s="331">
        <f>B13/'- 7 -'!$E13</f>
        <v>121.20186621106585</v>
      </c>
      <c r="E13" s="331">
        <v>72871</v>
      </c>
      <c r="F13" s="337">
        <f>E13/'- 3 -'!$D13*100</f>
        <v>9.9190744219016247E-2</v>
      </c>
      <c r="G13" s="331">
        <f>E13/'- 7 -'!$E13</f>
        <v>9.5769483506374034</v>
      </c>
    </row>
    <row r="14" spans="1:10" ht="14.1" customHeight="1">
      <c r="A14" s="26" t="s">
        <v>653</v>
      </c>
      <c r="B14" s="27">
        <v>546410</v>
      </c>
      <c r="C14" s="79">
        <f>B14/'- 3 -'!$D14*100</f>
        <v>0.82187710165952355</v>
      </c>
      <c r="D14" s="27">
        <f>B14/'- 7 -'!$E14</f>
        <v>110.34127625201938</v>
      </c>
      <c r="E14" s="27">
        <v>8755</v>
      </c>
      <c r="F14" s="79">
        <f>E14/'- 3 -'!$D14*100</f>
        <v>1.316874512733868E-2</v>
      </c>
      <c r="G14" s="27">
        <f>E14/'- 7 -'!$E14</f>
        <v>1.76797253634895</v>
      </c>
    </row>
    <row r="15" spans="1:10" ht="14.1" customHeight="1">
      <c r="A15" s="330" t="s">
        <v>241</v>
      </c>
      <c r="B15" s="331">
        <v>233169</v>
      </c>
      <c r="C15" s="337">
        <f>B15/'- 3 -'!$D15*100</f>
        <v>1.2738768247556571</v>
      </c>
      <c r="D15" s="331">
        <f>B15/'- 7 -'!$E15</f>
        <v>152.09980430528375</v>
      </c>
      <c r="E15" s="331">
        <v>2761</v>
      </c>
      <c r="F15" s="337">
        <f>E15/'- 3 -'!$D15*100</f>
        <v>1.5084226089876309E-2</v>
      </c>
      <c r="G15" s="331">
        <f>E15/'- 7 -'!$E15</f>
        <v>1.8010437051532941</v>
      </c>
    </row>
    <row r="16" spans="1:10" ht="14.1" customHeight="1">
      <c r="A16" s="26" t="s">
        <v>242</v>
      </c>
      <c r="B16" s="27">
        <v>103769</v>
      </c>
      <c r="C16" s="79">
        <f>B16/'- 3 -'!$D16*100</f>
        <v>0.82366834635139263</v>
      </c>
      <c r="D16" s="27">
        <f>B16/'- 7 -'!$E16</f>
        <v>104.87013643254168</v>
      </c>
      <c r="E16" s="27">
        <v>70756</v>
      </c>
      <c r="F16" s="79">
        <f>E16/'- 3 -'!$D16*100</f>
        <v>0.56162705157069204</v>
      </c>
      <c r="G16" s="27">
        <f>E16/'- 7 -'!$E16</f>
        <v>71.506821627084392</v>
      </c>
    </row>
    <row r="17" spans="1:7" ht="14.1" customHeight="1">
      <c r="A17" s="330" t="s">
        <v>243</v>
      </c>
      <c r="B17" s="331">
        <v>102770</v>
      </c>
      <c r="C17" s="337">
        <f>B17/'- 3 -'!$D17*100</f>
        <v>0.64555094667090884</v>
      </c>
      <c r="D17" s="331">
        <f>B17/'- 7 -'!$E17</f>
        <v>77.708884688090734</v>
      </c>
      <c r="E17" s="331">
        <v>1500</v>
      </c>
      <c r="F17" s="337">
        <f>E17/'- 3 -'!$D17*100</f>
        <v>9.4222673932700517E-3</v>
      </c>
      <c r="G17" s="331">
        <f>E17/'- 7 -'!$E17</f>
        <v>1.1342155009451795</v>
      </c>
    </row>
    <row r="18" spans="1:7" ht="14.1" customHeight="1">
      <c r="A18" s="26" t="s">
        <v>244</v>
      </c>
      <c r="B18" s="27">
        <v>730782</v>
      </c>
      <c r="C18" s="79">
        <f>B18/'- 3 -'!$D18*100</f>
        <v>0.67049766860071358</v>
      </c>
      <c r="D18" s="27">
        <f>B18/'- 7 -'!$E18</f>
        <v>126.43068459023199</v>
      </c>
      <c r="E18" s="27">
        <v>1639429</v>
      </c>
      <c r="F18" s="79">
        <f>E18/'- 3 -'!$D18*100</f>
        <v>1.5041877363377849</v>
      </c>
      <c r="G18" s="27">
        <f>E18/'- 7 -'!$E18</f>
        <v>283.63332814311167</v>
      </c>
    </row>
    <row r="19" spans="1:7" ht="14.1" customHeight="1">
      <c r="A19" s="330" t="s">
        <v>245</v>
      </c>
      <c r="B19" s="331">
        <v>230215</v>
      </c>
      <c r="C19" s="337">
        <f>B19/'- 3 -'!$D19*100</f>
        <v>0.62011841766111475</v>
      </c>
      <c r="D19" s="331">
        <f>B19/'- 7 -'!$E19</f>
        <v>55.6021157376099</v>
      </c>
      <c r="E19" s="331">
        <v>171773</v>
      </c>
      <c r="F19" s="337">
        <f>E19/'- 3 -'!$D19*100</f>
        <v>0.46269617947094094</v>
      </c>
      <c r="G19" s="331">
        <f>E19/'- 7 -'!$E19</f>
        <v>41.487054390880111</v>
      </c>
    </row>
    <row r="20" spans="1:7" ht="14.1" customHeight="1">
      <c r="A20" s="26" t="s">
        <v>246</v>
      </c>
      <c r="B20" s="27">
        <v>562125</v>
      </c>
      <c r="C20" s="79">
        <f>B20/'- 3 -'!$D20*100</f>
        <v>0.8944778102591262</v>
      </c>
      <c r="D20" s="27">
        <f>B20/'- 7 -'!$E20</f>
        <v>77.035082910785249</v>
      </c>
      <c r="E20" s="27">
        <v>230161</v>
      </c>
      <c r="F20" s="79">
        <f>E20/'- 3 -'!$D20*100</f>
        <v>0.36624221887845365</v>
      </c>
      <c r="G20" s="27">
        <f>E20/'- 7 -'!$E20</f>
        <v>31.541866520487872</v>
      </c>
    </row>
    <row r="21" spans="1:7" ht="14.1" customHeight="1">
      <c r="A21" s="330" t="s">
        <v>247</v>
      </c>
      <c r="B21" s="331">
        <v>725077</v>
      </c>
      <c r="C21" s="337">
        <f>B21/'- 3 -'!$D21*100</f>
        <v>2.3058203760784806</v>
      </c>
      <c r="D21" s="331">
        <f>B21/'- 7 -'!$E21</f>
        <v>255.03939500527611</v>
      </c>
      <c r="E21" s="331">
        <v>41428</v>
      </c>
      <c r="F21" s="337">
        <f>E21/'- 3 -'!$D21*100</f>
        <v>0.13174535468671505</v>
      </c>
      <c r="G21" s="331">
        <f>E21/'- 7 -'!$E21</f>
        <v>14.571931058740766</v>
      </c>
    </row>
    <row r="22" spans="1:7" ht="14.1" customHeight="1">
      <c r="A22" s="26" t="s">
        <v>248</v>
      </c>
      <c r="B22" s="27">
        <v>130826</v>
      </c>
      <c r="C22" s="79">
        <f>B22/'- 3 -'!$D22*100</f>
        <v>0.71816799913968721</v>
      </c>
      <c r="D22" s="27">
        <f>B22/'- 7 -'!$E22</f>
        <v>83.584206491183238</v>
      </c>
      <c r="E22" s="27">
        <v>100287</v>
      </c>
      <c r="F22" s="79">
        <f>E22/'- 3 -'!$D22*100</f>
        <v>0.55052446860503113</v>
      </c>
      <c r="G22" s="27">
        <f>E22/'- 7 -'!$E22</f>
        <v>64.072961921799134</v>
      </c>
    </row>
    <row r="23" spans="1:7" ht="14.1" customHeight="1">
      <c r="A23" s="330" t="s">
        <v>249</v>
      </c>
      <c r="B23" s="331">
        <v>245931</v>
      </c>
      <c r="C23" s="337">
        <f>B23/'- 3 -'!$D23*100</f>
        <v>1.6099072950374695</v>
      </c>
      <c r="D23" s="331">
        <f>B23/'- 7 -'!$E23</f>
        <v>206.05865102639297</v>
      </c>
      <c r="E23" s="331">
        <v>24162</v>
      </c>
      <c r="F23" s="337">
        <f>E23/'- 3 -'!$D23*100</f>
        <v>0.15816867358200201</v>
      </c>
      <c r="G23" s="331">
        <f>E23/'- 7 -'!$E23</f>
        <v>20.244658567239213</v>
      </c>
    </row>
    <row r="24" spans="1:7" ht="14.1" customHeight="1">
      <c r="A24" s="26" t="s">
        <v>250</v>
      </c>
      <c r="B24" s="27">
        <v>494194</v>
      </c>
      <c r="C24" s="79">
        <f>B24/'- 3 -'!$D24*100</f>
        <v>1.0076174931534394</v>
      </c>
      <c r="D24" s="27">
        <f>B24/'- 7 -'!$E24</f>
        <v>114.09303936280735</v>
      </c>
      <c r="E24" s="27">
        <v>83087</v>
      </c>
      <c r="F24" s="79">
        <f>E24/'- 3 -'!$D24*100</f>
        <v>0.16940698319615338</v>
      </c>
      <c r="G24" s="27">
        <f>E24/'- 7 -'!$E24</f>
        <v>19.182038554773172</v>
      </c>
    </row>
    <row r="25" spans="1:7" ht="14.1" customHeight="1">
      <c r="A25" s="330" t="s">
        <v>251</v>
      </c>
      <c r="B25" s="331">
        <v>1742830</v>
      </c>
      <c r="C25" s="337">
        <f>B25/'- 3 -'!$D25*100</f>
        <v>1.1992485022244066</v>
      </c>
      <c r="D25" s="331">
        <f>B25/'- 7 -'!$E25</f>
        <v>126.47532656023222</v>
      </c>
      <c r="E25" s="331">
        <v>139429</v>
      </c>
      <c r="F25" s="337">
        <f>E25/'- 3 -'!$D25*100</f>
        <v>9.5941669248662695E-2</v>
      </c>
      <c r="G25" s="331">
        <f>E25/'- 7 -'!$E25</f>
        <v>10.118214804063861</v>
      </c>
    </row>
    <row r="26" spans="1:7" ht="14.1" customHeight="1">
      <c r="A26" s="26" t="s">
        <v>252</v>
      </c>
      <c r="B26" s="27">
        <v>314732</v>
      </c>
      <c r="C26" s="79">
        <f>B26/'- 3 -'!$D26*100</f>
        <v>0.87551486208537899</v>
      </c>
      <c r="D26" s="27">
        <f>B26/'- 7 -'!$E26</f>
        <v>101.24883384268939</v>
      </c>
      <c r="E26" s="27">
        <v>233349</v>
      </c>
      <c r="F26" s="79">
        <f>E26/'- 3 -'!$D26*100</f>
        <v>0.64912534331673011</v>
      </c>
      <c r="G26" s="27">
        <f>E26/'- 7 -'!$E26</f>
        <v>75.068039247225343</v>
      </c>
    </row>
    <row r="27" spans="1:7" ht="14.1" customHeight="1">
      <c r="A27" s="330" t="s">
        <v>253</v>
      </c>
      <c r="B27" s="331">
        <v>256949</v>
      </c>
      <c r="C27" s="337">
        <f>B27/'- 3 -'!$D27*100</f>
        <v>0.64474305904233398</v>
      </c>
      <c r="D27" s="331">
        <f>B27/'- 7 -'!$E27</f>
        <v>91.921797302615104</v>
      </c>
      <c r="E27" s="331">
        <v>3900</v>
      </c>
      <c r="F27" s="337">
        <f>E27/'- 3 -'!$D27*100</f>
        <v>9.7859806041864419E-3</v>
      </c>
      <c r="G27" s="331">
        <f>E27/'- 7 -'!$E27</f>
        <v>1.3951990841770112</v>
      </c>
    </row>
    <row r="28" spans="1:7" ht="14.1" customHeight="1">
      <c r="A28" s="26" t="s">
        <v>254</v>
      </c>
      <c r="B28" s="27">
        <v>297017</v>
      </c>
      <c r="C28" s="79">
        <f>B28/'- 3 -'!$D28*100</f>
        <v>1.1989607502497388</v>
      </c>
      <c r="D28" s="27">
        <f>B28/'- 7 -'!$E28</f>
        <v>148.28607089365951</v>
      </c>
      <c r="E28" s="27">
        <v>0</v>
      </c>
      <c r="F28" s="79">
        <f>E28/'- 3 -'!$D28*100</f>
        <v>0</v>
      </c>
      <c r="G28" s="27">
        <f>E28/'- 7 -'!$E28</f>
        <v>0</v>
      </c>
    </row>
    <row r="29" spans="1:7" ht="14.1" customHeight="1">
      <c r="A29" s="330" t="s">
        <v>255</v>
      </c>
      <c r="B29" s="331">
        <v>1436876</v>
      </c>
      <c r="C29" s="337">
        <f>B29/'- 3 -'!$D29*100</f>
        <v>1.0652367469832313</v>
      </c>
      <c r="D29" s="331">
        <f>B29/'- 7 -'!$E29</f>
        <v>117.92751387019467</v>
      </c>
      <c r="E29" s="331">
        <v>398932</v>
      </c>
      <c r="F29" s="337">
        <f>E29/'- 3 -'!$D29*100</f>
        <v>0.29575066042408277</v>
      </c>
      <c r="G29" s="331">
        <f>E29/'- 7 -'!$E29</f>
        <v>32.74121007189521</v>
      </c>
    </row>
    <row r="30" spans="1:7" ht="14.1" customHeight="1">
      <c r="A30" s="26" t="s">
        <v>256</v>
      </c>
      <c r="B30" s="27">
        <v>132787</v>
      </c>
      <c r="C30" s="79">
        <f>B30/'- 3 -'!$D30*100</f>
        <v>1.0305854624483242</v>
      </c>
      <c r="D30" s="27">
        <f>B30/'- 7 -'!$E30</f>
        <v>120.93533697632058</v>
      </c>
      <c r="E30" s="27">
        <v>1236</v>
      </c>
      <c r="F30" s="79">
        <f>E30/'- 3 -'!$D30*100</f>
        <v>9.5928338736934217E-3</v>
      </c>
      <c r="G30" s="27">
        <f>E30/'- 7 -'!$E30</f>
        <v>1.1256830601092895</v>
      </c>
    </row>
    <row r="31" spans="1:7" ht="14.1" customHeight="1">
      <c r="A31" s="330" t="s">
        <v>257</v>
      </c>
      <c r="B31" s="331">
        <v>206493</v>
      </c>
      <c r="C31" s="337">
        <f>B31/'- 3 -'!$D31*100</f>
        <v>0.64434430470973614</v>
      </c>
      <c r="D31" s="331">
        <f>B31/'- 7 -'!$E31</f>
        <v>64.559324683445368</v>
      </c>
      <c r="E31" s="331">
        <v>406666</v>
      </c>
      <c r="F31" s="337">
        <f>E31/'- 3 -'!$D31*100</f>
        <v>1.2689675728430965</v>
      </c>
      <c r="G31" s="331">
        <f>E31/'- 7 -'!$E31</f>
        <v>127.14272315147726</v>
      </c>
    </row>
    <row r="32" spans="1:7" ht="14.1" customHeight="1">
      <c r="A32" s="26" t="s">
        <v>258</v>
      </c>
      <c r="B32" s="27">
        <v>376964</v>
      </c>
      <c r="C32" s="79">
        <f>B32/'- 3 -'!$D32*100</f>
        <v>1.5927044634207039</v>
      </c>
      <c r="D32" s="27">
        <f>B32/'- 7 -'!$E32</f>
        <v>182.77042424242424</v>
      </c>
      <c r="E32" s="27">
        <v>1858</v>
      </c>
      <c r="F32" s="79">
        <f>E32/'- 3 -'!$D32*100</f>
        <v>7.8502055714489115E-3</v>
      </c>
      <c r="G32" s="27">
        <f>E32/'- 7 -'!$E32</f>
        <v>0.9008484848484849</v>
      </c>
    </row>
    <row r="33" spans="1:7" ht="14.1" customHeight="1">
      <c r="A33" s="330" t="s">
        <v>259</v>
      </c>
      <c r="B33" s="331">
        <v>225965</v>
      </c>
      <c r="C33" s="337">
        <f>B33/'- 3 -'!$D33*100</f>
        <v>0.92265695804984471</v>
      </c>
      <c r="D33" s="331">
        <f>B33/'- 7 -'!$E33</f>
        <v>110.90306748466257</v>
      </c>
      <c r="E33" s="331">
        <v>5460</v>
      </c>
      <c r="F33" s="337">
        <f>E33/'- 3 -'!$D33*100</f>
        <v>2.229419153830085E-2</v>
      </c>
      <c r="G33" s="331">
        <f>E33/'- 7 -'!$E33</f>
        <v>2.6797546012269939</v>
      </c>
    </row>
    <row r="34" spans="1:7" ht="14.1" customHeight="1">
      <c r="A34" s="26" t="s">
        <v>260</v>
      </c>
      <c r="B34" s="27">
        <v>206815</v>
      </c>
      <c r="C34" s="79">
        <f>B34/'- 3 -'!$D34*100</f>
        <v>0.91394772209307473</v>
      </c>
      <c r="D34" s="27">
        <f>B34/'- 7 -'!$E34</f>
        <v>103.75507951637988</v>
      </c>
      <c r="E34" s="27">
        <v>8903</v>
      </c>
      <c r="F34" s="79">
        <f>E34/'- 3 -'!$D34*100</f>
        <v>3.9343744746728457E-2</v>
      </c>
      <c r="G34" s="27">
        <f>E34/'- 7 -'!$E34</f>
        <v>4.4664626498770881</v>
      </c>
    </row>
    <row r="35" spans="1:7" ht="14.1" customHeight="1">
      <c r="A35" s="330" t="s">
        <v>261</v>
      </c>
      <c r="B35" s="331">
        <v>1775424</v>
      </c>
      <c r="C35" s="337">
        <f>B35/'- 3 -'!$D35*100</f>
        <v>1.1035094052207597</v>
      </c>
      <c r="D35" s="331">
        <f>B35/'- 7 -'!$E35</f>
        <v>112.61450635882147</v>
      </c>
      <c r="E35" s="331">
        <v>425468</v>
      </c>
      <c r="F35" s="337">
        <f>E35/'- 3 -'!$D35*100</f>
        <v>0.26444834564614772</v>
      </c>
      <c r="G35" s="331">
        <f>E35/'- 7 -'!$E35</f>
        <v>26.987282357045448</v>
      </c>
    </row>
    <row r="36" spans="1:7" ht="14.1" customHeight="1">
      <c r="A36" s="26" t="s">
        <v>262</v>
      </c>
      <c r="B36" s="27">
        <v>239406</v>
      </c>
      <c r="C36" s="79">
        <f>B36/'- 3 -'!$D36*100</f>
        <v>1.1755358558666142</v>
      </c>
      <c r="D36" s="27">
        <f>B36/'- 7 -'!$E36</f>
        <v>143.44278010784902</v>
      </c>
      <c r="E36" s="27">
        <v>9077</v>
      </c>
      <c r="F36" s="79">
        <f>E36/'- 3 -'!$D36*100</f>
        <v>4.4570056572104527E-2</v>
      </c>
      <c r="G36" s="27">
        <f>E36/'- 7 -'!$E36</f>
        <v>5.4385859796285203</v>
      </c>
    </row>
    <row r="37" spans="1:7" ht="14.1" customHeight="1">
      <c r="A37" s="330" t="s">
        <v>263</v>
      </c>
      <c r="B37" s="331">
        <v>377631</v>
      </c>
      <c r="C37" s="337">
        <f>B37/'- 3 -'!$D37*100</f>
        <v>1.0068511717508433</v>
      </c>
      <c r="D37" s="331">
        <f>B37/'- 7 -'!$E37</f>
        <v>102.68687967369137</v>
      </c>
      <c r="E37" s="331">
        <v>20100</v>
      </c>
      <c r="F37" s="337">
        <f>E37/'- 3 -'!$D37*100</f>
        <v>5.3591226758904723E-2</v>
      </c>
      <c r="G37" s="331">
        <f>E37/'- 7 -'!$E37</f>
        <v>5.4656696125084974</v>
      </c>
    </row>
    <row r="38" spans="1:7" ht="14.1" customHeight="1">
      <c r="A38" s="26" t="s">
        <v>264</v>
      </c>
      <c r="B38" s="27">
        <v>805685</v>
      </c>
      <c r="C38" s="79">
        <f>B38/'- 3 -'!$D38*100</f>
        <v>0.78472900802299783</v>
      </c>
      <c r="D38" s="27">
        <f>B38/'- 7 -'!$E38</f>
        <v>79.318441364101758</v>
      </c>
      <c r="E38" s="27">
        <v>1029130</v>
      </c>
      <c r="F38" s="79">
        <f>E38/'- 3 -'!$D38*100</f>
        <v>1.0023621688708464</v>
      </c>
      <c r="G38" s="27">
        <f>E38/'- 7 -'!$E38</f>
        <v>101.31625580845869</v>
      </c>
    </row>
    <row r="39" spans="1:7" ht="14.1" customHeight="1">
      <c r="A39" s="330" t="s">
        <v>265</v>
      </c>
      <c r="B39" s="331">
        <v>356631</v>
      </c>
      <c r="C39" s="337">
        <f>B39/'- 3 -'!$D39*100</f>
        <v>1.8770522882573268</v>
      </c>
      <c r="D39" s="331">
        <f>B39/'- 7 -'!$E39</f>
        <v>224.42325844817822</v>
      </c>
      <c r="E39" s="331">
        <v>123924</v>
      </c>
      <c r="F39" s="337">
        <f>E39/'- 3 -'!$D39*100</f>
        <v>0.65224791947419314</v>
      </c>
      <c r="G39" s="331">
        <f>E39/'- 7 -'!$E39</f>
        <v>77.983764394940536</v>
      </c>
    </row>
    <row r="40" spans="1:7" ht="14.1" customHeight="1">
      <c r="A40" s="26" t="s">
        <v>266</v>
      </c>
      <c r="B40" s="27">
        <v>743897</v>
      </c>
      <c r="C40" s="79">
        <f>B40/'- 3 -'!$D40*100</f>
        <v>0.81883219946062313</v>
      </c>
      <c r="D40" s="27">
        <f>B40/'- 7 -'!$E40</f>
        <v>90.73021100134163</v>
      </c>
      <c r="E40" s="27">
        <v>234018</v>
      </c>
      <c r="F40" s="79">
        <f>E40/'- 3 -'!$D40*100</f>
        <v>0.25759140533350194</v>
      </c>
      <c r="G40" s="27">
        <f>E40/'- 7 -'!$E40</f>
        <v>28.542261251372118</v>
      </c>
    </row>
    <row r="41" spans="1:7" ht="14.1" customHeight="1">
      <c r="A41" s="330" t="s">
        <v>267</v>
      </c>
      <c r="B41" s="331">
        <v>580654</v>
      </c>
      <c r="C41" s="337">
        <f>B41/'- 3 -'!$D41*100</f>
        <v>1.0515972749755349</v>
      </c>
      <c r="D41" s="331">
        <f>B41/'- 7 -'!$E41</f>
        <v>127.68642111050028</v>
      </c>
      <c r="E41" s="331">
        <v>23698</v>
      </c>
      <c r="F41" s="337">
        <f>E41/'- 3 -'!$D41*100</f>
        <v>4.2918419958133808E-2</v>
      </c>
      <c r="G41" s="331">
        <f>E41/'- 7 -'!$E41</f>
        <v>5.2112149532710283</v>
      </c>
    </row>
    <row r="42" spans="1:7" ht="14.1" customHeight="1">
      <c r="A42" s="26" t="s">
        <v>268</v>
      </c>
      <c r="B42" s="27">
        <v>181631</v>
      </c>
      <c r="C42" s="79">
        <f>B42/'- 3 -'!$D42*100</f>
        <v>0.94644721315220359</v>
      </c>
      <c r="D42" s="27">
        <f>B42/'- 7 -'!$E42</f>
        <v>124.08184178166417</v>
      </c>
      <c r="E42" s="27">
        <v>2020</v>
      </c>
      <c r="F42" s="79">
        <f>E42/'- 3 -'!$D42*100</f>
        <v>1.0525864916052058E-2</v>
      </c>
      <c r="G42" s="27">
        <f>E42/'- 7 -'!$E42</f>
        <v>1.3799699412488045</v>
      </c>
    </row>
    <row r="43" spans="1:7" ht="14.1" customHeight="1">
      <c r="A43" s="330" t="s">
        <v>269</v>
      </c>
      <c r="B43" s="331">
        <v>151602</v>
      </c>
      <c r="C43" s="337">
        <f>B43/'- 3 -'!$D43*100</f>
        <v>1.340419188466464</v>
      </c>
      <c r="D43" s="331">
        <f>B43/'- 7 -'!$E43</f>
        <v>155.8408717105263</v>
      </c>
      <c r="E43" s="331">
        <v>47497</v>
      </c>
      <c r="F43" s="337">
        <f>E43/'- 3 -'!$D43*100</f>
        <v>0.41995415756119076</v>
      </c>
      <c r="G43" s="331">
        <f>E43/'- 7 -'!$E43</f>
        <v>48.825041118421048</v>
      </c>
    </row>
    <row r="44" spans="1:7" ht="14.1" customHeight="1">
      <c r="A44" s="26" t="s">
        <v>270</v>
      </c>
      <c r="B44" s="27">
        <v>56062</v>
      </c>
      <c r="C44" s="79">
        <f>B44/'- 3 -'!$D44*100</f>
        <v>0.57922248303179402</v>
      </c>
      <c r="D44" s="27">
        <f>B44/'- 7 -'!$E44</f>
        <v>78.353598881900766</v>
      </c>
      <c r="E44" s="27">
        <v>55837</v>
      </c>
      <c r="F44" s="79">
        <f>E44/'- 3 -'!$D44*100</f>
        <v>0.57689782357115837</v>
      </c>
      <c r="G44" s="27">
        <f>E44/'- 7 -'!$E44</f>
        <v>78.039133473095731</v>
      </c>
    </row>
    <row r="45" spans="1:7" ht="14.1" customHeight="1">
      <c r="A45" s="330" t="s">
        <v>271</v>
      </c>
      <c r="B45" s="331">
        <v>98408</v>
      </c>
      <c r="C45" s="337">
        <f>B45/'- 3 -'!$D45*100</f>
        <v>0.63400333146820076</v>
      </c>
      <c r="D45" s="331">
        <f>B45/'- 7 -'!$E45</f>
        <v>59.389257694628846</v>
      </c>
      <c r="E45" s="331">
        <v>164316</v>
      </c>
      <c r="F45" s="337">
        <f>E45/'- 3 -'!$D45*100</f>
        <v>1.0586221792286081</v>
      </c>
      <c r="G45" s="331">
        <f>E45/'- 7 -'!$E45</f>
        <v>99.164755582377794</v>
      </c>
    </row>
    <row r="46" spans="1:7" ht="14.1" customHeight="1">
      <c r="A46" s="26" t="s">
        <v>272</v>
      </c>
      <c r="B46" s="27">
        <v>2557475</v>
      </c>
      <c r="C46" s="79">
        <f>B46/'- 3 -'!$D46*100</f>
        <v>0.76103595649284972</v>
      </c>
      <c r="D46" s="27">
        <f>B46/'- 7 -'!$E46</f>
        <v>84.553852155772361</v>
      </c>
      <c r="E46" s="27">
        <v>2881678</v>
      </c>
      <c r="F46" s="79">
        <f>E46/'- 3 -'!$D46*100</f>
        <v>0.85751007264368262</v>
      </c>
      <c r="G46" s="27">
        <f>E46/'- 7 -'!$E46</f>
        <v>95.272476005646894</v>
      </c>
    </row>
    <row r="47" spans="1:7" ht="5.0999999999999996" customHeight="1">
      <c r="A47" s="28"/>
      <c r="B47" s="29"/>
      <c r="C47"/>
      <c r="D47" s="29"/>
      <c r="E47" s="29"/>
      <c r="F47"/>
      <c r="G47"/>
    </row>
    <row r="48" spans="1:7" ht="14.1" customHeight="1">
      <c r="A48" s="332" t="s">
        <v>273</v>
      </c>
      <c r="B48" s="333">
        <f>SUM(B11:B46)</f>
        <v>18611745</v>
      </c>
      <c r="C48" s="340">
        <f>B48/'- 3 -'!$D48*100</f>
        <v>0.96527962962528446</v>
      </c>
      <c r="D48" s="333">
        <f>B48/'- 7 -'!$E48</f>
        <v>108.05044304075251</v>
      </c>
      <c r="E48" s="333">
        <f>SUM(E11:E46)</f>
        <v>8792076</v>
      </c>
      <c r="F48" s="340">
        <f>E48/'- 3 -'!$D48*100</f>
        <v>0.45599227073642767</v>
      </c>
      <c r="G48" s="333">
        <f>E48/'- 7 -'!$E48</f>
        <v>51.042377114449351</v>
      </c>
    </row>
    <row r="49" spans="1:10" ht="5.0999999999999996" customHeight="1">
      <c r="A49" s="28" t="s">
        <v>18</v>
      </c>
      <c r="B49" s="29"/>
      <c r="C49"/>
      <c r="D49" s="29"/>
      <c r="E49" s="29"/>
      <c r="F49"/>
      <c r="G49"/>
    </row>
    <row r="50" spans="1:10" ht="14.1" customHeight="1">
      <c r="A50" s="26" t="s">
        <v>274</v>
      </c>
      <c r="B50" s="27">
        <v>26984</v>
      </c>
      <c r="C50" s="79">
        <f>B50/'- 3 -'!$D50*100</f>
        <v>0.83527960539043833</v>
      </c>
      <c r="D50" s="27">
        <f>B50/'- 7 -'!$E50</f>
        <v>149.08287292817678</v>
      </c>
      <c r="E50" s="27">
        <v>0</v>
      </c>
      <c r="F50" s="79">
        <f>E50/'- 3 -'!$D50*100</f>
        <v>0</v>
      </c>
      <c r="G50" s="27">
        <f>E50/'- 7 -'!$E50</f>
        <v>0</v>
      </c>
    </row>
    <row r="51" spans="1:10" ht="14.1" customHeight="1">
      <c r="A51" s="330" t="s">
        <v>275</v>
      </c>
      <c r="B51" s="331">
        <v>39872</v>
      </c>
      <c r="C51" s="337">
        <f>B51/'- 3 -'!$D51*100</f>
        <v>0.25927163346461213</v>
      </c>
      <c r="D51" s="331">
        <f>B51/'- 7 -'!$E51</f>
        <v>62.057587548638132</v>
      </c>
      <c r="E51" s="331">
        <v>10525</v>
      </c>
      <c r="F51" s="337">
        <f>E51/'- 3 -'!$D51*100</f>
        <v>6.8439856094879681E-2</v>
      </c>
      <c r="G51" s="331">
        <f>E51/'- 7 -'!$E51</f>
        <v>16.381322957198442</v>
      </c>
    </row>
    <row r="52" spans="1:10" ht="50.1" customHeight="1">
      <c r="A52" s="30"/>
      <c r="B52" s="30"/>
      <c r="C52" s="30"/>
      <c r="D52" s="30"/>
      <c r="E52" s="30"/>
      <c r="F52" s="30"/>
      <c r="G52" s="30"/>
      <c r="H52" s="30"/>
      <c r="I52" s="30"/>
      <c r="J52" s="30"/>
    </row>
    <row r="53" spans="1:10" ht="15" customHeight="1">
      <c r="A53" s="96" t="s">
        <v>627</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sheetPr codeName="Sheet27">
    <pageSetUpPr fitToPage="1"/>
  </sheetPr>
  <dimension ref="A1:G52"/>
  <sheetViews>
    <sheetView showGridLines="0" showZeros="0" workbookViewId="0"/>
  </sheetViews>
  <sheetFormatPr defaultColWidth="15.83203125" defaultRowHeight="12"/>
  <cols>
    <col min="1" max="1" width="32.83203125" style="1" customWidth="1"/>
    <col min="2" max="2" width="16.83203125" style="1" customWidth="1"/>
    <col min="3" max="3" width="15.83203125" style="1"/>
    <col min="4" max="4" width="17.83203125" style="1" customWidth="1"/>
    <col min="5" max="5" width="15.83203125" style="1"/>
    <col min="6" max="6" width="17.83203125" style="1" customWidth="1"/>
    <col min="7" max="16384" width="15.83203125" style="1"/>
  </cols>
  <sheetData>
    <row r="1" spans="1:7" ht="6.95" customHeight="1">
      <c r="A1" s="6"/>
      <c r="B1" s="7"/>
      <c r="C1" s="7"/>
      <c r="D1" s="7"/>
      <c r="E1" s="7"/>
      <c r="F1" s="7"/>
      <c r="G1" s="7"/>
    </row>
    <row r="2" spans="1:7" ht="15.95" customHeight="1">
      <c r="A2" s="152"/>
      <c r="B2" s="8" t="s">
        <v>483</v>
      </c>
      <c r="C2" s="9"/>
      <c r="D2" s="9"/>
      <c r="E2" s="9"/>
      <c r="F2" s="82"/>
      <c r="G2" s="491" t="s">
        <v>447</v>
      </c>
    </row>
    <row r="3" spans="1:7" ht="15.95" customHeight="1">
      <c r="A3" s="154"/>
      <c r="B3" s="10" t="str">
        <f>OPYEAR</f>
        <v>OPERATING FUND 2011/2012 ACTUAL</v>
      </c>
      <c r="C3" s="11"/>
      <c r="D3" s="11"/>
      <c r="E3" s="11"/>
      <c r="F3" s="84"/>
      <c r="G3" s="74"/>
    </row>
    <row r="4" spans="1:7" ht="15.95" customHeight="1">
      <c r="B4" s="7"/>
      <c r="C4" s="7"/>
      <c r="D4" s="7"/>
      <c r="E4" s="7"/>
      <c r="F4" s="7"/>
      <c r="G4" s="7"/>
    </row>
    <row r="5" spans="1:7" ht="15.95" customHeight="1">
      <c r="B5" s="7"/>
      <c r="C5" s="7"/>
      <c r="D5" s="7"/>
      <c r="E5" s="7"/>
      <c r="F5" s="7"/>
      <c r="G5" s="7"/>
    </row>
    <row r="6" spans="1:7" ht="15.95" customHeight="1">
      <c r="B6" s="185" t="s">
        <v>34</v>
      </c>
      <c r="C6" s="186"/>
      <c r="D6" s="187"/>
      <c r="E6" s="187"/>
      <c r="F6" s="187"/>
      <c r="G6" s="188"/>
    </row>
    <row r="7" spans="1:7" ht="15.95" customHeight="1">
      <c r="B7" s="358"/>
      <c r="C7" s="359"/>
      <c r="D7" s="358"/>
      <c r="E7" s="359"/>
      <c r="F7" s="358" t="s">
        <v>60</v>
      </c>
      <c r="G7" s="359"/>
    </row>
    <row r="8" spans="1:7" ht="15.95" customHeight="1">
      <c r="A8" s="75"/>
      <c r="B8" s="345" t="s">
        <v>45</v>
      </c>
      <c r="C8" s="346"/>
      <c r="D8" s="344" t="s">
        <v>77</v>
      </c>
      <c r="E8" s="346"/>
      <c r="F8" s="344" t="s">
        <v>78</v>
      </c>
      <c r="G8" s="346"/>
    </row>
    <row r="9" spans="1:7" ht="15.95" customHeight="1">
      <c r="A9" s="42" t="s">
        <v>95</v>
      </c>
      <c r="B9" s="189" t="s">
        <v>96</v>
      </c>
      <c r="C9" s="189" t="s">
        <v>97</v>
      </c>
      <c r="D9" s="189" t="s">
        <v>96</v>
      </c>
      <c r="E9" s="189" t="s">
        <v>97</v>
      </c>
      <c r="F9" s="189" t="s">
        <v>96</v>
      </c>
      <c r="G9" s="189" t="s">
        <v>97</v>
      </c>
    </row>
    <row r="10" spans="1:7" ht="5.0999999999999996" customHeight="1">
      <c r="A10" s="5"/>
    </row>
    <row r="11" spans="1:7" ht="14.1" customHeight="1">
      <c r="A11" s="330" t="s">
        <v>238</v>
      </c>
      <c r="B11" s="331">
        <v>62129</v>
      </c>
      <c r="C11" s="337">
        <f>B11/'- 3 -'!$D11*100</f>
        <v>0.41276283493506011</v>
      </c>
      <c r="D11" s="331">
        <v>880289</v>
      </c>
      <c r="E11" s="337">
        <f>D11/'- 3 -'!$D11*100</f>
        <v>5.8483249883653219</v>
      </c>
      <c r="F11" s="331">
        <v>4855</v>
      </c>
      <c r="G11" s="337">
        <f>F11/'- 3 -'!$D11*100</f>
        <v>3.2254881997291387E-2</v>
      </c>
    </row>
    <row r="12" spans="1:7" ht="14.1" customHeight="1">
      <c r="A12" s="26" t="s">
        <v>239</v>
      </c>
      <c r="B12" s="27">
        <v>76607</v>
      </c>
      <c r="C12" s="79">
        <f>B12/'- 3 -'!$D12*100</f>
        <v>0.26788789069941865</v>
      </c>
      <c r="D12" s="27">
        <v>1890798</v>
      </c>
      <c r="E12" s="79">
        <f>D12/'- 3 -'!$D12*100</f>
        <v>6.6119530585805402</v>
      </c>
      <c r="F12" s="27">
        <v>0</v>
      </c>
      <c r="G12" s="79">
        <f>F12/'- 3 -'!$D12*100</f>
        <v>0</v>
      </c>
    </row>
    <row r="13" spans="1:7" ht="14.1" customHeight="1">
      <c r="A13" s="330" t="s">
        <v>240</v>
      </c>
      <c r="B13" s="331">
        <v>163452</v>
      </c>
      <c r="C13" s="337">
        <f>B13/'- 3 -'!$D13*100</f>
        <v>0.22248803397904032</v>
      </c>
      <c r="D13" s="331">
        <v>1586972</v>
      </c>
      <c r="E13" s="337">
        <f>D13/'- 3 -'!$D13*100</f>
        <v>2.1601588249748276</v>
      </c>
      <c r="F13" s="331">
        <v>0</v>
      </c>
      <c r="G13" s="337">
        <f>F13/'- 3 -'!$D13*100</f>
        <v>0</v>
      </c>
    </row>
    <row r="14" spans="1:7" ht="14.1" customHeight="1">
      <c r="A14" s="26" t="s">
        <v>653</v>
      </c>
      <c r="B14" s="27">
        <v>172783</v>
      </c>
      <c r="C14" s="79">
        <f>B14/'- 3 -'!$D14*100</f>
        <v>0.25988981031832775</v>
      </c>
      <c r="D14" s="27">
        <v>6333961</v>
      </c>
      <c r="E14" s="79">
        <f>D14/'- 3 -'!$D14*100</f>
        <v>9.5271636842379497</v>
      </c>
      <c r="F14" s="27">
        <v>280585</v>
      </c>
      <c r="G14" s="79">
        <f>F14/'- 3 -'!$D14*100</f>
        <v>0.42203910354703877</v>
      </c>
    </row>
    <row r="15" spans="1:7" ht="14.1" customHeight="1">
      <c r="A15" s="330" t="s">
        <v>241</v>
      </c>
      <c r="B15" s="331">
        <v>70381</v>
      </c>
      <c r="C15" s="337">
        <f>B15/'- 3 -'!$D15*100</f>
        <v>0.38451391395566265</v>
      </c>
      <c r="D15" s="331">
        <v>1118554</v>
      </c>
      <c r="E15" s="337">
        <f>D15/'- 3 -'!$D15*100</f>
        <v>6.1110182650255362</v>
      </c>
      <c r="F15" s="331">
        <v>8615</v>
      </c>
      <c r="G15" s="337">
        <f>F15/'- 3 -'!$D15*100</f>
        <v>4.7066500457908153E-2</v>
      </c>
    </row>
    <row r="16" spans="1:7" ht="14.1" customHeight="1">
      <c r="A16" s="26" t="s">
        <v>242</v>
      </c>
      <c r="B16" s="27">
        <v>0</v>
      </c>
      <c r="C16" s="79">
        <f>B16/'- 3 -'!$D16*100</f>
        <v>0</v>
      </c>
      <c r="D16" s="27">
        <v>249775</v>
      </c>
      <c r="E16" s="79">
        <f>D16/'- 3 -'!$D16*100</f>
        <v>1.9825936571608007</v>
      </c>
      <c r="F16" s="27">
        <v>0</v>
      </c>
      <c r="G16" s="79">
        <f>F16/'- 3 -'!$D16*100</f>
        <v>0</v>
      </c>
    </row>
    <row r="17" spans="1:7" ht="14.1" customHeight="1">
      <c r="A17" s="330" t="s">
        <v>243</v>
      </c>
      <c r="B17" s="331">
        <v>48405</v>
      </c>
      <c r="C17" s="337">
        <f>B17/'- 3 -'!$D17*100</f>
        <v>0.30405656878082454</v>
      </c>
      <c r="D17" s="331">
        <v>1223151</v>
      </c>
      <c r="E17" s="337">
        <f>D17/'- 3 -'!$D17*100</f>
        <v>7.683237189563771</v>
      </c>
      <c r="F17" s="331">
        <v>0</v>
      </c>
      <c r="G17" s="337">
        <f>F17/'- 3 -'!$D17*100</f>
        <v>0</v>
      </c>
    </row>
    <row r="18" spans="1:7" ht="14.1" customHeight="1">
      <c r="A18" s="26" t="s">
        <v>244</v>
      </c>
      <c r="B18" s="27">
        <v>231157</v>
      </c>
      <c r="C18" s="79">
        <f>B18/'- 3 -'!$D18*100</f>
        <v>0.21208818714847261</v>
      </c>
      <c r="D18" s="27">
        <v>5945785</v>
      </c>
      <c r="E18" s="79">
        <f>D18/'- 3 -'!$D18*100</f>
        <v>5.4552999122872388</v>
      </c>
      <c r="F18" s="27">
        <v>87604</v>
      </c>
      <c r="G18" s="79">
        <f>F18/'- 3 -'!$D18*100</f>
        <v>8.0377291394830339E-2</v>
      </c>
    </row>
    <row r="19" spans="1:7" ht="14.1" customHeight="1">
      <c r="A19" s="330" t="s">
        <v>245</v>
      </c>
      <c r="B19" s="331">
        <v>51213</v>
      </c>
      <c r="C19" s="337">
        <f>B19/'- 3 -'!$D19*100</f>
        <v>0.13794984915699965</v>
      </c>
      <c r="D19" s="331">
        <v>1719228</v>
      </c>
      <c r="E19" s="337">
        <f>D19/'- 3 -'!$D19*100</f>
        <v>4.6309968809968201</v>
      </c>
      <c r="F19" s="331">
        <v>28464</v>
      </c>
      <c r="G19" s="337">
        <f>F19/'- 3 -'!$D19*100</f>
        <v>7.6672026758925219E-2</v>
      </c>
    </row>
    <row r="20" spans="1:7" ht="14.1" customHeight="1">
      <c r="A20" s="26" t="s">
        <v>246</v>
      </c>
      <c r="B20" s="27">
        <v>205972</v>
      </c>
      <c r="C20" s="79">
        <f>B20/'- 3 -'!$D20*100</f>
        <v>0.32775162736881075</v>
      </c>
      <c r="D20" s="27">
        <v>2684859</v>
      </c>
      <c r="E20" s="79">
        <f>D20/'- 3 -'!$D20*100</f>
        <v>4.2722647083380156</v>
      </c>
      <c r="F20" s="27">
        <v>3020</v>
      </c>
      <c r="G20" s="79">
        <f>F20/'- 3 -'!$D20*100</f>
        <v>4.8055556806449835E-3</v>
      </c>
    </row>
    <row r="21" spans="1:7" ht="14.1" customHeight="1">
      <c r="A21" s="330" t="s">
        <v>247</v>
      </c>
      <c r="B21" s="331">
        <v>150519</v>
      </c>
      <c r="C21" s="337">
        <f>B21/'- 3 -'!$D21*100</f>
        <v>0.47866609641039071</v>
      </c>
      <c r="D21" s="331">
        <v>1697531</v>
      </c>
      <c r="E21" s="337">
        <f>D21/'- 3 -'!$D21*100</f>
        <v>5.3983253762357366</v>
      </c>
      <c r="F21" s="331">
        <v>3375</v>
      </c>
      <c r="G21" s="337">
        <f>F21/'- 3 -'!$D21*100</f>
        <v>1.0732851503033294E-2</v>
      </c>
    </row>
    <row r="22" spans="1:7" ht="14.1" customHeight="1">
      <c r="A22" s="26" t="s">
        <v>248</v>
      </c>
      <c r="B22" s="27">
        <v>96652</v>
      </c>
      <c r="C22" s="79">
        <f>B22/'- 3 -'!$D22*100</f>
        <v>0.53057017299962583</v>
      </c>
      <c r="D22" s="27">
        <v>363407</v>
      </c>
      <c r="E22" s="79">
        <f>D22/'- 3 -'!$D22*100</f>
        <v>1.9949190379844703</v>
      </c>
      <c r="F22" s="27">
        <v>5897</v>
      </c>
      <c r="G22" s="79">
        <f>F22/'- 3 -'!$D22*100</f>
        <v>3.2371521646513191E-2</v>
      </c>
    </row>
    <row r="23" spans="1:7" ht="14.1" customHeight="1">
      <c r="A23" s="330" t="s">
        <v>249</v>
      </c>
      <c r="B23" s="331">
        <v>66938</v>
      </c>
      <c r="C23" s="337">
        <f>B23/'- 3 -'!$D23*100</f>
        <v>0.43818784340005174</v>
      </c>
      <c r="D23" s="331">
        <v>1463408</v>
      </c>
      <c r="E23" s="337">
        <f>D23/'- 3 -'!$D23*100</f>
        <v>9.5797244544859854</v>
      </c>
      <c r="F23" s="331">
        <v>0</v>
      </c>
      <c r="G23" s="337">
        <f>F23/'- 3 -'!$D23*100</f>
        <v>0</v>
      </c>
    </row>
    <row r="24" spans="1:7" ht="14.1" customHeight="1">
      <c r="A24" s="26" t="s">
        <v>250</v>
      </c>
      <c r="B24" s="27">
        <v>159226</v>
      </c>
      <c r="C24" s="79">
        <f>B24/'- 3 -'!$D24*100</f>
        <v>0.32464761402374281</v>
      </c>
      <c r="D24" s="27">
        <v>2010871</v>
      </c>
      <c r="E24" s="79">
        <f>D24/'- 3 -'!$D24*100</f>
        <v>4.0999866369784943</v>
      </c>
      <c r="F24" s="27">
        <v>29631</v>
      </c>
      <c r="G24" s="79">
        <f>F24/'- 3 -'!$D24*100</f>
        <v>6.041496646990769E-2</v>
      </c>
    </row>
    <row r="25" spans="1:7" ht="14.1" customHeight="1">
      <c r="A25" s="330" t="s">
        <v>251</v>
      </c>
      <c r="B25" s="331">
        <v>198980</v>
      </c>
      <c r="C25" s="337">
        <f>B25/'- 3 -'!$D25*100</f>
        <v>0.13691895765657719</v>
      </c>
      <c r="D25" s="331">
        <v>2855855</v>
      </c>
      <c r="E25" s="337">
        <f>D25/'- 3 -'!$D25*100</f>
        <v>1.965125589598574</v>
      </c>
      <c r="F25" s="331">
        <v>6540</v>
      </c>
      <c r="G25" s="337">
        <f>F25/'- 3 -'!$D25*100</f>
        <v>4.5002009401649157E-3</v>
      </c>
    </row>
    <row r="26" spans="1:7" ht="14.1" customHeight="1">
      <c r="A26" s="26" t="s">
        <v>252</v>
      </c>
      <c r="B26" s="27">
        <v>165772</v>
      </c>
      <c r="C26" s="79">
        <f>B26/'- 3 -'!$D26*100</f>
        <v>0.4611410651526297</v>
      </c>
      <c r="D26" s="27">
        <v>2577866</v>
      </c>
      <c r="E26" s="79">
        <f>D26/'- 3 -'!$D26*100</f>
        <v>7.171053453301818</v>
      </c>
      <c r="F26" s="27">
        <v>1861</v>
      </c>
      <c r="G26" s="79">
        <f>F26/'- 3 -'!$D26*100</f>
        <v>5.176890682678883E-3</v>
      </c>
    </row>
    <row r="27" spans="1:7" ht="14.1" customHeight="1">
      <c r="A27" s="330" t="s">
        <v>253</v>
      </c>
      <c r="B27" s="331">
        <v>0</v>
      </c>
      <c r="C27" s="337">
        <f>B27/'- 3 -'!$D27*100</f>
        <v>0</v>
      </c>
      <c r="D27" s="331">
        <v>12130</v>
      </c>
      <c r="E27" s="337">
        <f>D27/'- 3 -'!$D27*100</f>
        <v>3.0436908904815783E-2</v>
      </c>
      <c r="F27" s="331">
        <v>147554</v>
      </c>
      <c r="G27" s="337">
        <f>F27/'- 3 -'!$D27*100</f>
        <v>0.37024630309490419</v>
      </c>
    </row>
    <row r="28" spans="1:7" ht="14.1" customHeight="1">
      <c r="A28" s="26" t="s">
        <v>254</v>
      </c>
      <c r="B28" s="27">
        <v>41528</v>
      </c>
      <c r="C28" s="79">
        <f>B28/'- 3 -'!$D28*100</f>
        <v>0.16763499071221902</v>
      </c>
      <c r="D28" s="27">
        <v>1910859</v>
      </c>
      <c r="E28" s="79">
        <f>D28/'- 3 -'!$D28*100</f>
        <v>7.7135145135176302</v>
      </c>
      <c r="F28" s="27">
        <v>16480</v>
      </c>
      <c r="G28" s="79">
        <f>F28/'- 3 -'!$D28*100</f>
        <v>6.652438467870761E-2</v>
      </c>
    </row>
    <row r="29" spans="1:7" ht="14.1" customHeight="1">
      <c r="A29" s="330" t="s">
        <v>255</v>
      </c>
      <c r="B29" s="331">
        <v>197820</v>
      </c>
      <c r="C29" s="337">
        <f>B29/'- 3 -'!$D29*100</f>
        <v>0.14665505811790497</v>
      </c>
      <c r="D29" s="331">
        <v>1525526</v>
      </c>
      <c r="E29" s="337">
        <f>D29/'- 3 -'!$D29*100</f>
        <v>1.1309579627458048</v>
      </c>
      <c r="F29" s="331">
        <v>64313</v>
      </c>
      <c r="G29" s="337">
        <f>F29/'- 3 -'!$D29*100</f>
        <v>4.7678833043862209E-2</v>
      </c>
    </row>
    <row r="30" spans="1:7" ht="14.1" customHeight="1">
      <c r="A30" s="26" t="s">
        <v>256</v>
      </c>
      <c r="B30" s="27">
        <v>56300</v>
      </c>
      <c r="C30" s="79">
        <f>B30/'- 3 -'!$D30*100</f>
        <v>0.43695513518522627</v>
      </c>
      <c r="D30" s="27">
        <v>996273</v>
      </c>
      <c r="E30" s="79">
        <f>D30/'- 3 -'!$D30*100</f>
        <v>7.7322664901668015</v>
      </c>
      <c r="F30" s="27">
        <v>0</v>
      </c>
      <c r="G30" s="79">
        <f>F30/'- 3 -'!$D30*100</f>
        <v>0</v>
      </c>
    </row>
    <row r="31" spans="1:7" ht="14.1" customHeight="1">
      <c r="A31" s="330" t="s">
        <v>257</v>
      </c>
      <c r="B31" s="331">
        <v>83618</v>
      </c>
      <c r="C31" s="337">
        <f>B31/'- 3 -'!$D31*100</f>
        <v>0.26092304374104069</v>
      </c>
      <c r="D31" s="331">
        <v>823629</v>
      </c>
      <c r="E31" s="337">
        <f>D31/'- 3 -'!$D31*100</f>
        <v>2.5700660813866585</v>
      </c>
      <c r="F31" s="331">
        <v>4260</v>
      </c>
      <c r="G31" s="337">
        <f>F31/'- 3 -'!$D31*100</f>
        <v>1.3292977185974711E-2</v>
      </c>
    </row>
    <row r="32" spans="1:7" ht="14.1" customHeight="1">
      <c r="A32" s="26" t="s">
        <v>258</v>
      </c>
      <c r="B32" s="27">
        <v>65940</v>
      </c>
      <c r="C32" s="79">
        <f>B32/'- 3 -'!$D32*100</f>
        <v>0.27860202119555505</v>
      </c>
      <c r="D32" s="27">
        <v>1638667</v>
      </c>
      <c r="E32" s="79">
        <f>D32/'- 3 -'!$D32*100</f>
        <v>6.9235052815659168</v>
      </c>
      <c r="F32" s="27">
        <v>7404</v>
      </c>
      <c r="G32" s="79">
        <f>F32/'- 3 -'!$D32*100</f>
        <v>3.1282519941338939E-2</v>
      </c>
    </row>
    <row r="33" spans="1:7" ht="14.1" customHeight="1">
      <c r="A33" s="330" t="s">
        <v>259</v>
      </c>
      <c r="B33" s="331">
        <v>53573</v>
      </c>
      <c r="C33" s="337">
        <f>B33/'- 3 -'!$D33*100</f>
        <v>0.21874848411747097</v>
      </c>
      <c r="D33" s="331">
        <v>2176733</v>
      </c>
      <c r="E33" s="337">
        <f>D33/'- 3 -'!$D33*100</f>
        <v>8.8880041080110299</v>
      </c>
      <c r="F33" s="331">
        <v>0</v>
      </c>
      <c r="G33" s="337">
        <f>F33/'- 3 -'!$D33*100</f>
        <v>0</v>
      </c>
    </row>
    <row r="34" spans="1:7" ht="14.1" customHeight="1">
      <c r="A34" s="26" t="s">
        <v>260</v>
      </c>
      <c r="B34" s="27">
        <v>82148</v>
      </c>
      <c r="C34" s="79">
        <f>B34/'- 3 -'!$D34*100</f>
        <v>0.36302481674202502</v>
      </c>
      <c r="D34" s="27">
        <v>2098900</v>
      </c>
      <c r="E34" s="79">
        <f>D34/'- 3 -'!$D34*100</f>
        <v>9.2753662640579986</v>
      </c>
      <c r="F34" s="27">
        <v>479</v>
      </c>
      <c r="G34" s="79">
        <f>F34/'- 3 -'!$D34*100</f>
        <v>2.1167756636732483E-3</v>
      </c>
    </row>
    <row r="35" spans="1:7" ht="14.1" customHeight="1">
      <c r="A35" s="330" t="s">
        <v>261</v>
      </c>
      <c r="B35" s="331">
        <v>296247</v>
      </c>
      <c r="C35" s="337">
        <f>B35/'- 3 -'!$D35*100</f>
        <v>0.18413142481369765</v>
      </c>
      <c r="D35" s="331">
        <v>2823159</v>
      </c>
      <c r="E35" s="337">
        <f>D35/'- 3 -'!$D35*100</f>
        <v>1.754725918391119</v>
      </c>
      <c r="F35" s="331">
        <v>16915</v>
      </c>
      <c r="G35" s="337">
        <f>F35/'- 3 -'!$D35*100</f>
        <v>1.0513466974260317E-2</v>
      </c>
    </row>
    <row r="36" spans="1:7" ht="14.1" customHeight="1">
      <c r="A36" s="26" t="s">
        <v>262</v>
      </c>
      <c r="B36" s="27">
        <v>55772</v>
      </c>
      <c r="C36" s="79">
        <f>B36/'- 3 -'!$D36*100</f>
        <v>0.27385272613632405</v>
      </c>
      <c r="D36" s="27">
        <v>1399900</v>
      </c>
      <c r="E36" s="79">
        <f>D36/'- 3 -'!$D36*100</f>
        <v>6.8738153790116909</v>
      </c>
      <c r="F36" s="27">
        <v>3900</v>
      </c>
      <c r="G36" s="79">
        <f>F36/'- 3 -'!$D36*100</f>
        <v>1.914985354535724E-2</v>
      </c>
    </row>
    <row r="37" spans="1:7" ht="14.1" customHeight="1">
      <c r="A37" s="330" t="s">
        <v>263</v>
      </c>
      <c r="B37" s="331">
        <v>157683</v>
      </c>
      <c r="C37" s="337">
        <f>B37/'- 3 -'!$D37*100</f>
        <v>0.42041917457832706</v>
      </c>
      <c r="D37" s="331">
        <v>2082481</v>
      </c>
      <c r="E37" s="337">
        <f>D37/'- 3 -'!$D37*100</f>
        <v>5.5523737060751577</v>
      </c>
      <c r="F37" s="331">
        <v>0</v>
      </c>
      <c r="G37" s="337">
        <f>F37/'- 3 -'!$D37*100</f>
        <v>0</v>
      </c>
    </row>
    <row r="38" spans="1:7" ht="14.1" customHeight="1">
      <c r="A38" s="26" t="s">
        <v>264</v>
      </c>
      <c r="B38" s="27">
        <v>247052</v>
      </c>
      <c r="C38" s="79">
        <f>B38/'- 3 -'!$D38*100</f>
        <v>0.24062613911156056</v>
      </c>
      <c r="D38" s="27">
        <v>2578315</v>
      </c>
      <c r="E38" s="79">
        <f>D38/'- 3 -'!$D38*100</f>
        <v>2.5112526264244908</v>
      </c>
      <c r="F38" s="27">
        <v>213273</v>
      </c>
      <c r="G38" s="79">
        <f>F38/'- 3 -'!$D38*100</f>
        <v>0.20772573614761206</v>
      </c>
    </row>
    <row r="39" spans="1:7" ht="14.1" customHeight="1">
      <c r="A39" s="330" t="s">
        <v>265</v>
      </c>
      <c r="B39" s="331">
        <v>68713</v>
      </c>
      <c r="C39" s="337">
        <f>B39/'- 3 -'!$D39*100</f>
        <v>0.36165642886632321</v>
      </c>
      <c r="D39" s="331">
        <v>1741545</v>
      </c>
      <c r="E39" s="337">
        <f>D39/'- 3 -'!$D39*100</f>
        <v>9.1662559546228639</v>
      </c>
      <c r="F39" s="331">
        <v>0</v>
      </c>
      <c r="G39" s="337">
        <f>F39/'- 3 -'!$D39*100</f>
        <v>0</v>
      </c>
    </row>
    <row r="40" spans="1:7" ht="14.1" customHeight="1">
      <c r="A40" s="26" t="s">
        <v>266</v>
      </c>
      <c r="B40" s="27">
        <v>105457</v>
      </c>
      <c r="C40" s="79">
        <f>B40/'- 3 -'!$D40*100</f>
        <v>0.11608003158840394</v>
      </c>
      <c r="D40" s="27">
        <v>1510089</v>
      </c>
      <c r="E40" s="79">
        <f>D40/'- 3 -'!$D40*100</f>
        <v>1.6622052478384681</v>
      </c>
      <c r="F40" s="27">
        <v>10550</v>
      </c>
      <c r="G40" s="79">
        <f>F40/'- 3 -'!$D40*100</f>
        <v>1.1612736312029184E-2</v>
      </c>
    </row>
    <row r="41" spans="1:7" ht="14.1" customHeight="1">
      <c r="A41" s="330" t="s">
        <v>267</v>
      </c>
      <c r="B41" s="331">
        <v>315226</v>
      </c>
      <c r="C41" s="337">
        <f>B41/'- 3 -'!$D41*100</f>
        <v>0.5708921364555104</v>
      </c>
      <c r="D41" s="331">
        <v>4015717</v>
      </c>
      <c r="E41" s="337">
        <f>D41/'- 3 -'!$D41*100</f>
        <v>7.2726908869532121</v>
      </c>
      <c r="F41" s="331">
        <v>8285</v>
      </c>
      <c r="G41" s="337">
        <f>F41/'- 3 -'!$D41*100</f>
        <v>1.5004604158711222E-2</v>
      </c>
    </row>
    <row r="42" spans="1:7" ht="14.1" customHeight="1">
      <c r="A42" s="26" t="s">
        <v>268</v>
      </c>
      <c r="B42" s="27">
        <v>96775</v>
      </c>
      <c r="C42" s="79">
        <f>B42/'- 3 -'!$D42*100</f>
        <v>0.50427751349056338</v>
      </c>
      <c r="D42" s="27">
        <v>1315406</v>
      </c>
      <c r="E42" s="79">
        <f>D42/'- 3 -'!$D42*100</f>
        <v>6.8543494384972146</v>
      </c>
      <c r="F42" s="27">
        <v>0</v>
      </c>
      <c r="G42" s="79">
        <f>F42/'- 3 -'!$D42*100</f>
        <v>0</v>
      </c>
    </row>
    <row r="43" spans="1:7" ht="14.1" customHeight="1">
      <c r="A43" s="330" t="s">
        <v>269</v>
      </c>
      <c r="B43" s="331">
        <v>8296</v>
      </c>
      <c r="C43" s="337">
        <f>B43/'- 3 -'!$D43*100</f>
        <v>7.3350731438356923E-2</v>
      </c>
      <c r="D43" s="331">
        <v>960694</v>
      </c>
      <c r="E43" s="337">
        <f>D43/'- 3 -'!$D43*100</f>
        <v>8.4941667777773446</v>
      </c>
      <c r="F43" s="331">
        <v>0</v>
      </c>
      <c r="G43" s="337">
        <f>F43/'- 3 -'!$D43*100</f>
        <v>0</v>
      </c>
    </row>
    <row r="44" spans="1:7" ht="14.1" customHeight="1">
      <c r="A44" s="26" t="s">
        <v>270</v>
      </c>
      <c r="B44" s="27">
        <v>17904</v>
      </c>
      <c r="C44" s="79">
        <f>B44/'- 3 -'!$D44*100</f>
        <v>0.1849809021476444</v>
      </c>
      <c r="D44" s="27">
        <v>880674</v>
      </c>
      <c r="E44" s="79">
        <f>D44/'- 3 -'!$D44*100</f>
        <v>9.098965092603585</v>
      </c>
      <c r="F44" s="27">
        <v>0</v>
      </c>
      <c r="G44" s="79">
        <f>F44/'- 3 -'!$D44*100</f>
        <v>0</v>
      </c>
    </row>
    <row r="45" spans="1:7" ht="14.1" customHeight="1">
      <c r="A45" s="330" t="s">
        <v>271</v>
      </c>
      <c r="B45" s="331">
        <v>24157</v>
      </c>
      <c r="C45" s="337">
        <f>B45/'- 3 -'!$D45*100</f>
        <v>0.1556338760901281</v>
      </c>
      <c r="D45" s="331">
        <v>541520</v>
      </c>
      <c r="E45" s="337">
        <f>D45/'- 3 -'!$D45*100</f>
        <v>3.4887964805367462</v>
      </c>
      <c r="F45" s="331">
        <v>13771</v>
      </c>
      <c r="G45" s="337">
        <f>F45/'- 3 -'!$D45*100</f>
        <v>8.8721037696616059E-2</v>
      </c>
    </row>
    <row r="46" spans="1:7" ht="14.1" customHeight="1">
      <c r="A46" s="26" t="s">
        <v>272</v>
      </c>
      <c r="B46" s="27">
        <v>269053</v>
      </c>
      <c r="C46" s="79">
        <f>B46/'- 3 -'!$D46*100</f>
        <v>8.0062955533200003E-2</v>
      </c>
      <c r="D46" s="27">
        <v>4183122</v>
      </c>
      <c r="E46" s="79">
        <f>D46/'- 3 -'!$D46*100</f>
        <v>1.2447848961949901</v>
      </c>
      <c r="F46" s="27">
        <v>0</v>
      </c>
      <c r="G46" s="79">
        <f>F46/'- 3 -'!$D46*100</f>
        <v>0</v>
      </c>
    </row>
    <row r="47" spans="1:7" ht="5.0999999999999996" customHeight="1">
      <c r="A47"/>
      <c r="B47" s="29"/>
      <c r="C47"/>
      <c r="D47" s="29"/>
      <c r="E47"/>
      <c r="F47" s="29"/>
      <c r="G47"/>
    </row>
    <row r="48" spans="1:7" ht="14.1" customHeight="1">
      <c r="A48" s="332" t="s">
        <v>273</v>
      </c>
      <c r="B48" s="333">
        <f>SUM(B11:B46)</f>
        <v>4163448</v>
      </c>
      <c r="C48" s="340">
        <f>B48/'- 3 -'!$D48*100</f>
        <v>0.21593308652166315</v>
      </c>
      <c r="D48" s="333">
        <f>SUM(D11:D46)</f>
        <v>69817649</v>
      </c>
      <c r="E48" s="340">
        <f>D48/'- 3 -'!$D48*100</f>
        <v>3.6210228738910897</v>
      </c>
      <c r="F48" s="333">
        <f>SUM(F11:F46)</f>
        <v>967631</v>
      </c>
      <c r="G48" s="340">
        <f>F48/'- 3 -'!$D48*100</f>
        <v>5.0185218704315138E-2</v>
      </c>
    </row>
    <row r="49" spans="1:7" ht="5.0999999999999996" customHeight="1">
      <c r="A49" s="28" t="s">
        <v>18</v>
      </c>
      <c r="B49" s="29"/>
      <c r="C49"/>
      <c r="D49" s="29"/>
      <c r="E49"/>
      <c r="F49" s="29"/>
      <c r="G49"/>
    </row>
    <row r="50" spans="1:7" ht="14.1" customHeight="1">
      <c r="A50" s="26" t="s">
        <v>274</v>
      </c>
      <c r="B50" s="27">
        <v>0</v>
      </c>
      <c r="C50" s="79">
        <f>B50/'- 3 -'!$D50*100</f>
        <v>0</v>
      </c>
      <c r="D50" s="27">
        <v>5340</v>
      </c>
      <c r="E50" s="79">
        <f>D50/'- 3 -'!$D50*100</f>
        <v>0.16529769836884603</v>
      </c>
      <c r="F50" s="27">
        <v>0</v>
      </c>
      <c r="G50" s="79">
        <f>F50/'- 3 -'!$D50*100</f>
        <v>0</v>
      </c>
    </row>
    <row r="51" spans="1:7" ht="14.1" customHeight="1">
      <c r="A51" s="330" t="s">
        <v>275</v>
      </c>
      <c r="B51" s="331">
        <v>0</v>
      </c>
      <c r="C51" s="337">
        <f>B51/'- 3 -'!$D51*100</f>
        <v>0</v>
      </c>
      <c r="D51" s="331">
        <v>0</v>
      </c>
      <c r="E51" s="337">
        <f>D51/'- 3 -'!$D51*100</f>
        <v>0</v>
      </c>
      <c r="F51" s="331">
        <v>0</v>
      </c>
      <c r="G51" s="337">
        <f>F51/'- 3 -'!$D51*100</f>
        <v>0</v>
      </c>
    </row>
    <row r="52" spans="1:7"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sheetPr codeName="Sheet28">
    <pageSetUpPr fitToPage="1"/>
  </sheetPr>
  <dimension ref="A1:G52"/>
  <sheetViews>
    <sheetView showGridLines="0" showZeros="0" workbookViewId="0"/>
  </sheetViews>
  <sheetFormatPr defaultColWidth="15.83203125" defaultRowHeight="12"/>
  <cols>
    <col min="1" max="1" width="33.83203125" style="1" customWidth="1"/>
    <col min="2" max="2" width="19.83203125" style="1" customWidth="1"/>
    <col min="3" max="3" width="15.83203125" style="1"/>
    <col min="4" max="4" width="19.83203125" style="1" customWidth="1"/>
    <col min="5" max="5" width="15.83203125" style="1"/>
    <col min="6" max="6" width="11.83203125" style="1" customWidth="1"/>
    <col min="7" max="16384" width="15.83203125" style="1"/>
  </cols>
  <sheetData>
    <row r="1" spans="1:7" ht="6.95" customHeight="1">
      <c r="A1" s="6"/>
      <c r="B1" s="7"/>
      <c r="C1" s="7"/>
      <c r="D1" s="7"/>
      <c r="E1" s="7"/>
      <c r="F1" s="7"/>
      <c r="G1" s="7"/>
    </row>
    <row r="2" spans="1:7" ht="15.95" customHeight="1">
      <c r="A2" s="152"/>
      <c r="B2" s="8" t="s">
        <v>483</v>
      </c>
      <c r="C2" s="9"/>
      <c r="D2" s="9"/>
      <c r="E2" s="9"/>
      <c r="F2" s="82"/>
      <c r="G2" s="491" t="s">
        <v>446</v>
      </c>
    </row>
    <row r="3" spans="1:7" ht="15.95" customHeight="1">
      <c r="A3" s="154"/>
      <c r="B3" s="10" t="str">
        <f>OPYEAR</f>
        <v>OPERATING FUND 2011/2012 ACTUAL</v>
      </c>
      <c r="C3" s="11"/>
      <c r="D3" s="11"/>
      <c r="E3" s="11"/>
      <c r="F3" s="84"/>
      <c r="G3" s="74"/>
    </row>
    <row r="4" spans="1:7" ht="15.95" customHeight="1">
      <c r="B4" s="7"/>
      <c r="C4" s="7"/>
      <c r="D4" s="7"/>
      <c r="E4" s="7"/>
      <c r="F4" s="7"/>
      <c r="G4" s="7"/>
    </row>
    <row r="5" spans="1:7" ht="15.95" customHeight="1">
      <c r="B5" s="7"/>
      <c r="C5" s="7"/>
      <c r="D5" s="7"/>
      <c r="E5" s="7"/>
      <c r="F5" s="7"/>
      <c r="G5" s="7"/>
    </row>
    <row r="6" spans="1:7" ht="15.95" customHeight="1">
      <c r="B6" s="185" t="s">
        <v>34</v>
      </c>
      <c r="C6" s="193"/>
      <c r="D6" s="194"/>
      <c r="E6" s="195"/>
      <c r="F6" s="7"/>
      <c r="G6" s="50"/>
    </row>
    <row r="7" spans="1:7" ht="15.95" customHeight="1">
      <c r="B7" s="358" t="s">
        <v>61</v>
      </c>
      <c r="C7" s="359"/>
      <c r="D7" s="358" t="s">
        <v>278</v>
      </c>
      <c r="E7" s="359"/>
      <c r="F7" s="78"/>
      <c r="G7" s="7"/>
    </row>
    <row r="8" spans="1:7" ht="15.95" customHeight="1">
      <c r="A8" s="75"/>
      <c r="B8" s="345" t="s">
        <v>79</v>
      </c>
      <c r="C8" s="346"/>
      <c r="D8" s="344" t="s">
        <v>222</v>
      </c>
      <c r="E8" s="346"/>
      <c r="F8" s="7"/>
      <c r="G8" s="7"/>
    </row>
    <row r="9" spans="1:7" ht="15.95" customHeight="1">
      <c r="A9" s="42" t="s">
        <v>95</v>
      </c>
      <c r="B9" s="189" t="s">
        <v>96</v>
      </c>
      <c r="C9" s="189" t="s">
        <v>97</v>
      </c>
      <c r="D9" s="189" t="s">
        <v>96</v>
      </c>
      <c r="E9" s="189" t="s">
        <v>97</v>
      </c>
    </row>
    <row r="10" spans="1:7" ht="5.0999999999999996" customHeight="1">
      <c r="A10" s="5"/>
    </row>
    <row r="11" spans="1:7" ht="14.1" customHeight="1">
      <c r="A11" s="330" t="s">
        <v>238</v>
      </c>
      <c r="B11" s="331">
        <v>0</v>
      </c>
      <c r="C11" s="337">
        <f>B11/'- 3 -'!$D11*100</f>
        <v>0</v>
      </c>
      <c r="D11" s="331">
        <v>120173</v>
      </c>
      <c r="E11" s="337">
        <f>D11/'- 3 -'!$D11*100</f>
        <v>0.79838639222667307</v>
      </c>
    </row>
    <row r="12" spans="1:7" ht="14.1" customHeight="1">
      <c r="A12" s="26" t="s">
        <v>239</v>
      </c>
      <c r="B12" s="27">
        <v>0</v>
      </c>
      <c r="C12" s="79">
        <f>B12/'- 3 -'!$D12*100</f>
        <v>0</v>
      </c>
      <c r="D12" s="27">
        <v>181959</v>
      </c>
      <c r="E12" s="79">
        <f>D12/'- 3 -'!$D12*100</f>
        <v>0.63629449924648562</v>
      </c>
    </row>
    <row r="13" spans="1:7" ht="14.1" customHeight="1">
      <c r="A13" s="330" t="s">
        <v>240</v>
      </c>
      <c r="B13" s="331">
        <v>4800</v>
      </c>
      <c r="C13" s="337">
        <f>B13/'- 3 -'!$D13*100</f>
        <v>6.5336769394035762E-3</v>
      </c>
      <c r="D13" s="331">
        <v>49664</v>
      </c>
      <c r="E13" s="337">
        <f>D13/'- 3 -'!$D13*100</f>
        <v>6.7601777399695667E-2</v>
      </c>
    </row>
    <row r="14" spans="1:7" ht="14.1" customHeight="1">
      <c r="A14" s="26" t="s">
        <v>653</v>
      </c>
      <c r="B14" s="27">
        <v>9600</v>
      </c>
      <c r="C14" s="79">
        <f>B14/'- 3 -'!$D14*100</f>
        <v>1.4439743372067545E-2</v>
      </c>
      <c r="D14" s="27">
        <v>252858</v>
      </c>
      <c r="E14" s="79">
        <f>D14/'- 3 -'!$D14*100</f>
        <v>0.38033381558065155</v>
      </c>
    </row>
    <row r="15" spans="1:7" ht="14.1" customHeight="1">
      <c r="A15" s="330" t="s">
        <v>241</v>
      </c>
      <c r="B15" s="331">
        <v>0</v>
      </c>
      <c r="C15" s="337">
        <f>B15/'- 3 -'!$D15*100</f>
        <v>0</v>
      </c>
      <c r="D15" s="331">
        <v>48209</v>
      </c>
      <c r="E15" s="337">
        <f>D15/'- 3 -'!$D15*100</f>
        <v>0.26338118636973817</v>
      </c>
    </row>
    <row r="16" spans="1:7" ht="14.1" customHeight="1">
      <c r="A16" s="26" t="s">
        <v>242</v>
      </c>
      <c r="B16" s="27">
        <v>0</v>
      </c>
      <c r="C16" s="79">
        <f>B16/'- 3 -'!$D16*100</f>
        <v>0</v>
      </c>
      <c r="D16" s="27">
        <v>66696</v>
      </c>
      <c r="E16" s="79">
        <f>D16/'- 3 -'!$D16*100</f>
        <v>0.52940072688618456</v>
      </c>
    </row>
    <row r="17" spans="1:5" ht="14.1" customHeight="1">
      <c r="A17" s="330" t="s">
        <v>243</v>
      </c>
      <c r="B17" s="331">
        <v>0</v>
      </c>
      <c r="C17" s="337">
        <f>B17/'- 3 -'!$D17*100</f>
        <v>0</v>
      </c>
      <c r="D17" s="331">
        <v>41390</v>
      </c>
      <c r="E17" s="337">
        <f>D17/'- 3 -'!$D17*100</f>
        <v>0.25999176493829829</v>
      </c>
    </row>
    <row r="18" spans="1:5" ht="14.1" customHeight="1">
      <c r="A18" s="26" t="s">
        <v>244</v>
      </c>
      <c r="B18" s="27">
        <v>2200332</v>
      </c>
      <c r="C18" s="79">
        <f>B18/'- 3 -'!$D18*100</f>
        <v>2.0188202174486305</v>
      </c>
      <c r="D18" s="27">
        <v>584099</v>
      </c>
      <c r="E18" s="79">
        <f>D18/'- 3 -'!$D18*100</f>
        <v>0.53591497564527879</v>
      </c>
    </row>
    <row r="19" spans="1:5" ht="14.1" customHeight="1">
      <c r="A19" s="330" t="s">
        <v>245</v>
      </c>
      <c r="B19" s="331">
        <v>0</v>
      </c>
      <c r="C19" s="337">
        <f>B19/'- 3 -'!$D19*100</f>
        <v>0</v>
      </c>
      <c r="D19" s="331">
        <v>123389</v>
      </c>
      <c r="E19" s="337">
        <f>D19/'- 3 -'!$D19*100</f>
        <v>0.33236666349624172</v>
      </c>
    </row>
    <row r="20" spans="1:5" ht="14.1" customHeight="1">
      <c r="A20" s="26" t="s">
        <v>246</v>
      </c>
      <c r="B20" s="27">
        <v>0</v>
      </c>
      <c r="C20" s="79">
        <f>B20/'- 3 -'!$D20*100</f>
        <v>0</v>
      </c>
      <c r="D20" s="27">
        <v>241681</v>
      </c>
      <c r="E20" s="79">
        <f>D20/'- 3 -'!$D20*100</f>
        <v>0.3845733451834305</v>
      </c>
    </row>
    <row r="21" spans="1:5" ht="14.1" customHeight="1">
      <c r="A21" s="330" t="s">
        <v>247</v>
      </c>
      <c r="B21" s="331">
        <v>0</v>
      </c>
      <c r="C21" s="337">
        <f>B21/'- 3 -'!$D21*100</f>
        <v>0</v>
      </c>
      <c r="D21" s="331">
        <v>132612</v>
      </c>
      <c r="E21" s="337">
        <f>D21/'- 3 -'!$D21*100</f>
        <v>0.42171997141340778</v>
      </c>
    </row>
    <row r="22" spans="1:5" ht="14.1" customHeight="1">
      <c r="A22" s="26" t="s">
        <v>248</v>
      </c>
      <c r="B22" s="27">
        <v>0</v>
      </c>
      <c r="C22" s="79">
        <f>B22/'- 3 -'!$D22*100</f>
        <v>0</v>
      </c>
      <c r="D22" s="27">
        <v>48959</v>
      </c>
      <c r="E22" s="79">
        <f>D22/'- 3 -'!$D22*100</f>
        <v>0.26875993357497702</v>
      </c>
    </row>
    <row r="23" spans="1:5" ht="14.1" customHeight="1">
      <c r="A23" s="330" t="s">
        <v>249</v>
      </c>
      <c r="B23" s="331">
        <v>0</v>
      </c>
      <c r="C23" s="337">
        <f>B23/'- 3 -'!$D23*100</f>
        <v>0</v>
      </c>
      <c r="D23" s="331">
        <v>0</v>
      </c>
      <c r="E23" s="337">
        <f>D23/'- 3 -'!$D23*100</f>
        <v>0</v>
      </c>
    </row>
    <row r="24" spans="1:5" ht="14.1" customHeight="1">
      <c r="A24" s="26" t="s">
        <v>250</v>
      </c>
      <c r="B24" s="27">
        <v>0</v>
      </c>
      <c r="C24" s="79">
        <f>B24/'- 3 -'!$D24*100</f>
        <v>0</v>
      </c>
      <c r="D24" s="27">
        <v>90810</v>
      </c>
      <c r="E24" s="79">
        <f>D24/'- 3 -'!$D24*100</f>
        <v>0.18515349144923621</v>
      </c>
    </row>
    <row r="25" spans="1:5" ht="14.1" customHeight="1">
      <c r="A25" s="330" t="s">
        <v>251</v>
      </c>
      <c r="B25" s="331">
        <v>0</v>
      </c>
      <c r="C25" s="337">
        <f>B25/'- 3 -'!$D25*100</f>
        <v>0</v>
      </c>
      <c r="D25" s="331">
        <v>60473</v>
      </c>
      <c r="E25" s="337">
        <f>D25/'- 3 -'!$D25*100</f>
        <v>4.1611720405901061E-2</v>
      </c>
    </row>
    <row r="26" spans="1:5" ht="14.1" customHeight="1">
      <c r="A26" s="26" t="s">
        <v>252</v>
      </c>
      <c r="B26" s="27">
        <v>0</v>
      </c>
      <c r="C26" s="79">
        <f>B26/'- 3 -'!$D26*100</f>
        <v>0</v>
      </c>
      <c r="D26" s="27">
        <v>178944</v>
      </c>
      <c r="E26" s="79">
        <f>D26/'- 3 -'!$D26*100</f>
        <v>0.49778265788355192</v>
      </c>
    </row>
    <row r="27" spans="1:5" ht="14.1" customHeight="1">
      <c r="A27" s="330" t="s">
        <v>253</v>
      </c>
      <c r="B27" s="331">
        <v>0</v>
      </c>
      <c r="C27" s="337">
        <f>B27/'- 3 -'!$D27*100</f>
        <v>0</v>
      </c>
      <c r="D27" s="331">
        <v>64783</v>
      </c>
      <c r="E27" s="337">
        <f>D27/'- 3 -'!$D27*100</f>
        <v>0.16255517473872061</v>
      </c>
    </row>
    <row r="28" spans="1:5" ht="14.1" customHeight="1">
      <c r="A28" s="26" t="s">
        <v>254</v>
      </c>
      <c r="B28" s="27">
        <v>0</v>
      </c>
      <c r="C28" s="79">
        <f>B28/'- 3 -'!$D28*100</f>
        <v>0</v>
      </c>
      <c r="D28" s="27">
        <v>77169</v>
      </c>
      <c r="E28" s="79">
        <f>D28/'- 3 -'!$D28*100</f>
        <v>0.311506082601407</v>
      </c>
    </row>
    <row r="29" spans="1:5" ht="14.1" customHeight="1">
      <c r="A29" s="330" t="s">
        <v>255</v>
      </c>
      <c r="B29" s="331">
        <v>0</v>
      </c>
      <c r="C29" s="337">
        <f>B29/'- 3 -'!$D29*100</f>
        <v>0</v>
      </c>
      <c r="D29" s="331">
        <v>404719</v>
      </c>
      <c r="E29" s="337">
        <f>D29/'- 3 -'!$D29*100</f>
        <v>0.30004088801142642</v>
      </c>
    </row>
    <row r="30" spans="1:5" ht="14.1" customHeight="1">
      <c r="A30" s="26" t="s">
        <v>256</v>
      </c>
      <c r="B30" s="27">
        <v>0</v>
      </c>
      <c r="C30" s="79">
        <f>B30/'- 3 -'!$D30*100</f>
        <v>0</v>
      </c>
      <c r="D30" s="27">
        <v>35709</v>
      </c>
      <c r="E30" s="79">
        <f>D30/'- 3 -'!$D30*100</f>
        <v>0.27714442135575923</v>
      </c>
    </row>
    <row r="31" spans="1:5" ht="14.1" customHeight="1">
      <c r="A31" s="330" t="s">
        <v>257</v>
      </c>
      <c r="B31" s="331">
        <v>0</v>
      </c>
      <c r="C31" s="337">
        <f>B31/'- 3 -'!$D31*100</f>
        <v>0</v>
      </c>
      <c r="D31" s="331">
        <v>34152</v>
      </c>
      <c r="E31" s="337">
        <f>D31/'- 3 -'!$D31*100</f>
        <v>0.10656848752474374</v>
      </c>
    </row>
    <row r="32" spans="1:5" ht="14.1" customHeight="1">
      <c r="A32" s="26" t="s">
        <v>258</v>
      </c>
      <c r="B32" s="27">
        <v>0</v>
      </c>
      <c r="C32" s="79">
        <f>B32/'- 3 -'!$D32*100</f>
        <v>0</v>
      </c>
      <c r="D32" s="27">
        <v>97759</v>
      </c>
      <c r="E32" s="79">
        <f>D32/'- 3 -'!$D32*100</f>
        <v>0.41303996041941565</v>
      </c>
    </row>
    <row r="33" spans="1:6" ht="14.1" customHeight="1">
      <c r="A33" s="330" t="s">
        <v>259</v>
      </c>
      <c r="B33" s="331">
        <v>0</v>
      </c>
      <c r="C33" s="337">
        <f>B33/'- 3 -'!$D33*100</f>
        <v>0</v>
      </c>
      <c r="D33" s="331">
        <v>70521</v>
      </c>
      <c r="E33" s="337">
        <f>D33/'- 3 -'!$D33*100</f>
        <v>0.28795030796199894</v>
      </c>
    </row>
    <row r="34" spans="1:6" ht="14.1" customHeight="1">
      <c r="A34" s="26" t="s">
        <v>260</v>
      </c>
      <c r="B34" s="27">
        <v>0</v>
      </c>
      <c r="C34" s="79">
        <f>B34/'- 3 -'!$D34*100</f>
        <v>0</v>
      </c>
      <c r="D34" s="27">
        <v>125554</v>
      </c>
      <c r="E34" s="79">
        <f>D34/'- 3 -'!$D34*100</f>
        <v>0.55484269661133823</v>
      </c>
    </row>
    <row r="35" spans="1:6" ht="14.1" customHeight="1">
      <c r="A35" s="330" t="s">
        <v>261</v>
      </c>
      <c r="B35" s="331">
        <v>0</v>
      </c>
      <c r="C35" s="337">
        <f>B35/'- 3 -'!$D35*100</f>
        <v>0</v>
      </c>
      <c r="D35" s="331">
        <v>136591</v>
      </c>
      <c r="E35" s="337">
        <f>D35/'- 3 -'!$D35*100</f>
        <v>8.4897721991202532E-2</v>
      </c>
    </row>
    <row r="36" spans="1:6" ht="14.1" customHeight="1">
      <c r="A36" s="26" t="s">
        <v>262</v>
      </c>
      <c r="B36" s="27">
        <v>0</v>
      </c>
      <c r="C36" s="79">
        <f>B36/'- 3 -'!$D36*100</f>
        <v>0</v>
      </c>
      <c r="D36" s="27">
        <v>79623</v>
      </c>
      <c r="E36" s="79">
        <f>D36/'- 3 -'!$D36*100</f>
        <v>0.39096635611332803</v>
      </c>
    </row>
    <row r="37" spans="1:6" ht="14.1" customHeight="1">
      <c r="A37" s="330" t="s">
        <v>263</v>
      </c>
      <c r="B37" s="331">
        <v>0</v>
      </c>
      <c r="C37" s="337">
        <f>B37/'- 3 -'!$D37*100</f>
        <v>0</v>
      </c>
      <c r="D37" s="331">
        <v>101950</v>
      </c>
      <c r="E37" s="337">
        <f>D37/'- 3 -'!$D37*100</f>
        <v>0.27182216756568839</v>
      </c>
    </row>
    <row r="38" spans="1:6" ht="14.1" customHeight="1">
      <c r="A38" s="26" t="s">
        <v>264</v>
      </c>
      <c r="B38" s="27">
        <v>0</v>
      </c>
      <c r="C38" s="79">
        <f>B38/'- 3 -'!$D38*100</f>
        <v>0</v>
      </c>
      <c r="D38" s="27">
        <v>249827</v>
      </c>
      <c r="E38" s="79">
        <f>D38/'- 3 -'!$D38*100</f>
        <v>0.24332896093058887</v>
      </c>
    </row>
    <row r="39" spans="1:6" ht="14.1" customHeight="1">
      <c r="A39" s="330" t="s">
        <v>265</v>
      </c>
      <c r="B39" s="331">
        <v>0</v>
      </c>
      <c r="C39" s="337">
        <f>B39/'- 3 -'!$D39*100</f>
        <v>0</v>
      </c>
      <c r="D39" s="331">
        <v>17451</v>
      </c>
      <c r="E39" s="337">
        <f>D39/'- 3 -'!$D39*100</f>
        <v>9.1849669496983186E-2</v>
      </c>
    </row>
    <row r="40" spans="1:6" ht="14.1" customHeight="1">
      <c r="A40" s="26" t="s">
        <v>266</v>
      </c>
      <c r="B40" s="27">
        <v>0</v>
      </c>
      <c r="C40" s="79">
        <f>B40/'- 3 -'!$D40*100</f>
        <v>0</v>
      </c>
      <c r="D40" s="27">
        <v>66468</v>
      </c>
      <c r="E40" s="79">
        <f>D40/'- 3 -'!$D40*100</f>
        <v>7.3163540965683005E-2</v>
      </c>
    </row>
    <row r="41" spans="1:6" ht="14.1" customHeight="1">
      <c r="A41" s="330" t="s">
        <v>267</v>
      </c>
      <c r="B41" s="331">
        <v>0</v>
      </c>
      <c r="C41" s="337">
        <f>B41/'- 3 -'!$D41*100</f>
        <v>0</v>
      </c>
      <c r="D41" s="331">
        <v>119489</v>
      </c>
      <c r="E41" s="337">
        <f>D41/'- 3 -'!$D41*100</f>
        <v>0.21640134536152628</v>
      </c>
    </row>
    <row r="42" spans="1:6" ht="14.1" customHeight="1">
      <c r="A42" s="26" t="s">
        <v>268</v>
      </c>
      <c r="B42" s="27">
        <v>0</v>
      </c>
      <c r="C42" s="79">
        <f>B42/'- 3 -'!$D42*100</f>
        <v>0</v>
      </c>
      <c r="D42" s="27">
        <v>55764</v>
      </c>
      <c r="E42" s="79">
        <f>D42/'- 3 -'!$D42*100</f>
        <v>0.29057640157362724</v>
      </c>
    </row>
    <row r="43" spans="1:6" ht="14.1" customHeight="1">
      <c r="A43" s="330" t="s">
        <v>269</v>
      </c>
      <c r="B43" s="331">
        <v>0</v>
      </c>
      <c r="C43" s="337">
        <f>B43/'- 3 -'!$D43*100</f>
        <v>0</v>
      </c>
      <c r="D43" s="331">
        <v>14120</v>
      </c>
      <c r="E43" s="337">
        <f>D43/'- 3 -'!$D43*100</f>
        <v>0.12484478398138857</v>
      </c>
    </row>
    <row r="44" spans="1:6" ht="14.1" customHeight="1">
      <c r="A44" s="26" t="s">
        <v>270</v>
      </c>
      <c r="B44" s="27">
        <v>0</v>
      </c>
      <c r="C44" s="79">
        <f>B44/'- 3 -'!$D44*100</f>
        <v>0</v>
      </c>
      <c r="D44" s="27">
        <v>37372</v>
      </c>
      <c r="E44" s="79">
        <f>D44/'- 3 -'!$D44*100</f>
        <v>0.38612077050166255</v>
      </c>
    </row>
    <row r="45" spans="1:6" ht="14.1" customHeight="1">
      <c r="A45" s="330" t="s">
        <v>271</v>
      </c>
      <c r="B45" s="331">
        <v>0</v>
      </c>
      <c r="C45" s="337">
        <f>B45/'- 3 -'!$D45*100</f>
        <v>0</v>
      </c>
      <c r="D45" s="331">
        <v>63401</v>
      </c>
      <c r="E45" s="337">
        <f>D45/'- 3 -'!$D45*100</f>
        <v>0.40846725081716323</v>
      </c>
    </row>
    <row r="46" spans="1:6" ht="14.1" customHeight="1">
      <c r="A46" s="26" t="s">
        <v>272</v>
      </c>
      <c r="B46" s="27">
        <v>0</v>
      </c>
      <c r="C46" s="79">
        <f>B46/'- 3 -'!$D46*100</f>
        <v>0</v>
      </c>
      <c r="D46" s="27">
        <v>406751</v>
      </c>
      <c r="E46" s="79">
        <f>D46/'- 3 -'!$D46*100</f>
        <v>0.12103818662525465</v>
      </c>
    </row>
    <row r="47" spans="1:6" ht="5.0999999999999996" customHeight="1">
      <c r="A47"/>
      <c r="B47" s="29"/>
      <c r="C47"/>
      <c r="D47" s="29"/>
      <c r="E47"/>
    </row>
    <row r="48" spans="1:6" ht="14.1" customHeight="1">
      <c r="A48" s="332" t="s">
        <v>273</v>
      </c>
      <c r="B48" s="333">
        <f>SUM(B11:B46)</f>
        <v>2214732</v>
      </c>
      <c r="C48" s="340">
        <f>B48/'- 3 -'!$D48*100</f>
        <v>0.11486487079418216</v>
      </c>
      <c r="D48" s="333">
        <f>SUM(D11:D46)</f>
        <v>4481089</v>
      </c>
      <c r="E48" s="340">
        <f>D48/'- 3 -'!$D48*100</f>
        <v>0.23240722082953194</v>
      </c>
      <c r="F48" s="5"/>
    </row>
    <row r="49" spans="1:5" ht="5.0999999999999996" customHeight="1">
      <c r="A49" s="28" t="s">
        <v>18</v>
      </c>
      <c r="B49" s="29"/>
      <c r="C49"/>
      <c r="D49" s="29"/>
      <c r="E49"/>
    </row>
    <row r="50" spans="1:5" ht="14.1" customHeight="1">
      <c r="A50" s="26" t="s">
        <v>274</v>
      </c>
      <c r="B50" s="27">
        <v>31</v>
      </c>
      <c r="C50" s="79">
        <f>B50/'- 3 -'!$D50*100</f>
        <v>9.595933800438626E-4</v>
      </c>
      <c r="D50" s="27">
        <v>31626</v>
      </c>
      <c r="E50" s="79">
        <f>D50/'- 3 -'!$D50*100</f>
        <v>0.97897097539571609</v>
      </c>
    </row>
    <row r="51" spans="1:5" ht="14.1" customHeight="1">
      <c r="A51" s="330" t="s">
        <v>275</v>
      </c>
      <c r="B51" s="331">
        <v>0</v>
      </c>
      <c r="C51" s="337">
        <f>B51/'- 3 -'!$D51*100</f>
        <v>0</v>
      </c>
      <c r="D51" s="331">
        <v>0</v>
      </c>
      <c r="E51" s="337">
        <f>D51/'- 3 -'!$D51*100</f>
        <v>0</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sheetPr codeName="Sheet29">
    <pageSetUpPr fitToPage="1"/>
  </sheetPr>
  <dimension ref="A1:G52"/>
  <sheetViews>
    <sheetView showGridLines="0" showZeros="0" workbookViewId="0"/>
  </sheetViews>
  <sheetFormatPr defaultColWidth="15.83203125" defaultRowHeight="12"/>
  <cols>
    <col min="1" max="1" width="33.83203125" style="1" customWidth="1"/>
    <col min="2" max="2" width="17.83203125" style="1" customWidth="1"/>
    <col min="3" max="3" width="14.83203125" style="1" customWidth="1"/>
    <col min="4" max="4" width="18.83203125" style="1" customWidth="1"/>
    <col min="5" max="5" width="14.83203125" style="1" customWidth="1"/>
    <col min="6" max="6" width="17.83203125" style="1" customWidth="1"/>
    <col min="7" max="7" width="14.83203125" style="1" customWidth="1"/>
    <col min="8" max="16384" width="15.83203125" style="1"/>
  </cols>
  <sheetData>
    <row r="1" spans="1:7" ht="6.95" customHeight="1">
      <c r="A1" s="6"/>
      <c r="B1" s="7"/>
      <c r="C1" s="7"/>
      <c r="D1" s="7"/>
      <c r="E1" s="7"/>
      <c r="F1" s="7"/>
      <c r="G1" s="7"/>
    </row>
    <row r="2" spans="1:7" ht="15.95" customHeight="1">
      <c r="A2" s="152"/>
      <c r="B2" s="8" t="s">
        <v>483</v>
      </c>
      <c r="C2" s="9"/>
      <c r="D2" s="178"/>
      <c r="E2" s="9"/>
      <c r="F2" s="82"/>
      <c r="G2" s="491" t="s">
        <v>445</v>
      </c>
    </row>
    <row r="3" spans="1:7" ht="15.95" customHeight="1">
      <c r="A3" s="154"/>
      <c r="B3" s="10" t="str">
        <f>OPYEAR</f>
        <v>OPERATING FUND 2011/2012 ACTUAL</v>
      </c>
      <c r="C3" s="11"/>
      <c r="D3" s="179"/>
      <c r="E3" s="11"/>
      <c r="F3" s="84"/>
      <c r="G3" s="84"/>
    </row>
    <row r="4" spans="1:7" ht="15.95" customHeight="1">
      <c r="B4" s="7"/>
      <c r="C4" s="7"/>
      <c r="D4" s="7"/>
      <c r="E4" s="7"/>
      <c r="F4" s="7"/>
      <c r="G4" s="7"/>
    </row>
    <row r="5" spans="1:7" ht="15.95" customHeight="1">
      <c r="B5" s="7"/>
      <c r="C5" s="7"/>
      <c r="D5" s="7"/>
      <c r="E5" s="7"/>
      <c r="F5" s="7"/>
      <c r="G5" s="7"/>
    </row>
    <row r="6" spans="1:7" ht="15.95" customHeight="1">
      <c r="B6" s="174" t="s">
        <v>35</v>
      </c>
      <c r="C6" s="186"/>
      <c r="D6" s="187"/>
      <c r="E6" s="187"/>
      <c r="F6" s="187"/>
      <c r="G6" s="188"/>
    </row>
    <row r="7" spans="1:7" ht="15.95" customHeight="1">
      <c r="B7" s="367"/>
      <c r="C7" s="359"/>
      <c r="D7" s="361" t="s">
        <v>62</v>
      </c>
      <c r="E7" s="361"/>
      <c r="F7" s="361"/>
      <c r="G7" s="359"/>
    </row>
    <row r="8" spans="1:7" ht="15.95" customHeight="1">
      <c r="A8" s="75"/>
      <c r="B8" s="345" t="s">
        <v>45</v>
      </c>
      <c r="C8" s="346"/>
      <c r="D8" s="344" t="s">
        <v>67</v>
      </c>
      <c r="E8" s="346"/>
      <c r="F8" s="344" t="s">
        <v>235</v>
      </c>
      <c r="G8" s="346"/>
    </row>
    <row r="9" spans="1:7" ht="15.95" customHeight="1">
      <c r="A9" s="42" t="s">
        <v>95</v>
      </c>
      <c r="B9" s="189" t="s">
        <v>96</v>
      </c>
      <c r="C9" s="189" t="s">
        <v>97</v>
      </c>
      <c r="D9" s="189" t="s">
        <v>96</v>
      </c>
      <c r="E9" s="189" t="s">
        <v>97</v>
      </c>
      <c r="F9" s="189" t="s">
        <v>96</v>
      </c>
      <c r="G9" s="189" t="s">
        <v>97</v>
      </c>
    </row>
    <row r="10" spans="1:7" ht="5.0999999999999996" customHeight="1">
      <c r="A10" s="5"/>
    </row>
    <row r="11" spans="1:7" ht="14.1" customHeight="1">
      <c r="A11" s="330" t="s">
        <v>238</v>
      </c>
      <c r="B11" s="331">
        <v>49264</v>
      </c>
      <c r="C11" s="337">
        <f>B11/'- 3 -'!$D11*100</f>
        <v>0.32729238037375136</v>
      </c>
      <c r="D11" s="331">
        <v>1249947</v>
      </c>
      <c r="E11" s="337">
        <f>D11/'- 3 -'!$D11*100</f>
        <v>8.3042004094476578</v>
      </c>
      <c r="F11" s="331">
        <v>234872</v>
      </c>
      <c r="G11" s="337">
        <f>F11/'- 3 -'!$D11*100</f>
        <v>1.5604054880469254</v>
      </c>
    </row>
    <row r="12" spans="1:7" ht="14.1" customHeight="1">
      <c r="A12" s="26" t="s">
        <v>239</v>
      </c>
      <c r="B12" s="27">
        <v>64178</v>
      </c>
      <c r="C12" s="79">
        <f>B12/'- 3 -'!$D12*100</f>
        <v>0.22442477905814467</v>
      </c>
      <c r="D12" s="27">
        <v>2199488</v>
      </c>
      <c r="E12" s="79">
        <f>D12/'- 3 -'!$D12*100</f>
        <v>7.6914146349378374</v>
      </c>
      <c r="F12" s="27">
        <v>433555</v>
      </c>
      <c r="G12" s="79">
        <f>F12/'- 3 -'!$D12*100</f>
        <v>1.5161034168181295</v>
      </c>
    </row>
    <row r="13" spans="1:7" ht="14.1" customHeight="1">
      <c r="A13" s="330" t="s">
        <v>240</v>
      </c>
      <c r="B13" s="331">
        <v>206692</v>
      </c>
      <c r="C13" s="337">
        <f>B13/'- 3 -'!$D13*100</f>
        <v>0.28134557374150082</v>
      </c>
      <c r="D13" s="331">
        <v>5254350</v>
      </c>
      <c r="E13" s="337">
        <f>D13/'- 3 -'!$D13*100</f>
        <v>7.1521302971989966</v>
      </c>
      <c r="F13" s="331">
        <v>305443</v>
      </c>
      <c r="G13" s="337">
        <f>F13/'- 3 -'!$D13*100</f>
        <v>0.41576372612546808</v>
      </c>
    </row>
    <row r="14" spans="1:7" ht="14.1" customHeight="1">
      <c r="A14" s="26" t="s">
        <v>653</v>
      </c>
      <c r="B14" s="27">
        <v>255054</v>
      </c>
      <c r="C14" s="79">
        <f>B14/'- 3 -'!$D14*100</f>
        <v>0.38363690687701202</v>
      </c>
      <c r="D14" s="27">
        <v>5589797</v>
      </c>
      <c r="E14" s="79">
        <f>D14/'- 3 -'!$D14*100</f>
        <v>8.4078368939534425</v>
      </c>
      <c r="F14" s="27">
        <v>760766</v>
      </c>
      <c r="G14" s="79">
        <f>F14/'- 3 -'!$D14*100</f>
        <v>1.1442985214785768</v>
      </c>
    </row>
    <row r="15" spans="1:7" ht="14.1" customHeight="1">
      <c r="A15" s="330" t="s">
        <v>241</v>
      </c>
      <c r="B15" s="331">
        <v>69414</v>
      </c>
      <c r="C15" s="337">
        <f>B15/'- 3 -'!$D15*100</f>
        <v>0.37923088366630719</v>
      </c>
      <c r="D15" s="331">
        <v>1794877</v>
      </c>
      <c r="E15" s="337">
        <f>D15/'- 3 -'!$D15*100</f>
        <v>9.8059871320242387</v>
      </c>
      <c r="F15" s="331">
        <v>253973</v>
      </c>
      <c r="G15" s="337">
        <f>F15/'- 3 -'!$D15*100</f>
        <v>1.3875357307946961</v>
      </c>
    </row>
    <row r="16" spans="1:7" ht="14.1" customHeight="1">
      <c r="A16" s="26" t="s">
        <v>242</v>
      </c>
      <c r="B16" s="27">
        <v>68130</v>
      </c>
      <c r="C16" s="79">
        <f>B16/'- 3 -'!$D16*100</f>
        <v>0.54078312826489972</v>
      </c>
      <c r="D16" s="27">
        <v>1622449</v>
      </c>
      <c r="E16" s="79">
        <f>D16/'- 3 -'!$D16*100</f>
        <v>12.878218782772031</v>
      </c>
      <c r="F16" s="27">
        <v>260102</v>
      </c>
      <c r="G16" s="79">
        <f>F16/'- 3 -'!$D16*100</f>
        <v>2.0645644096280193</v>
      </c>
    </row>
    <row r="17" spans="1:7" ht="14.1" customHeight="1">
      <c r="A17" s="330" t="s">
        <v>243</v>
      </c>
      <c r="B17" s="331">
        <v>66495</v>
      </c>
      <c r="C17" s="337">
        <f>B17/'- 3 -'!$D17*100</f>
        <v>0.41768911354366134</v>
      </c>
      <c r="D17" s="331">
        <v>1354653</v>
      </c>
      <c r="E17" s="337">
        <f>D17/'- 3 -'!$D17*100</f>
        <v>8.5092685273969693</v>
      </c>
      <c r="F17" s="331">
        <v>302521</v>
      </c>
      <c r="G17" s="337">
        <f>F17/'- 3 -'!$D17*100</f>
        <v>1.9002891693862995</v>
      </c>
    </row>
    <row r="18" spans="1:7" ht="14.1" customHeight="1">
      <c r="A18" s="26" t="s">
        <v>244</v>
      </c>
      <c r="B18" s="27">
        <v>454652</v>
      </c>
      <c r="C18" s="79">
        <f>B18/'- 3 -'!$D18*100</f>
        <v>0.41714643494865988</v>
      </c>
      <c r="D18" s="27">
        <v>14374448</v>
      </c>
      <c r="E18" s="79">
        <f>D18/'- 3 -'!$D18*100</f>
        <v>13.18865800118529</v>
      </c>
      <c r="F18" s="27">
        <v>746185</v>
      </c>
      <c r="G18" s="79">
        <f>F18/'- 3 -'!$D18*100</f>
        <v>0.68463003035764891</v>
      </c>
    </row>
    <row r="19" spans="1:7" ht="14.1" customHeight="1">
      <c r="A19" s="330" t="s">
        <v>245</v>
      </c>
      <c r="B19" s="331">
        <v>121954</v>
      </c>
      <c r="C19" s="337">
        <f>B19/'- 3 -'!$D19*100</f>
        <v>0.32850127709942267</v>
      </c>
      <c r="D19" s="331">
        <v>2938522</v>
      </c>
      <c r="E19" s="337">
        <f>D19/'- 3 -'!$D19*100</f>
        <v>7.9153470143230207</v>
      </c>
      <c r="F19" s="331">
        <v>87636</v>
      </c>
      <c r="G19" s="337">
        <f>F19/'- 3 -'!$D19*100</f>
        <v>0.23606062876072131</v>
      </c>
    </row>
    <row r="20" spans="1:7" ht="14.1" customHeight="1">
      <c r="A20" s="26" t="s">
        <v>246</v>
      </c>
      <c r="B20" s="27">
        <v>160797</v>
      </c>
      <c r="C20" s="79">
        <f>B20/'- 3 -'!$D20*100</f>
        <v>0.25586719760949383</v>
      </c>
      <c r="D20" s="27">
        <v>5047358</v>
      </c>
      <c r="E20" s="79">
        <f>D20/'- 3 -'!$D20*100</f>
        <v>8.0315761288572531</v>
      </c>
      <c r="F20" s="27">
        <v>621716</v>
      </c>
      <c r="G20" s="79">
        <f>F20/'- 3 -'!$D20*100</f>
        <v>0.98930160779731013</v>
      </c>
    </row>
    <row r="21" spans="1:7" ht="14.1" customHeight="1">
      <c r="A21" s="330" t="s">
        <v>247</v>
      </c>
      <c r="B21" s="331">
        <v>162865</v>
      </c>
      <c r="C21" s="337">
        <f>B21/'- 3 -'!$D21*100</f>
        <v>0.51792766223452369</v>
      </c>
      <c r="D21" s="331">
        <v>2468043</v>
      </c>
      <c r="E21" s="337">
        <f>D21/'- 3 -'!$D21*100</f>
        <v>7.8486337843261627</v>
      </c>
      <c r="F21" s="331">
        <v>436464</v>
      </c>
      <c r="G21" s="337">
        <f>F21/'- 3 -'!$D21*100</f>
        <v>1.3880009773096069</v>
      </c>
    </row>
    <row r="22" spans="1:7" ht="14.1" customHeight="1">
      <c r="A22" s="26" t="s">
        <v>248</v>
      </c>
      <c r="B22" s="27">
        <v>81104</v>
      </c>
      <c r="C22" s="79">
        <f>B22/'- 3 -'!$D22*100</f>
        <v>0.44521958480902257</v>
      </c>
      <c r="D22" s="27">
        <v>1987386</v>
      </c>
      <c r="E22" s="79">
        <f>D22/'- 3 -'!$D22*100</f>
        <v>10.909735275390414</v>
      </c>
      <c r="F22" s="27">
        <v>88545</v>
      </c>
      <c r="G22" s="79">
        <f>F22/'- 3 -'!$D22*100</f>
        <v>0.48606687878421417</v>
      </c>
    </row>
    <row r="23" spans="1:7" ht="14.1" customHeight="1">
      <c r="A23" s="330" t="s">
        <v>249</v>
      </c>
      <c r="B23" s="331">
        <v>57563</v>
      </c>
      <c r="C23" s="337">
        <f>B23/'- 3 -'!$D23*100</f>
        <v>0.37681745540107531</v>
      </c>
      <c r="D23" s="331">
        <v>1046701</v>
      </c>
      <c r="E23" s="337">
        <f>D23/'- 3 -'!$D23*100</f>
        <v>6.8518876254844416</v>
      </c>
      <c r="F23" s="331">
        <v>125969</v>
      </c>
      <c r="G23" s="337">
        <f>F23/'- 3 -'!$D23*100</f>
        <v>0.82461508328992672</v>
      </c>
    </row>
    <row r="24" spans="1:7" ht="14.1" customHeight="1">
      <c r="A24" s="26" t="s">
        <v>250</v>
      </c>
      <c r="B24" s="27">
        <v>195300</v>
      </c>
      <c r="C24" s="79">
        <f>B24/'- 3 -'!$D24*100</f>
        <v>0.39819928289875378</v>
      </c>
      <c r="D24" s="27">
        <v>4301229</v>
      </c>
      <c r="E24" s="79">
        <f>D24/'- 3 -'!$D24*100</f>
        <v>8.7698223419525032</v>
      </c>
      <c r="F24" s="27">
        <v>307025</v>
      </c>
      <c r="G24" s="79">
        <f>F24/'- 3 -'!$D24*100</f>
        <v>0.62599659412181197</v>
      </c>
    </row>
    <row r="25" spans="1:7" ht="14.1" customHeight="1">
      <c r="A25" s="330" t="s">
        <v>251</v>
      </c>
      <c r="B25" s="331">
        <v>539076</v>
      </c>
      <c r="C25" s="337">
        <f>B25/'- 3 -'!$D25*100</f>
        <v>0.3709404162110615</v>
      </c>
      <c r="D25" s="331">
        <v>14130523</v>
      </c>
      <c r="E25" s="337">
        <f>D25/'- 3 -'!$D25*100</f>
        <v>9.7232710840400554</v>
      </c>
      <c r="F25" s="331">
        <v>737836</v>
      </c>
      <c r="G25" s="337">
        <f>F25/'- 3 -'!$D25*100</f>
        <v>0.50770799096139463</v>
      </c>
    </row>
    <row r="26" spans="1:7" ht="14.1" customHeight="1">
      <c r="A26" s="26" t="s">
        <v>252</v>
      </c>
      <c r="B26" s="27">
        <v>134370</v>
      </c>
      <c r="C26" s="79">
        <f>B26/'- 3 -'!$D26*100</f>
        <v>0.37378764160750216</v>
      </c>
      <c r="D26" s="27">
        <v>3642846</v>
      </c>
      <c r="E26" s="79">
        <f>D26/'- 3 -'!$D26*100</f>
        <v>10.133592431936615</v>
      </c>
      <c r="F26" s="27">
        <v>218185</v>
      </c>
      <c r="G26" s="79">
        <f>F26/'- 3 -'!$D26*100</f>
        <v>0.60694244685668575</v>
      </c>
    </row>
    <row r="27" spans="1:7" ht="14.1" customHeight="1">
      <c r="A27" s="330" t="s">
        <v>253</v>
      </c>
      <c r="B27" s="331">
        <v>211018</v>
      </c>
      <c r="C27" s="337">
        <f>B27/'- 3 -'!$D27*100</f>
        <v>0.52949180900877302</v>
      </c>
      <c r="D27" s="331">
        <v>4871016</v>
      </c>
      <c r="E27" s="337">
        <f>D27/'- 3 -'!$D27*100</f>
        <v>12.222478999662007</v>
      </c>
      <c r="F27" s="331">
        <v>318051</v>
      </c>
      <c r="G27" s="337">
        <f>F27/'- 3 -'!$D27*100</f>
        <v>0.79806177362618003</v>
      </c>
    </row>
    <row r="28" spans="1:7" ht="14.1" customHeight="1">
      <c r="A28" s="26" t="s">
        <v>254</v>
      </c>
      <c r="B28" s="27">
        <v>39328</v>
      </c>
      <c r="C28" s="79">
        <f>B28/'- 3 -'!$D28*100</f>
        <v>0.15875430829151777</v>
      </c>
      <c r="D28" s="27">
        <v>2564962</v>
      </c>
      <c r="E28" s="79">
        <f>D28/'- 3 -'!$D28*100</f>
        <v>10.353914974166701</v>
      </c>
      <c r="F28" s="27">
        <v>135047</v>
      </c>
      <c r="G28" s="79">
        <f>F28/'- 3 -'!$D28*100</f>
        <v>0.54514069039474666</v>
      </c>
    </row>
    <row r="29" spans="1:7" ht="14.1" customHeight="1">
      <c r="A29" s="330" t="s">
        <v>255</v>
      </c>
      <c r="B29" s="331">
        <v>788781</v>
      </c>
      <c r="C29" s="337">
        <f>B29/'- 3 -'!$D29*100</f>
        <v>0.58476758364826198</v>
      </c>
      <c r="D29" s="331">
        <v>11712057</v>
      </c>
      <c r="E29" s="337">
        <f>D29/'- 3 -'!$D29*100</f>
        <v>8.6828045698878551</v>
      </c>
      <c r="F29" s="331">
        <v>2215594</v>
      </c>
      <c r="G29" s="337">
        <f>F29/'- 3 -'!$D29*100</f>
        <v>1.6425440644812532</v>
      </c>
    </row>
    <row r="30" spans="1:7" ht="14.1" customHeight="1">
      <c r="A30" s="26" t="s">
        <v>256</v>
      </c>
      <c r="B30" s="27">
        <v>54083</v>
      </c>
      <c r="C30" s="79">
        <f>B30/'- 3 -'!$D30*100</f>
        <v>0.4197485715137228</v>
      </c>
      <c r="D30" s="27">
        <v>1044478</v>
      </c>
      <c r="E30" s="79">
        <f>D30/'- 3 -'!$D30*100</f>
        <v>8.1063947724332994</v>
      </c>
      <c r="F30" s="27">
        <v>341827</v>
      </c>
      <c r="G30" s="79">
        <f>F30/'- 3 -'!$D30*100</f>
        <v>2.652985133125406</v>
      </c>
    </row>
    <row r="31" spans="1:7" ht="14.1" customHeight="1">
      <c r="A31" s="330" t="s">
        <v>257</v>
      </c>
      <c r="B31" s="331">
        <v>90139</v>
      </c>
      <c r="C31" s="337">
        <f>B31/'- 3 -'!$D31*100</f>
        <v>0.28127128417055741</v>
      </c>
      <c r="D31" s="331">
        <v>3261540</v>
      </c>
      <c r="E31" s="337">
        <f>D31/'- 3 -'!$D31*100</f>
        <v>10.177365448625341</v>
      </c>
      <c r="F31" s="331">
        <v>134717</v>
      </c>
      <c r="G31" s="337">
        <f>F31/'- 3 -'!$D31*100</f>
        <v>0.42037324121196129</v>
      </c>
    </row>
    <row r="32" spans="1:7" ht="14.1" customHeight="1">
      <c r="A32" s="26" t="s">
        <v>258</v>
      </c>
      <c r="B32" s="27">
        <v>77325</v>
      </c>
      <c r="C32" s="79">
        <f>B32/'- 3 -'!$D32*100</f>
        <v>0.32670459946839997</v>
      </c>
      <c r="D32" s="27">
        <v>1900803</v>
      </c>
      <c r="E32" s="79">
        <f>D32/'- 3 -'!$D32*100</f>
        <v>8.0310518303696483</v>
      </c>
      <c r="F32" s="27">
        <v>222811</v>
      </c>
      <c r="G32" s="79">
        <f>F32/'- 3 -'!$D32*100</f>
        <v>0.94139513109801043</v>
      </c>
    </row>
    <row r="33" spans="1:7" ht="14.1" customHeight="1">
      <c r="A33" s="330" t="s">
        <v>259</v>
      </c>
      <c r="B33" s="331">
        <v>70286</v>
      </c>
      <c r="C33" s="337">
        <f>B33/'- 3 -'!$D33*100</f>
        <v>0.28699075942509406</v>
      </c>
      <c r="D33" s="331">
        <v>2521873</v>
      </c>
      <c r="E33" s="337">
        <f>D33/'- 3 -'!$D33*100</f>
        <v>10.297274669829557</v>
      </c>
      <c r="F33" s="331">
        <v>267526</v>
      </c>
      <c r="G33" s="337">
        <f>F33/'- 3 -'!$D33*100</f>
        <v>1.0923582207830538</v>
      </c>
    </row>
    <row r="34" spans="1:7" ht="14.1" customHeight="1">
      <c r="A34" s="26" t="s">
        <v>260</v>
      </c>
      <c r="B34" s="27">
        <v>59099</v>
      </c>
      <c r="C34" s="79">
        <f>B34/'- 3 -'!$D34*100</f>
        <v>0.26116769300088788</v>
      </c>
      <c r="D34" s="27">
        <v>1840217</v>
      </c>
      <c r="E34" s="79">
        <f>D34/'- 3 -'!$D34*100</f>
        <v>8.1322057650893402</v>
      </c>
      <c r="F34" s="27">
        <v>252739</v>
      </c>
      <c r="G34" s="79">
        <f>F34/'- 3 -'!$D34*100</f>
        <v>1.1168930364532632</v>
      </c>
    </row>
    <row r="35" spans="1:7" ht="14.1" customHeight="1">
      <c r="A35" s="330" t="s">
        <v>261</v>
      </c>
      <c r="B35" s="331">
        <v>725389</v>
      </c>
      <c r="C35" s="337">
        <f>B35/'- 3 -'!$D35*100</f>
        <v>0.45086333402256679</v>
      </c>
      <c r="D35" s="331">
        <v>15980116</v>
      </c>
      <c r="E35" s="337">
        <f>D35/'- 3 -'!$D35*100</f>
        <v>9.9323926580460462</v>
      </c>
      <c r="F35" s="331">
        <v>671345</v>
      </c>
      <c r="G35" s="337">
        <f>F35/'- 3 -'!$D35*100</f>
        <v>0.41727244965029814</v>
      </c>
    </row>
    <row r="36" spans="1:7" ht="14.1" customHeight="1">
      <c r="A36" s="26" t="s">
        <v>262</v>
      </c>
      <c r="B36" s="27">
        <v>58219</v>
      </c>
      <c r="C36" s="79">
        <f>B36/'- 3 -'!$D36*100</f>
        <v>0.2858680316813213</v>
      </c>
      <c r="D36" s="27">
        <v>1922842</v>
      </c>
      <c r="E36" s="79">
        <f>D36/'- 3 -'!$D36*100</f>
        <v>9.4415750489389243</v>
      </c>
      <c r="F36" s="27">
        <v>108369</v>
      </c>
      <c r="G36" s="79">
        <f>F36/'- 3 -'!$D36*100</f>
        <v>0.53211550739918423</v>
      </c>
    </row>
    <row r="37" spans="1:7" ht="14.1" customHeight="1">
      <c r="A37" s="330" t="s">
        <v>263</v>
      </c>
      <c r="B37" s="331">
        <v>103793</v>
      </c>
      <c r="C37" s="337">
        <f>B37/'- 3 -'!$D37*100</f>
        <v>0.27673602980034817</v>
      </c>
      <c r="D37" s="331">
        <v>3133383</v>
      </c>
      <c r="E37" s="337">
        <f>D37/'- 3 -'!$D37*100</f>
        <v>8.3543203420645344</v>
      </c>
      <c r="F37" s="331">
        <v>214304</v>
      </c>
      <c r="G37" s="337">
        <f>F37/'- 3 -'!$D37*100</f>
        <v>0.57138379399703076</v>
      </c>
    </row>
    <row r="38" spans="1:7" ht="14.1" customHeight="1">
      <c r="A38" s="26" t="s">
        <v>264</v>
      </c>
      <c r="B38" s="27">
        <v>476235</v>
      </c>
      <c r="C38" s="79">
        <f>B38/'- 3 -'!$D38*100</f>
        <v>0.4638480536882682</v>
      </c>
      <c r="D38" s="27">
        <v>8465616</v>
      </c>
      <c r="E38" s="79">
        <f>D38/'- 3 -'!$D38*100</f>
        <v>8.2454240130865273</v>
      </c>
      <c r="F38" s="27">
        <v>399773</v>
      </c>
      <c r="G38" s="79">
        <f>F38/'- 3 -'!$D38*100</f>
        <v>0.389374842183208</v>
      </c>
    </row>
    <row r="39" spans="1:7" ht="14.1" customHeight="1">
      <c r="A39" s="330" t="s">
        <v>265</v>
      </c>
      <c r="B39" s="331">
        <v>63435</v>
      </c>
      <c r="C39" s="337">
        <f>B39/'- 3 -'!$D39*100</f>
        <v>0.3338767855447326</v>
      </c>
      <c r="D39" s="331">
        <v>1646206</v>
      </c>
      <c r="E39" s="337">
        <f>D39/'- 3 -'!$D39*100</f>
        <v>8.6644591727666427</v>
      </c>
      <c r="F39" s="331">
        <v>162329</v>
      </c>
      <c r="G39" s="337">
        <f>F39/'- 3 -'!$D39*100</f>
        <v>0.85438456247640737</v>
      </c>
    </row>
    <row r="40" spans="1:7" ht="14.1" customHeight="1">
      <c r="A40" s="26" t="s">
        <v>266</v>
      </c>
      <c r="B40" s="27">
        <v>458359</v>
      </c>
      <c r="C40" s="79">
        <f>B40/'- 3 -'!$D40*100</f>
        <v>0.50453101452562887</v>
      </c>
      <c r="D40" s="27">
        <v>7193407</v>
      </c>
      <c r="E40" s="79">
        <f>D40/'- 3 -'!$D40*100</f>
        <v>7.9180226233274791</v>
      </c>
      <c r="F40" s="27">
        <v>1150337</v>
      </c>
      <c r="G40" s="79">
        <f>F40/'- 3 -'!$D40*100</f>
        <v>1.2662142417981719</v>
      </c>
    </row>
    <row r="41" spans="1:7" ht="14.1" customHeight="1">
      <c r="A41" s="330" t="s">
        <v>267</v>
      </c>
      <c r="B41" s="331">
        <v>171794</v>
      </c>
      <c r="C41" s="337">
        <f>B41/'- 3 -'!$D41*100</f>
        <v>0.31112866226211661</v>
      </c>
      <c r="D41" s="331">
        <v>3850037</v>
      </c>
      <c r="E41" s="337">
        <f>D41/'- 3 -'!$D41*100</f>
        <v>6.9726350249115372</v>
      </c>
      <c r="F41" s="331">
        <v>471233</v>
      </c>
      <c r="G41" s="337">
        <f>F41/'- 3 -'!$D41*100</f>
        <v>0.85342964773952523</v>
      </c>
    </row>
    <row r="42" spans="1:7" ht="14.1" customHeight="1">
      <c r="A42" s="26" t="s">
        <v>268</v>
      </c>
      <c r="B42" s="27">
        <v>37131</v>
      </c>
      <c r="C42" s="79">
        <f>B42/'- 3 -'!$D42*100</f>
        <v>0.19348311395937079</v>
      </c>
      <c r="D42" s="27">
        <v>1556495</v>
      </c>
      <c r="E42" s="79">
        <f>D42/'- 3 -'!$D42*100</f>
        <v>8.1106218378764598</v>
      </c>
      <c r="F42" s="27">
        <v>128477</v>
      </c>
      <c r="G42" s="79">
        <f>F42/'- 3 -'!$D42*100</f>
        <v>0.6694710627819902</v>
      </c>
    </row>
    <row r="43" spans="1:7" ht="14.1" customHeight="1">
      <c r="A43" s="330" t="s">
        <v>269</v>
      </c>
      <c r="B43" s="331">
        <v>20874</v>
      </c>
      <c r="C43" s="337">
        <f>B43/'- 3 -'!$D43*100</f>
        <v>0.18456161620591396</v>
      </c>
      <c r="D43" s="331">
        <v>748585</v>
      </c>
      <c r="E43" s="337">
        <f>D43/'- 3 -'!$D43*100</f>
        <v>6.618762933194601</v>
      </c>
      <c r="F43" s="331">
        <v>70735</v>
      </c>
      <c r="G43" s="337">
        <f>F43/'- 3 -'!$D43*100</f>
        <v>0.62541754921554682</v>
      </c>
    </row>
    <row r="44" spans="1:7" ht="14.1" customHeight="1">
      <c r="A44" s="26" t="s">
        <v>270</v>
      </c>
      <c r="B44" s="27">
        <v>17930</v>
      </c>
      <c r="C44" s="79">
        <f>B44/'- 3 -'!$D44*100</f>
        <v>0.18524952946309561</v>
      </c>
      <c r="D44" s="27">
        <v>950883</v>
      </c>
      <c r="E44" s="79">
        <f>D44/'- 3 -'!$D44*100</f>
        <v>9.824351830700321</v>
      </c>
      <c r="F44" s="27">
        <v>88546</v>
      </c>
      <c r="G44" s="79">
        <f>F44/'- 3 -'!$D44*100</f>
        <v>0.91484131822862602</v>
      </c>
    </row>
    <row r="45" spans="1:7" ht="14.1" customHeight="1">
      <c r="A45" s="330" t="s">
        <v>271</v>
      </c>
      <c r="B45" s="331">
        <v>71696</v>
      </c>
      <c r="C45" s="337">
        <f>B45/'- 3 -'!$D45*100</f>
        <v>0.46190861365889074</v>
      </c>
      <c r="D45" s="331">
        <v>1238122</v>
      </c>
      <c r="E45" s="337">
        <f>D45/'- 3 -'!$D45*100</f>
        <v>7.976724176531091</v>
      </c>
      <c r="F45" s="331">
        <v>137114</v>
      </c>
      <c r="G45" s="337">
        <f>F45/'- 3 -'!$D45*100</f>
        <v>0.88337058766493459</v>
      </c>
    </row>
    <row r="46" spans="1:7" ht="14.1" customHeight="1">
      <c r="A46" s="26" t="s">
        <v>272</v>
      </c>
      <c r="B46" s="27">
        <v>1014979</v>
      </c>
      <c r="C46" s="79">
        <f>B46/'- 3 -'!$D46*100</f>
        <v>0.30203052388983515</v>
      </c>
      <c r="D46" s="27">
        <v>33413966</v>
      </c>
      <c r="E46" s="79">
        <f>D46/'- 3 -'!$D46*100</f>
        <v>9.9430999618880183</v>
      </c>
      <c r="F46" s="27">
        <v>3561171</v>
      </c>
      <c r="G46" s="79">
        <f>F46/'- 3 -'!$D46*100</f>
        <v>1.059708962245808</v>
      </c>
    </row>
    <row r="47" spans="1:7" ht="5.0999999999999996" customHeight="1">
      <c r="A47"/>
      <c r="B47" s="29"/>
      <c r="C47"/>
      <c r="D47" s="29"/>
      <c r="E47"/>
      <c r="F47" s="29"/>
      <c r="G47"/>
    </row>
    <row r="48" spans="1:7" ht="14.1" customHeight="1">
      <c r="A48" s="332" t="s">
        <v>273</v>
      </c>
      <c r="B48" s="333">
        <f>SUM(B11:B46)</f>
        <v>7296801</v>
      </c>
      <c r="C48" s="340">
        <f>B48/'- 3 -'!$D48*100</f>
        <v>0.37844132115120888</v>
      </c>
      <c r="D48" s="333">
        <f>SUM(D11:D46)</f>
        <v>178819221</v>
      </c>
      <c r="E48" s="340">
        <f>D48/'- 3 -'!$D48*100</f>
        <v>9.2742809133029667</v>
      </c>
      <c r="F48" s="333">
        <f>SUM(F11:F46)</f>
        <v>16972838</v>
      </c>
      <c r="G48" s="340">
        <f>F48/'- 3 -'!$D48*100</f>
        <v>0.88027934932108487</v>
      </c>
    </row>
    <row r="49" spans="1:7" ht="5.0999999999999996" customHeight="1">
      <c r="A49" s="28" t="s">
        <v>18</v>
      </c>
      <c r="B49" s="29"/>
      <c r="C49"/>
      <c r="D49" s="29"/>
      <c r="E49"/>
      <c r="F49" s="29"/>
      <c r="G49"/>
    </row>
    <row r="50" spans="1:7" ht="14.1" customHeight="1">
      <c r="A50" s="26" t="s">
        <v>274</v>
      </c>
      <c r="B50" s="27">
        <v>0</v>
      </c>
      <c r="C50" s="79">
        <f>B50/'- 3 -'!$D50*100</f>
        <v>0</v>
      </c>
      <c r="D50" s="27">
        <v>479216</v>
      </c>
      <c r="E50" s="79">
        <f>D50/'- 3 -'!$D50*100</f>
        <v>14.833951651970958</v>
      </c>
      <c r="F50" s="27">
        <v>0</v>
      </c>
      <c r="G50" s="79">
        <f>F50/'- 3 -'!$D50*100</f>
        <v>0</v>
      </c>
    </row>
    <row r="51" spans="1:7" ht="14.1" customHeight="1">
      <c r="A51" s="330" t="s">
        <v>275</v>
      </c>
      <c r="B51" s="331">
        <v>126723</v>
      </c>
      <c r="C51" s="337">
        <f>B51/'- 3 -'!$D51*100</f>
        <v>0.82402887258065916</v>
      </c>
      <c r="D51" s="331">
        <v>948659</v>
      </c>
      <c r="E51" s="337">
        <f>D51/'- 3 -'!$D51*100</f>
        <v>6.1687492107470279</v>
      </c>
      <c r="F51" s="331">
        <v>35102</v>
      </c>
      <c r="G51" s="337">
        <f>F51/'- 3 -'!$D51*100</f>
        <v>0.22825423550047191</v>
      </c>
    </row>
    <row r="52" spans="1:7"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sheetPr codeName="Sheet30">
    <pageSetUpPr fitToPage="1"/>
  </sheetPr>
  <dimension ref="A1:F52"/>
  <sheetViews>
    <sheetView showGridLines="0" showZeros="0" workbookViewId="0"/>
  </sheetViews>
  <sheetFormatPr defaultColWidth="15.83203125" defaultRowHeight="12"/>
  <cols>
    <col min="1" max="1" width="32.83203125" style="1" customWidth="1"/>
    <col min="2" max="2" width="19.83203125" style="1" customWidth="1"/>
    <col min="3" max="3" width="15.83203125" style="1" customWidth="1"/>
    <col min="4" max="4" width="19.83203125" style="1" customWidth="1"/>
    <col min="5" max="5" width="15.83203125" style="1"/>
    <col min="6" max="6" width="28.83203125" style="1" customWidth="1"/>
    <col min="7" max="16384" width="15.83203125" style="1"/>
  </cols>
  <sheetData>
    <row r="1" spans="1:6" ht="6.95" customHeight="1">
      <c r="A1" s="6"/>
      <c r="B1" s="6"/>
      <c r="C1" s="6"/>
      <c r="D1" s="7"/>
      <c r="E1" s="7"/>
      <c r="F1" s="7"/>
    </row>
    <row r="2" spans="1:6" ht="15.95" customHeight="1">
      <c r="A2" s="152"/>
      <c r="B2" s="8" t="s">
        <v>483</v>
      </c>
      <c r="C2" s="190"/>
      <c r="D2" s="178"/>
      <c r="E2" s="9"/>
      <c r="F2" s="491" t="s">
        <v>444</v>
      </c>
    </row>
    <row r="3" spans="1:6" ht="15.95" customHeight="1">
      <c r="A3" s="154"/>
      <c r="B3" s="10" t="str">
        <f>OPYEAR</f>
        <v>OPERATING FUND 2011/2012 ACTUAL</v>
      </c>
      <c r="C3" s="36"/>
      <c r="D3" s="179"/>
      <c r="E3" s="11"/>
      <c r="F3" s="74"/>
    </row>
    <row r="4" spans="1:6" ht="15.95" customHeight="1">
      <c r="D4" s="7"/>
      <c r="E4" s="7"/>
      <c r="F4" s="7"/>
    </row>
    <row r="5" spans="1:6" ht="15.95" customHeight="1">
      <c r="D5" s="7"/>
      <c r="E5" s="7"/>
      <c r="F5" s="7"/>
    </row>
    <row r="6" spans="1:6" ht="15.95" customHeight="1">
      <c r="B6" s="174" t="s">
        <v>35</v>
      </c>
      <c r="C6" s="187"/>
      <c r="D6" s="46"/>
      <c r="E6" s="191"/>
      <c r="F6" s="50"/>
    </row>
    <row r="7" spans="1:6" ht="15.95" customHeight="1">
      <c r="B7" s="420"/>
      <c r="C7" s="359"/>
      <c r="D7" s="420"/>
      <c r="E7" s="359"/>
      <c r="F7" s="7"/>
    </row>
    <row r="8" spans="1:6" ht="15.95" customHeight="1">
      <c r="A8" s="75"/>
      <c r="B8" s="345" t="s">
        <v>80</v>
      </c>
      <c r="C8" s="346"/>
      <c r="D8" s="344" t="s">
        <v>81</v>
      </c>
      <c r="E8" s="346"/>
      <c r="F8" s="7"/>
    </row>
    <row r="9" spans="1:6" ht="15.95" customHeight="1">
      <c r="A9" s="42" t="s">
        <v>95</v>
      </c>
      <c r="B9" s="189" t="s">
        <v>96</v>
      </c>
      <c r="C9" s="189" t="s">
        <v>97</v>
      </c>
      <c r="D9" s="192" t="s">
        <v>96</v>
      </c>
      <c r="E9" s="189" t="s">
        <v>97</v>
      </c>
    </row>
    <row r="10" spans="1:6" ht="5.0999999999999996" customHeight="1">
      <c r="A10" s="5"/>
    </row>
    <row r="11" spans="1:6" ht="14.1" customHeight="1">
      <c r="A11" s="330" t="s">
        <v>238</v>
      </c>
      <c r="B11" s="331">
        <v>57385</v>
      </c>
      <c r="C11" s="337">
        <f>B11/'- 3 -'!$D11*100</f>
        <v>0.38124539720176442</v>
      </c>
      <c r="D11" s="331">
        <v>13812</v>
      </c>
      <c r="E11" s="337">
        <f>D11/'- 3 -'!$D11*100</f>
        <v>9.176198355233546E-2</v>
      </c>
    </row>
    <row r="12" spans="1:6" ht="14.1" customHeight="1">
      <c r="A12" s="26" t="s">
        <v>239</v>
      </c>
      <c r="B12" s="27">
        <v>246772</v>
      </c>
      <c r="C12" s="79">
        <f>B12/'- 3 -'!$D12*100</f>
        <v>0.86293981703600109</v>
      </c>
      <c r="D12" s="27">
        <v>138370</v>
      </c>
      <c r="E12" s="79">
        <f>D12/'- 3 -'!$D12*100</f>
        <v>0.48386762875557798</v>
      </c>
    </row>
    <row r="13" spans="1:6" ht="14.1" customHeight="1">
      <c r="A13" s="330" t="s">
        <v>240</v>
      </c>
      <c r="B13" s="331">
        <v>212815</v>
      </c>
      <c r="C13" s="337">
        <f>B13/'- 3 -'!$D13*100</f>
        <v>0.28968009538732753</v>
      </c>
      <c r="D13" s="331">
        <v>128223</v>
      </c>
      <c r="E13" s="337">
        <f>D13/'- 3 -'!$D13*100</f>
        <v>0.17453492879190516</v>
      </c>
    </row>
    <row r="14" spans="1:6" ht="14.1" customHeight="1">
      <c r="A14" s="26" t="s">
        <v>653</v>
      </c>
      <c r="B14" s="27">
        <v>149389</v>
      </c>
      <c r="C14" s="79">
        <f>B14/'- 3 -'!$D14*100</f>
        <v>0.22470196068852064</v>
      </c>
      <c r="D14" s="27">
        <v>166554</v>
      </c>
      <c r="E14" s="79">
        <f>D14/'- 3 -'!$D14*100</f>
        <v>0.25052052266576436</v>
      </c>
    </row>
    <row r="15" spans="1:6" ht="14.1" customHeight="1">
      <c r="A15" s="330" t="s">
        <v>241</v>
      </c>
      <c r="B15" s="331">
        <v>99332</v>
      </c>
      <c r="C15" s="337">
        <f>B15/'- 3 -'!$D15*100</f>
        <v>0.54268248676551745</v>
      </c>
      <c r="D15" s="331">
        <v>62224</v>
      </c>
      <c r="E15" s="337">
        <f>D15/'- 3 -'!$D15*100</f>
        <v>0.33994961398640478</v>
      </c>
    </row>
    <row r="16" spans="1:6" ht="14.1" customHeight="1">
      <c r="A16" s="26" t="s">
        <v>242</v>
      </c>
      <c r="B16" s="27">
        <v>6646</v>
      </c>
      <c r="C16" s="79">
        <f>B16/'- 3 -'!$D16*100</f>
        <v>5.2752747254491764E-2</v>
      </c>
      <c r="D16" s="27">
        <v>21209</v>
      </c>
      <c r="E16" s="79">
        <f>D16/'- 3 -'!$D16*100</f>
        <v>0.16834682764377307</v>
      </c>
    </row>
    <row r="17" spans="1:5" ht="14.1" customHeight="1">
      <c r="A17" s="330" t="s">
        <v>243</v>
      </c>
      <c r="B17" s="331">
        <v>74751</v>
      </c>
      <c r="C17" s="337">
        <f>B17/'- 3 -'!$D17*100</f>
        <v>0.4695492732762197</v>
      </c>
      <c r="D17" s="331">
        <v>36835</v>
      </c>
      <c r="E17" s="337">
        <f>D17/'- 3 -'!$D17*100</f>
        <v>0.23137947962073488</v>
      </c>
    </row>
    <row r="18" spans="1:5" ht="14.1" customHeight="1">
      <c r="A18" s="26" t="s">
        <v>244</v>
      </c>
      <c r="B18" s="27">
        <v>2597179</v>
      </c>
      <c r="C18" s="79">
        <f>B18/'- 3 -'!$D18*100</f>
        <v>2.3829301548734541</v>
      </c>
      <c r="D18" s="27">
        <v>67491</v>
      </c>
      <c r="E18" s="79">
        <f>D18/'- 3 -'!$D18*100</f>
        <v>6.192347122880798E-2</v>
      </c>
    </row>
    <row r="19" spans="1:5" ht="14.1" customHeight="1">
      <c r="A19" s="330" t="s">
        <v>245</v>
      </c>
      <c r="B19" s="331">
        <v>3828</v>
      </c>
      <c r="C19" s="337">
        <f>B19/'- 3 -'!$D19*100</f>
        <v>1.0311288590260181E-2</v>
      </c>
      <c r="D19" s="331">
        <v>28072</v>
      </c>
      <c r="E19" s="337">
        <f>D19/'- 3 -'!$D19*100</f>
        <v>7.5616116328574651E-2</v>
      </c>
    </row>
    <row r="20" spans="1:5" ht="14.1" customHeight="1">
      <c r="A20" s="26" t="s">
        <v>246</v>
      </c>
      <c r="B20" s="27">
        <v>181695</v>
      </c>
      <c r="C20" s="79">
        <f>B20/'- 3 -'!$D20*100</f>
        <v>0.28912100642211597</v>
      </c>
      <c r="D20" s="27">
        <v>279516</v>
      </c>
      <c r="E20" s="79">
        <f>D20/'- 3 -'!$D20*100</f>
        <v>0.44477804689773615</v>
      </c>
    </row>
    <row r="21" spans="1:5" ht="14.1" customHeight="1">
      <c r="A21" s="330" t="s">
        <v>247</v>
      </c>
      <c r="B21" s="331">
        <v>155295</v>
      </c>
      <c r="C21" s="337">
        <f>B21/'- 3 -'!$D21*100</f>
        <v>0.4938542738262387</v>
      </c>
      <c r="D21" s="331">
        <v>122668</v>
      </c>
      <c r="E21" s="337">
        <f>D21/'- 3 -'!$D21*100</f>
        <v>0.39009701575528538</v>
      </c>
    </row>
    <row r="22" spans="1:5" ht="14.1" customHeight="1">
      <c r="A22" s="26" t="s">
        <v>248</v>
      </c>
      <c r="B22" s="27">
        <v>61423</v>
      </c>
      <c r="C22" s="79">
        <f>B22/'- 3 -'!$D22*100</f>
        <v>0.3371809350676242</v>
      </c>
      <c r="D22" s="27">
        <v>7637</v>
      </c>
      <c r="E22" s="79">
        <f>D22/'- 3 -'!$D22*100</f>
        <v>4.1923233985826903E-2</v>
      </c>
    </row>
    <row r="23" spans="1:5" ht="14.1" customHeight="1">
      <c r="A23" s="330" t="s">
        <v>249</v>
      </c>
      <c r="B23" s="331">
        <v>60759</v>
      </c>
      <c r="C23" s="337">
        <f>B23/'- 3 -'!$D23*100</f>
        <v>0.3977390298058463</v>
      </c>
      <c r="D23" s="331">
        <v>0</v>
      </c>
      <c r="E23" s="337">
        <f>D23/'- 3 -'!$D23*100</f>
        <v>0</v>
      </c>
    </row>
    <row r="24" spans="1:5" ht="14.1" customHeight="1">
      <c r="A24" s="26" t="s">
        <v>250</v>
      </c>
      <c r="B24" s="27">
        <v>151412</v>
      </c>
      <c r="C24" s="79">
        <f>B24/'- 3 -'!$D24*100</f>
        <v>0.30871556488615515</v>
      </c>
      <c r="D24" s="27">
        <v>72743</v>
      </c>
      <c r="E24" s="79">
        <f>D24/'- 3 -'!$D24*100</f>
        <v>0.14831648968716868</v>
      </c>
    </row>
    <row r="25" spans="1:5" ht="14.1" customHeight="1">
      <c r="A25" s="330" t="s">
        <v>251</v>
      </c>
      <c r="B25" s="331">
        <v>334793</v>
      </c>
      <c r="C25" s="337">
        <f>B25/'- 3 -'!$D25*100</f>
        <v>0.23037244240988264</v>
      </c>
      <c r="D25" s="331">
        <v>244446</v>
      </c>
      <c r="E25" s="337">
        <f>D25/'- 3 -'!$D25*100</f>
        <v>0.16820429954427413</v>
      </c>
    </row>
    <row r="26" spans="1:5" ht="14.1" customHeight="1">
      <c r="A26" s="26" t="s">
        <v>252</v>
      </c>
      <c r="B26" s="27">
        <v>197947</v>
      </c>
      <c r="C26" s="79">
        <f>B26/'- 3 -'!$D26*100</f>
        <v>0.55064480384967052</v>
      </c>
      <c r="D26" s="27">
        <v>37549</v>
      </c>
      <c r="E26" s="79">
        <f>D26/'- 3 -'!$D26*100</f>
        <v>0.10445301893815656</v>
      </c>
    </row>
    <row r="27" spans="1:5" ht="14.1" customHeight="1">
      <c r="A27" s="330" t="s">
        <v>253</v>
      </c>
      <c r="B27" s="331">
        <v>204556</v>
      </c>
      <c r="C27" s="337">
        <f>B27/'- 3 -'!$D27*100</f>
        <v>0.5132771919153748</v>
      </c>
      <c r="D27" s="331">
        <v>118443</v>
      </c>
      <c r="E27" s="337">
        <f>D27/'- 3 -'!$D27*100</f>
        <v>0.29720023094914227</v>
      </c>
    </row>
    <row r="28" spans="1:5" ht="14.1" customHeight="1">
      <c r="A28" s="26" t="s">
        <v>254</v>
      </c>
      <c r="B28" s="27">
        <v>77470</v>
      </c>
      <c r="C28" s="79">
        <f>B28/'- 3 -'!$D28*100</f>
        <v>0.31272112142351205</v>
      </c>
      <c r="D28" s="27">
        <v>45596</v>
      </c>
      <c r="E28" s="79">
        <f>D28/'- 3 -'!$D28*100</f>
        <v>0.18405617984286118</v>
      </c>
    </row>
    <row r="29" spans="1:5" ht="14.1" customHeight="1">
      <c r="A29" s="330" t="s">
        <v>255</v>
      </c>
      <c r="B29" s="331">
        <v>435464</v>
      </c>
      <c r="C29" s="337">
        <f>B29/'- 3 -'!$D29*100</f>
        <v>0.32283388043805161</v>
      </c>
      <c r="D29" s="331">
        <v>483764</v>
      </c>
      <c r="E29" s="337">
        <f>D29/'- 3 -'!$D29*100</f>
        <v>0.35864137870463136</v>
      </c>
    </row>
    <row r="30" spans="1:5" ht="14.1" customHeight="1">
      <c r="A30" s="26" t="s">
        <v>256</v>
      </c>
      <c r="B30" s="27">
        <v>45744</v>
      </c>
      <c r="C30" s="79">
        <f>B30/'- 3 -'!$D30*100</f>
        <v>0.35502798763610993</v>
      </c>
      <c r="D30" s="27">
        <v>20983</v>
      </c>
      <c r="E30" s="79">
        <f>D30/'- 3 -'!$D30*100</f>
        <v>0.16285310127160929</v>
      </c>
    </row>
    <row r="31" spans="1:5" ht="14.1" customHeight="1">
      <c r="A31" s="330" t="s">
        <v>257</v>
      </c>
      <c r="B31" s="331">
        <v>78507</v>
      </c>
      <c r="C31" s="337">
        <f>B31/'- 3 -'!$D31*100</f>
        <v>0.24497459153505086</v>
      </c>
      <c r="D31" s="331">
        <v>55326</v>
      </c>
      <c r="E31" s="337">
        <f>D31/'- 3 -'!$D31*100</f>
        <v>0.17264020088996171</v>
      </c>
    </row>
    <row r="32" spans="1:5" ht="14.1" customHeight="1">
      <c r="A32" s="26" t="s">
        <v>258</v>
      </c>
      <c r="B32" s="27">
        <v>80275</v>
      </c>
      <c r="C32" s="79">
        <f>B32/'- 3 -'!$D32*100</f>
        <v>0.33916859647366066</v>
      </c>
      <c r="D32" s="27">
        <v>264813</v>
      </c>
      <c r="E32" s="79">
        <f>D32/'- 3 -'!$D32*100</f>
        <v>1.1188570979505386</v>
      </c>
    </row>
    <row r="33" spans="1:5" ht="14.1" customHeight="1">
      <c r="A33" s="330" t="s">
        <v>259</v>
      </c>
      <c r="B33" s="331">
        <v>110220</v>
      </c>
      <c r="C33" s="337">
        <f>B33/'- 3 -'!$D33*100</f>
        <v>0.45004867973471058</v>
      </c>
      <c r="D33" s="331">
        <v>67815</v>
      </c>
      <c r="E33" s="337">
        <f>D33/'- 3 -'!$D33*100</f>
        <v>0.27690120863917073</v>
      </c>
    </row>
    <row r="34" spans="1:5" ht="14.1" customHeight="1">
      <c r="A34" s="26" t="s">
        <v>260</v>
      </c>
      <c r="B34" s="27">
        <v>76358</v>
      </c>
      <c r="C34" s="79">
        <f>B34/'- 3 -'!$D34*100</f>
        <v>0.33743790423123571</v>
      </c>
      <c r="D34" s="27">
        <v>90239</v>
      </c>
      <c r="E34" s="79">
        <f>D34/'- 3 -'!$D34*100</f>
        <v>0.39878020691901928</v>
      </c>
    </row>
    <row r="35" spans="1:5" ht="14.1" customHeight="1">
      <c r="A35" s="330" t="s">
        <v>261</v>
      </c>
      <c r="B35" s="331">
        <v>401378</v>
      </c>
      <c r="C35" s="337">
        <f>B35/'- 3 -'!$D35*100</f>
        <v>0.2494752791720164</v>
      </c>
      <c r="D35" s="331">
        <v>573574</v>
      </c>
      <c r="E35" s="337">
        <f>D35/'- 3 -'!$D35*100</f>
        <v>0.35650318098104561</v>
      </c>
    </row>
    <row r="36" spans="1:5" ht="14.1" customHeight="1">
      <c r="A36" s="26" t="s">
        <v>262</v>
      </c>
      <c r="B36" s="27">
        <v>61118</v>
      </c>
      <c r="C36" s="79">
        <f>B36/'- 3 -'!$D36*100</f>
        <v>0.30010275615003684</v>
      </c>
      <c r="D36" s="27">
        <v>50195</v>
      </c>
      <c r="E36" s="79">
        <f>D36/'- 3 -'!$D36*100</f>
        <v>0.24646843556646322</v>
      </c>
    </row>
    <row r="37" spans="1:5" ht="14.1" customHeight="1">
      <c r="A37" s="330" t="s">
        <v>263</v>
      </c>
      <c r="B37" s="331">
        <v>96411</v>
      </c>
      <c r="C37" s="337">
        <f>B37/'- 3 -'!$D37*100</f>
        <v>0.25705391855983895</v>
      </c>
      <c r="D37" s="331">
        <v>101611</v>
      </c>
      <c r="E37" s="337">
        <f>D37/'- 3 -'!$D37*100</f>
        <v>0.27091831553229195</v>
      </c>
    </row>
    <row r="38" spans="1:5" ht="14.1" customHeight="1">
      <c r="A38" s="26" t="s">
        <v>264</v>
      </c>
      <c r="B38" s="27">
        <v>278624</v>
      </c>
      <c r="C38" s="79">
        <f>B38/'- 3 -'!$D38*100</f>
        <v>0.27137694648826743</v>
      </c>
      <c r="D38" s="27">
        <v>614552</v>
      </c>
      <c r="E38" s="79">
        <f>D38/'- 3 -'!$D38*100</f>
        <v>0.59856740703693057</v>
      </c>
    </row>
    <row r="39" spans="1:5" ht="14.1" customHeight="1">
      <c r="A39" s="330" t="s">
        <v>265</v>
      </c>
      <c r="B39" s="331">
        <v>52956</v>
      </c>
      <c r="C39" s="337">
        <f>B39/'- 3 -'!$D39*100</f>
        <v>0.2787227722126091</v>
      </c>
      <c r="D39" s="331">
        <v>91417</v>
      </c>
      <c r="E39" s="337">
        <f>D39/'- 3 -'!$D39*100</f>
        <v>0.48115415944104706</v>
      </c>
    </row>
    <row r="40" spans="1:5" ht="14.1" customHeight="1">
      <c r="A40" s="26" t="s">
        <v>266</v>
      </c>
      <c r="B40" s="27">
        <v>445317</v>
      </c>
      <c r="C40" s="79">
        <f>B40/'- 3 -'!$D40*100</f>
        <v>0.4901752508307014</v>
      </c>
      <c r="D40" s="27">
        <v>283647</v>
      </c>
      <c r="E40" s="79">
        <f>D40/'- 3 -'!$D40*100</f>
        <v>0.31221969826522672</v>
      </c>
    </row>
    <row r="41" spans="1:5" ht="14.1" customHeight="1">
      <c r="A41" s="330" t="s">
        <v>267</v>
      </c>
      <c r="B41" s="331">
        <v>229032</v>
      </c>
      <c r="C41" s="337">
        <f>B41/'- 3 -'!$D41*100</f>
        <v>0.41478992150608918</v>
      </c>
      <c r="D41" s="331">
        <v>420462</v>
      </c>
      <c r="E41" s="337">
        <f>D41/'- 3 -'!$D41*100</f>
        <v>0.76148049170549648</v>
      </c>
    </row>
    <row r="42" spans="1:5" ht="14.1" customHeight="1">
      <c r="A42" s="26" t="s">
        <v>268</v>
      </c>
      <c r="B42" s="27">
        <v>101863</v>
      </c>
      <c r="C42" s="79">
        <f>B42/'- 3 -'!$D42*100</f>
        <v>0.53079018710089654</v>
      </c>
      <c r="D42" s="27">
        <v>92434</v>
      </c>
      <c r="E42" s="79">
        <f>D42/'- 3 -'!$D42*100</f>
        <v>0.48165732556948321</v>
      </c>
    </row>
    <row r="43" spans="1:5" ht="14.1" customHeight="1">
      <c r="A43" s="330" t="s">
        <v>269</v>
      </c>
      <c r="B43" s="331">
        <v>43658</v>
      </c>
      <c r="C43" s="337">
        <f>B43/'- 3 -'!$D43*100</f>
        <v>0.38601087670392792</v>
      </c>
      <c r="D43" s="331">
        <v>4876</v>
      </c>
      <c r="E43" s="337">
        <f>D43/'- 3 -'!$D43*100</f>
        <v>4.3112122287057415E-2</v>
      </c>
    </row>
    <row r="44" spans="1:5" ht="14.1" customHeight="1">
      <c r="A44" s="26" t="s">
        <v>270</v>
      </c>
      <c r="B44" s="27">
        <v>52858</v>
      </c>
      <c r="C44" s="79">
        <f>B44/'- 3 -'!$D44*100</f>
        <v>0.54611933231234289</v>
      </c>
      <c r="D44" s="27">
        <v>28344</v>
      </c>
      <c r="E44" s="79">
        <f>D44/'- 3 -'!$D44*100</f>
        <v>0.29284510112113676</v>
      </c>
    </row>
    <row r="45" spans="1:5" ht="14.1" customHeight="1">
      <c r="A45" s="330" t="s">
        <v>271</v>
      </c>
      <c r="B45" s="331">
        <v>39672</v>
      </c>
      <c r="C45" s="337">
        <f>B45/'- 3 -'!$D45*100</f>
        <v>0.25559080731247924</v>
      </c>
      <c r="D45" s="331">
        <v>17071</v>
      </c>
      <c r="E45" s="337">
        <f>D45/'- 3 -'!$D45*100</f>
        <v>0.10998161604233046</v>
      </c>
    </row>
    <row r="46" spans="1:5" ht="14.1" customHeight="1">
      <c r="A46" s="26" t="s">
        <v>272</v>
      </c>
      <c r="B46" s="27">
        <v>1837978</v>
      </c>
      <c r="C46" s="79">
        <f>B46/'- 3 -'!$D46*100</f>
        <v>0.54693294958614058</v>
      </c>
      <c r="D46" s="27">
        <v>900616</v>
      </c>
      <c r="E46" s="79">
        <f>D46/'- 3 -'!$D46*100</f>
        <v>0.26799916284333741</v>
      </c>
    </row>
    <row r="47" spans="1:5" ht="5.0999999999999996" customHeight="1">
      <c r="A47"/>
      <c r="B47" s="29"/>
      <c r="C47"/>
      <c r="D47" s="29"/>
      <c r="E47"/>
    </row>
    <row r="48" spans="1:5" ht="14.1" customHeight="1">
      <c r="A48" s="332" t="s">
        <v>273</v>
      </c>
      <c r="B48" s="333">
        <f>SUM(B11:B46)</f>
        <v>9340880</v>
      </c>
      <c r="C48" s="340">
        <f>B48/'- 3 -'!$D48*100</f>
        <v>0.48445544395618079</v>
      </c>
      <c r="D48" s="333">
        <f>SUM(D11:D46)</f>
        <v>5753127</v>
      </c>
      <c r="E48" s="340">
        <f>D48/'- 3 -'!$D48*100</f>
        <v>0.29838020560389283</v>
      </c>
    </row>
    <row r="49" spans="1:5" ht="5.0999999999999996" customHeight="1">
      <c r="A49" s="28" t="s">
        <v>18</v>
      </c>
      <c r="B49" s="29"/>
      <c r="C49"/>
      <c r="D49" s="29"/>
      <c r="E49"/>
    </row>
    <row r="50" spans="1:5" ht="14.1" customHeight="1">
      <c r="A50" s="26" t="s">
        <v>274</v>
      </c>
      <c r="B50" s="27">
        <v>0</v>
      </c>
      <c r="C50" s="79">
        <f>B50/'- 3 -'!$D50*100</f>
        <v>0</v>
      </c>
      <c r="D50" s="27">
        <v>4651</v>
      </c>
      <c r="E50" s="79">
        <f>D50/'- 3 -'!$D50*100</f>
        <v>0.14396996163174211</v>
      </c>
    </row>
    <row r="51" spans="1:5" ht="14.1" customHeight="1">
      <c r="A51" s="330" t="s">
        <v>275</v>
      </c>
      <c r="B51" s="331">
        <v>0</v>
      </c>
      <c r="C51" s="337">
        <f>B51/'- 3 -'!$D51*100</f>
        <v>0</v>
      </c>
      <c r="D51" s="331">
        <v>34868</v>
      </c>
      <c r="E51" s="337">
        <f>D51/'- 3 -'!$D51*100</f>
        <v>0.22673262729845747</v>
      </c>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F68"/>
  <sheetViews>
    <sheetView showGridLines="0" showZeros="0" workbookViewId="0"/>
  </sheetViews>
  <sheetFormatPr defaultColWidth="15.83203125" defaultRowHeight="12"/>
  <cols>
    <col min="1" max="1" width="40.83203125" style="1" customWidth="1"/>
    <col min="2" max="2" width="27.83203125" style="1" customWidth="1"/>
    <col min="3" max="3" width="18.83203125" style="1" customWidth="1"/>
    <col min="4" max="4" width="27.83203125" style="1" customWidth="1"/>
    <col min="5" max="5" width="18.83203125" style="1" customWidth="1"/>
    <col min="6" max="16384" width="15.83203125" style="1"/>
  </cols>
  <sheetData>
    <row r="1" spans="1:5" ht="6.95" customHeight="1">
      <c r="A1" s="6"/>
      <c r="B1" s="7"/>
      <c r="C1" s="7"/>
      <c r="D1" s="7"/>
      <c r="E1" s="7"/>
    </row>
    <row r="2" spans="1:5" ht="15.95" customHeight="1">
      <c r="A2" s="34"/>
      <c r="B2" s="686" t="s">
        <v>484</v>
      </c>
      <c r="C2" s="687"/>
      <c r="D2" s="687"/>
      <c r="E2" s="35"/>
    </row>
    <row r="3" spans="1:5" ht="15.95" customHeight="1">
      <c r="A3" s="36"/>
      <c r="B3" s="688"/>
      <c r="C3" s="688"/>
      <c r="D3" s="688"/>
      <c r="E3" s="37"/>
    </row>
    <row r="4" spans="1:5" ht="15.95" customHeight="1">
      <c r="B4" s="7"/>
      <c r="C4" s="38"/>
      <c r="D4" s="39"/>
      <c r="E4" s="38"/>
    </row>
    <row r="5" spans="1:5" ht="15.95" customHeight="1">
      <c r="B5" s="7"/>
      <c r="C5" s="7"/>
      <c r="D5" s="7"/>
      <c r="E5" s="7"/>
    </row>
    <row r="6" spans="1:5" ht="15.95" customHeight="1">
      <c r="B6" s="7"/>
      <c r="C6" s="7"/>
      <c r="D6" s="7"/>
      <c r="E6" s="7"/>
    </row>
    <row r="7" spans="1:5" ht="15.95" customHeight="1">
      <c r="B7" s="327" t="s">
        <v>706</v>
      </c>
      <c r="C7" s="328"/>
      <c r="D7" s="327" t="s">
        <v>735</v>
      </c>
      <c r="E7" s="329"/>
    </row>
    <row r="8" spans="1:5" ht="15.95" customHeight="1">
      <c r="A8" s="40"/>
      <c r="B8" s="41"/>
      <c r="C8" s="322"/>
      <c r="D8" s="41"/>
      <c r="E8" s="322"/>
    </row>
    <row r="9" spans="1:5" ht="15.95" customHeight="1">
      <c r="A9" s="42" t="s">
        <v>95</v>
      </c>
      <c r="B9" s="505" t="s">
        <v>466</v>
      </c>
      <c r="C9" s="323" t="s">
        <v>107</v>
      </c>
      <c r="D9" s="505" t="s">
        <v>466</v>
      </c>
      <c r="E9" s="323" t="s">
        <v>107</v>
      </c>
    </row>
    <row r="10" spans="1:5" ht="5.0999999999999996" customHeight="1">
      <c r="A10" s="5"/>
    </row>
    <row r="11" spans="1:5" ht="14.1" customHeight="1">
      <c r="A11" s="330" t="s">
        <v>238</v>
      </c>
      <c r="B11" s="331">
        <v>14285924</v>
      </c>
      <c r="C11" s="331">
        <v>9859</v>
      </c>
      <c r="D11" s="331">
        <f>'- 3 -'!F11</f>
        <v>15034646</v>
      </c>
      <c r="E11" s="331">
        <f>ROUND(D11/'- 7 -'!E11,0)</f>
        <v>10495</v>
      </c>
    </row>
    <row r="12" spans="1:5" ht="14.1" customHeight="1">
      <c r="A12" s="26" t="s">
        <v>239</v>
      </c>
      <c r="B12" s="44">
        <v>26638179</v>
      </c>
      <c r="C12" s="44">
        <v>11131</v>
      </c>
      <c r="D12" s="27">
        <f>'- 3 -'!F12</f>
        <v>27998560</v>
      </c>
      <c r="E12" s="27">
        <f>ROUND(D12/'- 7 -'!E12,0)</f>
        <v>11969</v>
      </c>
    </row>
    <row r="13" spans="1:5" ht="14.1" customHeight="1">
      <c r="A13" s="330" t="s">
        <v>240</v>
      </c>
      <c r="B13" s="331">
        <v>67214318</v>
      </c>
      <c r="C13" s="331">
        <v>9092</v>
      </c>
      <c r="D13" s="331">
        <f>'- 3 -'!F13</f>
        <v>73052265</v>
      </c>
      <c r="E13" s="331">
        <f>ROUND(D13/'- 7 -'!E13,0)</f>
        <v>9601</v>
      </c>
    </row>
    <row r="14" spans="1:5" ht="14.1" customHeight="1">
      <c r="A14" s="26" t="s">
        <v>653</v>
      </c>
      <c r="B14" s="27">
        <v>62914139</v>
      </c>
      <c r="C14" s="27">
        <v>12837</v>
      </c>
      <c r="D14" s="27">
        <f>'- 3 -'!F14</f>
        <v>65402802</v>
      </c>
      <c r="E14" s="27">
        <f>ROUND(D14/'- 7 -'!E14,0)</f>
        <v>13207</v>
      </c>
    </row>
    <row r="15" spans="1:5" ht="14.1" customHeight="1">
      <c r="A15" s="330" t="s">
        <v>241</v>
      </c>
      <c r="B15" s="331">
        <v>17076569</v>
      </c>
      <c r="C15" s="331">
        <v>10891</v>
      </c>
      <c r="D15" s="331">
        <f>'- 3 -'!F15</f>
        <v>17988290</v>
      </c>
      <c r="E15" s="331">
        <f>ROUND(D15/'- 7 -'!E15,0)</f>
        <v>11734</v>
      </c>
    </row>
    <row r="16" spans="1:5" ht="14.1" customHeight="1">
      <c r="A16" s="26" t="s">
        <v>242</v>
      </c>
      <c r="B16" s="44">
        <v>12348215</v>
      </c>
      <c r="C16" s="44">
        <v>12035</v>
      </c>
      <c r="D16" s="27">
        <f>'- 3 -'!F16</f>
        <v>12494013</v>
      </c>
      <c r="E16" s="27">
        <f>ROUND(D16/'- 7 -'!E16,0)</f>
        <v>12627</v>
      </c>
    </row>
    <row r="17" spans="1:5" ht="14.1" customHeight="1">
      <c r="A17" s="330" t="s">
        <v>243</v>
      </c>
      <c r="B17" s="331">
        <v>15249853</v>
      </c>
      <c r="C17" s="331">
        <v>11415</v>
      </c>
      <c r="D17" s="331">
        <f>'- 3 -'!F17</f>
        <v>15599441</v>
      </c>
      <c r="E17" s="331">
        <f>ROUND(D17/'- 7 -'!E17,0)</f>
        <v>11795</v>
      </c>
    </row>
    <row r="18" spans="1:5" ht="14.1" customHeight="1">
      <c r="A18" s="26" t="s">
        <v>244</v>
      </c>
      <c r="B18" s="27">
        <v>102874552</v>
      </c>
      <c r="C18" s="27">
        <v>17394</v>
      </c>
      <c r="D18" s="27">
        <f>'- 3 -'!F18</f>
        <v>104580620</v>
      </c>
      <c r="E18" s="27">
        <f>ROUND(D18/'- 7 -'!E18,0)</f>
        <v>18093</v>
      </c>
    </row>
    <row r="19" spans="1:5" ht="14.1" customHeight="1">
      <c r="A19" s="330" t="s">
        <v>245</v>
      </c>
      <c r="B19" s="331">
        <v>34865830</v>
      </c>
      <c r="C19" s="331">
        <v>8403</v>
      </c>
      <c r="D19" s="331">
        <f>'- 3 -'!F19</f>
        <v>37085221</v>
      </c>
      <c r="E19" s="331">
        <f>ROUND(D19/'- 7 -'!E19,0)</f>
        <v>8957</v>
      </c>
    </row>
    <row r="20" spans="1:5" ht="14.1" customHeight="1">
      <c r="A20" s="26" t="s">
        <v>246</v>
      </c>
      <c r="B20" s="44">
        <v>60530789</v>
      </c>
      <c r="C20" s="44">
        <v>8369</v>
      </c>
      <c r="D20" s="27">
        <f>'- 3 -'!F20</f>
        <v>62713376</v>
      </c>
      <c r="E20" s="27">
        <f>ROUND(D20/'- 7 -'!E20,0)</f>
        <v>8594</v>
      </c>
    </row>
    <row r="21" spans="1:5" ht="14.1" customHeight="1">
      <c r="A21" s="330" t="s">
        <v>247</v>
      </c>
      <c r="B21" s="331">
        <v>30638263</v>
      </c>
      <c r="C21" s="331">
        <v>10621</v>
      </c>
      <c r="D21" s="331">
        <f>'- 3 -'!F21</f>
        <v>31199180</v>
      </c>
      <c r="E21" s="331">
        <f>ROUND(D21/'- 7 -'!E21,0)</f>
        <v>10974</v>
      </c>
    </row>
    <row r="22" spans="1:5" ht="14.1" customHeight="1">
      <c r="A22" s="26" t="s">
        <v>248</v>
      </c>
      <c r="B22" s="27">
        <v>17305046</v>
      </c>
      <c r="C22" s="27">
        <v>10860</v>
      </c>
      <c r="D22" s="27">
        <f>'- 3 -'!F22</f>
        <v>17532329</v>
      </c>
      <c r="E22" s="27">
        <f>ROUND(D22/'- 7 -'!E22,0)</f>
        <v>11201</v>
      </c>
    </row>
    <row r="23" spans="1:5" ht="14.1" customHeight="1">
      <c r="A23" s="330" t="s">
        <v>249</v>
      </c>
      <c r="B23" s="331">
        <v>14298356</v>
      </c>
      <c r="C23" s="331">
        <v>11531</v>
      </c>
      <c r="D23" s="331">
        <f>'- 3 -'!F23</f>
        <v>14650719</v>
      </c>
      <c r="E23" s="331">
        <f>ROUND(D23/'- 7 -'!E23,0)</f>
        <v>12275</v>
      </c>
    </row>
    <row r="24" spans="1:5" ht="14.1" customHeight="1">
      <c r="A24" s="26" t="s">
        <v>250</v>
      </c>
      <c r="B24" s="44">
        <v>46297571</v>
      </c>
      <c r="C24" s="44">
        <v>10676</v>
      </c>
      <c r="D24" s="27">
        <f>'- 3 -'!F24</f>
        <v>48224596</v>
      </c>
      <c r="E24" s="27">
        <f>ROUND(D24/'- 7 -'!E24,0)</f>
        <v>11133</v>
      </c>
    </row>
    <row r="25" spans="1:5" ht="14.1" customHeight="1">
      <c r="A25" s="330" t="s">
        <v>251</v>
      </c>
      <c r="B25" s="331">
        <v>139866940</v>
      </c>
      <c r="C25" s="331">
        <v>10220</v>
      </c>
      <c r="D25" s="331">
        <f>'- 3 -'!F25</f>
        <v>144255522</v>
      </c>
      <c r="E25" s="331">
        <f>ROUND(D25/'- 7 -'!E25,0)</f>
        <v>10468</v>
      </c>
    </row>
    <row r="26" spans="1:5" ht="14.1" customHeight="1">
      <c r="A26" s="26" t="s">
        <v>252</v>
      </c>
      <c r="B26" s="27">
        <v>34672523</v>
      </c>
      <c r="C26" s="27">
        <v>11044</v>
      </c>
      <c r="D26" s="27">
        <f>'- 3 -'!F26</f>
        <v>35858061</v>
      </c>
      <c r="E26" s="27">
        <f>ROUND(D26/'- 7 -'!E26,0)</f>
        <v>11535</v>
      </c>
    </row>
    <row r="27" spans="1:5" ht="14.1" customHeight="1">
      <c r="A27" s="330" t="s">
        <v>253</v>
      </c>
      <c r="B27" s="331">
        <v>36105823</v>
      </c>
      <c r="C27" s="331">
        <v>12650</v>
      </c>
      <c r="D27" s="331">
        <f>'- 3 -'!F27</f>
        <v>39817784</v>
      </c>
      <c r="E27" s="331">
        <f>ROUND(D27/'- 7 -'!E27,0)</f>
        <v>14245</v>
      </c>
    </row>
    <row r="28" spans="1:5" ht="14.1" customHeight="1">
      <c r="A28" s="26" t="s">
        <v>254</v>
      </c>
      <c r="B28" s="44">
        <v>22046471</v>
      </c>
      <c r="C28" s="44">
        <v>11163</v>
      </c>
      <c r="D28" s="27">
        <f>'- 3 -'!F28</f>
        <v>24566886</v>
      </c>
      <c r="E28" s="27">
        <f>ROUND(D28/'- 7 -'!E28,0)</f>
        <v>12265</v>
      </c>
    </row>
    <row r="29" spans="1:5" ht="14.1" customHeight="1">
      <c r="A29" s="330" t="s">
        <v>255</v>
      </c>
      <c r="B29" s="331">
        <v>128618693</v>
      </c>
      <c r="C29" s="331">
        <v>10595</v>
      </c>
      <c r="D29" s="331">
        <f>'- 3 -'!F29</f>
        <v>134109601</v>
      </c>
      <c r="E29" s="331">
        <f>ROUND(D29/'- 7 -'!E29,0)</f>
        <v>11007</v>
      </c>
    </row>
    <row r="30" spans="1:5" ht="14.1" customHeight="1">
      <c r="A30" s="26" t="s">
        <v>256</v>
      </c>
      <c r="B30" s="27">
        <v>12056238</v>
      </c>
      <c r="C30" s="27">
        <v>10674</v>
      </c>
      <c r="D30" s="27">
        <f>'- 3 -'!F30</f>
        <v>12871111</v>
      </c>
      <c r="E30" s="27">
        <f>ROUND(D30/'- 7 -'!E30,0)</f>
        <v>11722</v>
      </c>
    </row>
    <row r="31" spans="1:5" ht="14.1" customHeight="1">
      <c r="A31" s="330" t="s">
        <v>257</v>
      </c>
      <c r="B31" s="331">
        <v>30530490</v>
      </c>
      <c r="C31" s="331">
        <v>9787</v>
      </c>
      <c r="D31" s="331">
        <f>'- 3 -'!F31</f>
        <v>32006632</v>
      </c>
      <c r="E31" s="331">
        <f>ROUND(D31/'- 7 -'!E31,0)</f>
        <v>10007</v>
      </c>
    </row>
    <row r="32" spans="1:5" ht="14.1" customHeight="1">
      <c r="A32" s="26" t="s">
        <v>258</v>
      </c>
      <c r="B32" s="44">
        <v>22680731</v>
      </c>
      <c r="C32" s="44">
        <v>11107</v>
      </c>
      <c r="D32" s="27">
        <f>'- 3 -'!F32</f>
        <v>23397232</v>
      </c>
      <c r="E32" s="27">
        <f>ROUND(D32/'- 7 -'!E32,0)</f>
        <v>11344</v>
      </c>
    </row>
    <row r="33" spans="1:6" ht="14.1" customHeight="1">
      <c r="A33" s="330" t="s">
        <v>259</v>
      </c>
      <c r="B33" s="331">
        <v>23884948</v>
      </c>
      <c r="C33" s="331">
        <v>11382</v>
      </c>
      <c r="D33" s="331">
        <f>'- 3 -'!F33</f>
        <v>24460810</v>
      </c>
      <c r="E33" s="331">
        <f>ROUND(D33/'- 7 -'!E33,0)</f>
        <v>12005</v>
      </c>
    </row>
    <row r="34" spans="1:6" ht="14.1" customHeight="1">
      <c r="A34" s="26" t="s">
        <v>260</v>
      </c>
      <c r="B34" s="27">
        <v>22090887</v>
      </c>
      <c r="C34" s="27">
        <v>10863</v>
      </c>
      <c r="D34" s="27">
        <f>'- 3 -'!F34</f>
        <v>22600297</v>
      </c>
      <c r="E34" s="27">
        <f>ROUND(D34/'- 7 -'!E34,0)</f>
        <v>11338</v>
      </c>
    </row>
    <row r="35" spans="1:6" ht="14.1" customHeight="1">
      <c r="A35" s="330" t="s">
        <v>261</v>
      </c>
      <c r="B35" s="331">
        <v>154601535</v>
      </c>
      <c r="C35" s="331">
        <v>9763</v>
      </c>
      <c r="D35" s="331">
        <f>'- 3 -'!F35</f>
        <v>158593466</v>
      </c>
      <c r="E35" s="331">
        <f>ROUND(D35/'- 7 -'!E35,0)</f>
        <v>10060</v>
      </c>
    </row>
    <row r="36" spans="1:6" ht="14.1" customHeight="1">
      <c r="A36" s="26" t="s">
        <v>262</v>
      </c>
      <c r="B36" s="44">
        <v>19670930</v>
      </c>
      <c r="C36" s="44">
        <v>11164</v>
      </c>
      <c r="D36" s="27">
        <f>'- 3 -'!F36</f>
        <v>20184974</v>
      </c>
      <c r="E36" s="27">
        <f>ROUND(D36/'- 7 -'!E36,0)</f>
        <v>12094</v>
      </c>
    </row>
    <row r="37" spans="1:6" ht="14.1" customHeight="1">
      <c r="A37" s="330" t="s">
        <v>263</v>
      </c>
      <c r="B37" s="331">
        <v>36301975</v>
      </c>
      <c r="C37" s="331">
        <v>10056</v>
      </c>
      <c r="D37" s="331">
        <f>'- 3 -'!F37</f>
        <v>37160815</v>
      </c>
      <c r="E37" s="331">
        <f>ROUND(D37/'- 7 -'!E37,0)</f>
        <v>10105</v>
      </c>
    </row>
    <row r="38" spans="1:6" ht="14.1" customHeight="1">
      <c r="A38" s="26" t="s">
        <v>264</v>
      </c>
      <c r="B38" s="27">
        <v>95371826</v>
      </c>
      <c r="C38" s="27">
        <v>9751</v>
      </c>
      <c r="D38" s="27">
        <f>'- 3 -'!F38</f>
        <v>101167066</v>
      </c>
      <c r="E38" s="27">
        <f>ROUND(D38/'- 7 -'!E38,0)</f>
        <v>9960</v>
      </c>
    </row>
    <row r="39" spans="1:6" ht="14.1" customHeight="1">
      <c r="A39" s="330" t="s">
        <v>265</v>
      </c>
      <c r="B39" s="331">
        <v>18425743</v>
      </c>
      <c r="C39" s="331">
        <v>11377</v>
      </c>
      <c r="D39" s="331">
        <f>'- 3 -'!F39</f>
        <v>18938961</v>
      </c>
      <c r="E39" s="331">
        <f>ROUND(D39/'- 7 -'!E39,0)</f>
        <v>11918</v>
      </c>
    </row>
    <row r="40" spans="1:6" ht="14.1" customHeight="1">
      <c r="A40" s="26" t="s">
        <v>266</v>
      </c>
      <c r="B40" s="44">
        <v>86579656</v>
      </c>
      <c r="C40" s="44">
        <v>10558</v>
      </c>
      <c r="D40" s="27">
        <f>'- 3 -'!F40</f>
        <v>89895034</v>
      </c>
      <c r="E40" s="27">
        <f>ROUND(D40/'- 7 -'!E40,0)</f>
        <v>10964</v>
      </c>
    </row>
    <row r="41" spans="1:6" ht="14.1" customHeight="1">
      <c r="A41" s="330" t="s">
        <v>267</v>
      </c>
      <c r="B41" s="331">
        <v>52970832</v>
      </c>
      <c r="C41" s="331">
        <v>11503</v>
      </c>
      <c r="D41" s="331">
        <f>'- 3 -'!F41</f>
        <v>53978118</v>
      </c>
      <c r="E41" s="331">
        <f>ROUND(D41/'- 7 -'!E41,0)</f>
        <v>11870</v>
      </c>
    </row>
    <row r="42" spans="1:6" ht="14.1" customHeight="1">
      <c r="A42" s="26" t="s">
        <v>268</v>
      </c>
      <c r="B42" s="27">
        <v>18497525</v>
      </c>
      <c r="C42" s="27">
        <v>11929</v>
      </c>
      <c r="D42" s="27">
        <f>'- 3 -'!F42</f>
        <v>19117727</v>
      </c>
      <c r="E42" s="27">
        <f>ROUND(D42/'- 7 -'!E42,0)</f>
        <v>13060</v>
      </c>
    </row>
    <row r="43" spans="1:6" ht="14.1" customHeight="1">
      <c r="A43" s="330" t="s">
        <v>269</v>
      </c>
      <c r="B43" s="331">
        <v>10823496</v>
      </c>
      <c r="C43" s="331">
        <v>11050</v>
      </c>
      <c r="D43" s="331">
        <f>'- 3 -'!F43</f>
        <v>11055177</v>
      </c>
      <c r="E43" s="331">
        <f>ROUND(D43/'- 7 -'!E43,0)</f>
        <v>11364</v>
      </c>
    </row>
    <row r="44" spans="1:6" ht="14.1" customHeight="1">
      <c r="A44" s="26" t="s">
        <v>270</v>
      </c>
      <c r="B44" s="44">
        <v>9022020</v>
      </c>
      <c r="C44" s="44">
        <v>12308</v>
      </c>
      <c r="D44" s="27">
        <f>'- 3 -'!F44</f>
        <v>9668287</v>
      </c>
      <c r="E44" s="27">
        <f>ROUND(D44/'- 7 -'!E44,0)</f>
        <v>13513</v>
      </c>
    </row>
    <row r="45" spans="1:6" ht="14.1" customHeight="1">
      <c r="A45" s="330" t="s">
        <v>271</v>
      </c>
      <c r="B45" s="331">
        <v>14474666</v>
      </c>
      <c r="C45" s="331">
        <v>8913</v>
      </c>
      <c r="D45" s="331">
        <f>'- 3 -'!F45</f>
        <v>15112854</v>
      </c>
      <c r="E45" s="331">
        <f>ROUND(D45/'- 7 -'!E45,0)</f>
        <v>9121</v>
      </c>
    </row>
    <row r="46" spans="1:6" ht="14.1" customHeight="1">
      <c r="A46" s="26" t="s">
        <v>272</v>
      </c>
      <c r="B46" s="27">
        <v>318597529</v>
      </c>
      <c r="C46" s="27">
        <v>10773</v>
      </c>
      <c r="D46" s="27">
        <f>'- 3 -'!F46</f>
        <v>327487923</v>
      </c>
      <c r="E46" s="27">
        <f>ROUND(D46/'- 7 -'!E46,0)</f>
        <v>10827</v>
      </c>
    </row>
    <row r="47" spans="1:6" ht="5.0999999999999996" customHeight="1">
      <c r="A47"/>
      <c r="B47"/>
      <c r="C47"/>
      <c r="D47"/>
      <c r="E47"/>
      <c r="F47"/>
    </row>
    <row r="48" spans="1:6" ht="14.1" customHeight="1">
      <c r="A48" s="332" t="s">
        <v>273</v>
      </c>
      <c r="B48" s="333">
        <f>SUM(B11:B46)</f>
        <v>1830429081</v>
      </c>
      <c r="C48" s="333">
        <v>10672</v>
      </c>
      <c r="D48" s="333">
        <f>SUM(D11:D46)</f>
        <v>1899860396</v>
      </c>
      <c r="E48" s="333">
        <f>ROUND(D48/'- 7 -'!E48,0)</f>
        <v>11030</v>
      </c>
      <c r="F48" s="324"/>
    </row>
    <row r="49" spans="1:5" ht="5.0999999999999996" customHeight="1">
      <c r="A49" s="28" t="s">
        <v>18</v>
      </c>
      <c r="B49" s="29"/>
      <c r="C49" s="29"/>
      <c r="D49" s="29"/>
      <c r="E49" s="29"/>
    </row>
    <row r="50" spans="1:5" ht="14.1" customHeight="1">
      <c r="A50" s="26" t="s">
        <v>274</v>
      </c>
      <c r="B50" s="44">
        <v>3003283</v>
      </c>
      <c r="C50" s="44">
        <v>16322</v>
      </c>
      <c r="D50" s="27">
        <f>'- 3 -'!F50</f>
        <v>3221415</v>
      </c>
      <c r="E50" s="27">
        <f>ROUND(D50/'- 7 -'!E50,0)</f>
        <v>17798</v>
      </c>
    </row>
    <row r="51" spans="1:5" ht="14.1" customHeight="1">
      <c r="A51" s="330" t="s">
        <v>275</v>
      </c>
      <c r="B51" s="331">
        <v>8247412</v>
      </c>
      <c r="C51" s="331">
        <v>13281</v>
      </c>
      <c r="D51" s="331">
        <f>'- 3 -'!F51</f>
        <v>8655836</v>
      </c>
      <c r="E51" s="331">
        <f>ROUND(D51/'- 7 -'!E51,0)</f>
        <v>13472</v>
      </c>
    </row>
    <row r="52" spans="1:5" ht="50.1" customHeight="1">
      <c r="A52" s="30"/>
      <c r="B52" s="30"/>
      <c r="C52" s="30"/>
      <c r="D52" s="30"/>
      <c r="E52" s="30"/>
    </row>
    <row r="53" spans="1:5" ht="15" customHeight="1">
      <c r="A53" s="31" t="s">
        <v>615</v>
      </c>
      <c r="B53" s="45"/>
      <c r="C53" s="45"/>
      <c r="D53" s="45"/>
      <c r="E53" s="45"/>
    </row>
    <row r="54" spans="1:5" ht="12" customHeight="1">
      <c r="A54" s="31" t="s">
        <v>425</v>
      </c>
      <c r="B54" s="45"/>
      <c r="C54" s="45"/>
      <c r="D54" s="45"/>
      <c r="E54" s="45"/>
    </row>
    <row r="55" spans="1:5" ht="12" customHeight="1">
      <c r="A55" s="31" t="s">
        <v>412</v>
      </c>
      <c r="B55" s="45"/>
      <c r="C55" s="45"/>
      <c r="D55" s="45"/>
      <c r="E55" s="45"/>
    </row>
    <row r="56" spans="1:5">
      <c r="A56" s="31"/>
    </row>
    <row r="60" spans="1:5" s="2" customFormat="1" ht="11.25"/>
    <row r="61" spans="1:5" s="2" customFormat="1" ht="11.25"/>
    <row r="62" spans="1:5" s="2" customFormat="1" ht="11.25"/>
    <row r="63" spans="1:5" s="2" customFormat="1" ht="11.25"/>
    <row r="64" spans="1:5" s="2" customFormat="1" ht="11.25"/>
    <row r="65" s="2" customFormat="1" ht="11.25"/>
    <row r="66" s="2" customFormat="1" ht="11.25"/>
    <row r="67" s="2" customFormat="1" ht="11.25"/>
    <row r="68" s="2" customFormat="1" ht="11.25"/>
  </sheetData>
  <mergeCells count="1">
    <mergeCell ref="B2:D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sheetPr codeName="Sheet31">
    <pageSetUpPr fitToPage="1"/>
  </sheetPr>
  <dimension ref="A1:G52"/>
  <sheetViews>
    <sheetView showGridLines="0" showZeros="0" workbookViewId="0"/>
  </sheetViews>
  <sheetFormatPr defaultColWidth="15.83203125" defaultRowHeight="12"/>
  <cols>
    <col min="1" max="1" width="34.83203125" style="1" customWidth="1"/>
    <col min="2" max="2" width="19.83203125" style="1" customWidth="1"/>
    <col min="3" max="3" width="12.83203125" style="1" customWidth="1"/>
    <col min="4" max="4" width="19.83203125" style="1" customWidth="1"/>
    <col min="5" max="5" width="12.83203125" style="1" customWidth="1"/>
    <col min="6" max="6" width="19.83203125" style="1" customWidth="1"/>
    <col min="7" max="7" width="12.83203125" style="1" customWidth="1"/>
    <col min="8" max="16384" width="15.83203125" style="1"/>
  </cols>
  <sheetData>
    <row r="1" spans="1:7" ht="6.95" customHeight="1">
      <c r="A1" s="6"/>
      <c r="B1" s="7"/>
      <c r="C1" s="7"/>
      <c r="D1" s="7"/>
      <c r="E1" s="7"/>
      <c r="F1" s="7"/>
      <c r="G1" s="7"/>
    </row>
    <row r="2" spans="1:7" ht="15.95" customHeight="1">
      <c r="A2" s="152"/>
      <c r="B2" s="8" t="s">
        <v>483</v>
      </c>
      <c r="C2" s="9"/>
      <c r="D2" s="9"/>
      <c r="E2" s="9"/>
      <c r="F2" s="9"/>
      <c r="G2" s="491" t="s">
        <v>458</v>
      </c>
    </row>
    <row r="3" spans="1:7" ht="15.95" customHeight="1">
      <c r="A3" s="154"/>
      <c r="B3" s="10" t="str">
        <f>OPYEAR</f>
        <v>OPERATING FUND 2011/2012 ACTUAL</v>
      </c>
      <c r="C3" s="11"/>
      <c r="D3" s="11"/>
      <c r="E3" s="11"/>
      <c r="F3" s="11"/>
      <c r="G3" s="84"/>
    </row>
    <row r="4" spans="1:7" ht="15.95" customHeight="1">
      <c r="B4" s="7"/>
      <c r="C4" s="7"/>
      <c r="D4" s="7"/>
      <c r="E4" s="7"/>
      <c r="F4" s="7"/>
      <c r="G4" s="7"/>
    </row>
    <row r="5" spans="1:7" ht="15.95" customHeight="1">
      <c r="B5" s="7"/>
      <c r="C5" s="7"/>
      <c r="D5" s="7"/>
      <c r="E5" s="7"/>
      <c r="F5" s="7"/>
      <c r="G5" s="7"/>
    </row>
    <row r="6" spans="1:7" ht="15.95" customHeight="1">
      <c r="B6" s="185" t="s">
        <v>36</v>
      </c>
      <c r="C6" s="186"/>
      <c r="D6" s="186"/>
      <c r="E6" s="186"/>
      <c r="F6" s="187"/>
      <c r="G6" s="188"/>
    </row>
    <row r="7" spans="1:7" ht="15.95" customHeight="1">
      <c r="B7" s="697" t="s">
        <v>459</v>
      </c>
      <c r="C7" s="698"/>
      <c r="D7" s="361" t="s">
        <v>461</v>
      </c>
      <c r="E7" s="361"/>
      <c r="F7" s="358" t="s">
        <v>508</v>
      </c>
      <c r="G7" s="359"/>
    </row>
    <row r="8" spans="1:7" ht="15.95" customHeight="1">
      <c r="A8" s="75"/>
      <c r="B8" s="699" t="s">
        <v>460</v>
      </c>
      <c r="C8" s="700"/>
      <c r="D8" s="345" t="s">
        <v>145</v>
      </c>
      <c r="E8" s="345"/>
      <c r="F8" s="344" t="s">
        <v>509</v>
      </c>
      <c r="G8" s="346"/>
    </row>
    <row r="9" spans="1:7" ht="15.95" customHeight="1">
      <c r="A9" s="42" t="s">
        <v>95</v>
      </c>
      <c r="B9" s="189" t="s">
        <v>96</v>
      </c>
      <c r="C9" s="189" t="s">
        <v>97</v>
      </c>
      <c r="D9" s="192" t="s">
        <v>96</v>
      </c>
      <c r="E9" s="189" t="s">
        <v>97</v>
      </c>
      <c r="F9" s="192" t="s">
        <v>96</v>
      </c>
      <c r="G9" s="189" t="s">
        <v>97</v>
      </c>
    </row>
    <row r="10" spans="1:7" ht="5.0999999999999996" customHeight="1">
      <c r="A10" s="5"/>
    </row>
    <row r="11" spans="1:7" ht="14.1" customHeight="1">
      <c r="A11" s="330" t="s">
        <v>238</v>
      </c>
      <c r="B11" s="331">
        <v>7807</v>
      </c>
      <c r="C11" s="337">
        <f>B11/'- 3 -'!$D11*100</f>
        <v>5.1866913234367422E-2</v>
      </c>
      <c r="D11" s="331">
        <v>0</v>
      </c>
      <c r="E11" s="337">
        <f>D11/'- 3 -'!$D11*100</f>
        <v>0</v>
      </c>
      <c r="F11" s="331">
        <v>247633</v>
      </c>
      <c r="G11" s="337">
        <f>F11/'- 3 -'!$D11*100</f>
        <v>1.645185003838364</v>
      </c>
    </row>
    <row r="12" spans="1:7" ht="14.1" customHeight="1">
      <c r="A12" s="26" t="s">
        <v>239</v>
      </c>
      <c r="B12" s="27">
        <v>30</v>
      </c>
      <c r="C12" s="79">
        <f>B12/'- 3 -'!$D12*100</f>
        <v>1.0490734163957026E-4</v>
      </c>
      <c r="D12" s="27">
        <v>0</v>
      </c>
      <c r="E12" s="79">
        <f>D12/'- 3 -'!$D12*100</f>
        <v>0</v>
      </c>
      <c r="F12" s="27">
        <v>466016</v>
      </c>
      <c r="G12" s="79">
        <f>F12/'- 3 -'!$D12*100</f>
        <v>1.6296166573835327</v>
      </c>
    </row>
    <row r="13" spans="1:7" ht="14.1" customHeight="1">
      <c r="A13" s="330" t="s">
        <v>240</v>
      </c>
      <c r="B13" s="331">
        <v>10830</v>
      </c>
      <c r="C13" s="337">
        <f>B13/'- 3 -'!$D13*100</f>
        <v>1.4741608594529318E-2</v>
      </c>
      <c r="D13" s="331">
        <v>0</v>
      </c>
      <c r="E13" s="337">
        <f>D13/'- 3 -'!$D13*100</f>
        <v>0</v>
      </c>
      <c r="F13" s="331">
        <v>1205102</v>
      </c>
      <c r="G13" s="337">
        <f>F13/'- 3 -'!$D13*100</f>
        <v>1.6403639889644019</v>
      </c>
    </row>
    <row r="14" spans="1:7" ht="14.1" customHeight="1">
      <c r="A14" s="26" t="s">
        <v>653</v>
      </c>
      <c r="B14" s="27">
        <v>1250</v>
      </c>
      <c r="C14" s="79">
        <f>B14/'- 3 -'!$D14*100</f>
        <v>1.8801749182379614E-3</v>
      </c>
      <c r="D14" s="27">
        <v>57</v>
      </c>
      <c r="E14" s="79">
        <f>D14/'- 3 -'!$D14*100</f>
        <v>8.573597627165105E-5</v>
      </c>
      <c r="F14" s="27">
        <v>980824</v>
      </c>
      <c r="G14" s="79">
        <f>F14/'- 3 -'!$D14*100</f>
        <v>1.4752965472046642</v>
      </c>
    </row>
    <row r="15" spans="1:7" ht="14.1" customHeight="1">
      <c r="A15" s="330" t="s">
        <v>241</v>
      </c>
      <c r="B15" s="331">
        <v>13105</v>
      </c>
      <c r="C15" s="337">
        <f>B15/'- 3 -'!$D15*100</f>
        <v>7.1596806558431383E-2</v>
      </c>
      <c r="D15" s="331">
        <v>0</v>
      </c>
      <c r="E15" s="337">
        <f>D15/'- 3 -'!$D15*100</f>
        <v>0</v>
      </c>
      <c r="F15" s="331">
        <v>282938</v>
      </c>
      <c r="G15" s="337">
        <f>F15/'- 3 -'!$D15*100</f>
        <v>1.5457807900823699</v>
      </c>
    </row>
    <row r="16" spans="1:7" ht="14.1" customHeight="1">
      <c r="A16" s="26" t="s">
        <v>242</v>
      </c>
      <c r="B16" s="27">
        <v>16273</v>
      </c>
      <c r="C16" s="79">
        <f>B16/'- 3 -'!$D16*100</f>
        <v>0.12916723684507139</v>
      </c>
      <c r="D16" s="27">
        <v>0</v>
      </c>
      <c r="E16" s="79">
        <f>D16/'- 3 -'!$D16*100</f>
        <v>0</v>
      </c>
      <c r="F16" s="27">
        <v>193207</v>
      </c>
      <c r="G16" s="79">
        <f>F16/'- 3 -'!$D16*100</f>
        <v>1.5335841165811901</v>
      </c>
    </row>
    <row r="17" spans="1:7" ht="14.1" customHeight="1">
      <c r="A17" s="330" t="s">
        <v>243</v>
      </c>
      <c r="B17" s="331">
        <v>48297</v>
      </c>
      <c r="C17" s="337">
        <f>B17/'- 3 -'!$D17*100</f>
        <v>0.3033781655285091</v>
      </c>
      <c r="D17" s="331">
        <v>0</v>
      </c>
      <c r="E17" s="337">
        <f>D17/'- 3 -'!$D17*100</f>
        <v>0</v>
      </c>
      <c r="F17" s="331">
        <v>257085</v>
      </c>
      <c r="G17" s="337">
        <f>F17/'- 3 -'!$D17*100</f>
        <v>1.6148824085325542</v>
      </c>
    </row>
    <row r="18" spans="1:7" ht="14.1" customHeight="1">
      <c r="A18" s="26" t="s">
        <v>244</v>
      </c>
      <c r="B18" s="27">
        <v>317905</v>
      </c>
      <c r="C18" s="79">
        <f>B18/'- 3 -'!$D18*100</f>
        <v>0.29168009247150289</v>
      </c>
      <c r="D18" s="27">
        <v>0</v>
      </c>
      <c r="E18" s="79">
        <f>D18/'- 3 -'!$D18*100</f>
        <v>0</v>
      </c>
      <c r="F18" s="27">
        <v>1616721</v>
      </c>
      <c r="G18" s="79">
        <f>F18/'- 3 -'!$D18*100</f>
        <v>1.4833529852648453</v>
      </c>
    </row>
    <row r="19" spans="1:7" ht="14.1" customHeight="1">
      <c r="A19" s="330" t="s">
        <v>245</v>
      </c>
      <c r="B19" s="331">
        <v>24393</v>
      </c>
      <c r="C19" s="337">
        <f>B19/'- 3 -'!$D19*100</f>
        <v>6.5706181447809972E-2</v>
      </c>
      <c r="D19" s="331">
        <v>0</v>
      </c>
      <c r="E19" s="337">
        <f>D19/'- 3 -'!$D19*100</f>
        <v>0</v>
      </c>
      <c r="F19" s="331">
        <v>621589</v>
      </c>
      <c r="G19" s="337">
        <f>F19/'- 3 -'!$D19*100</f>
        <v>1.6743426237019945</v>
      </c>
    </row>
    <row r="20" spans="1:7" ht="14.1" customHeight="1">
      <c r="A20" s="26" t="s">
        <v>246</v>
      </c>
      <c r="B20" s="27">
        <v>62622</v>
      </c>
      <c r="C20" s="79">
        <f>B20/'- 3 -'!$D20*100</f>
        <v>9.9646856898460312E-2</v>
      </c>
      <c r="D20" s="27">
        <v>0</v>
      </c>
      <c r="E20" s="79">
        <f>D20/'- 3 -'!$D20*100</f>
        <v>0</v>
      </c>
      <c r="F20" s="27">
        <v>1004345</v>
      </c>
      <c r="G20" s="79">
        <f>F20/'- 3 -'!$D20*100</f>
        <v>1.5981575563170152</v>
      </c>
    </row>
    <row r="21" spans="1:7" ht="14.1" customHeight="1">
      <c r="A21" s="330" t="s">
        <v>247</v>
      </c>
      <c r="B21" s="331">
        <v>5341</v>
      </c>
      <c r="C21" s="337">
        <f>B21/'- 3 -'!$D21*100</f>
        <v>1.6984936260059504E-2</v>
      </c>
      <c r="D21" s="331">
        <v>0</v>
      </c>
      <c r="E21" s="337">
        <f>D21/'- 3 -'!$D21*100</f>
        <v>0</v>
      </c>
      <c r="F21" s="331">
        <v>517838</v>
      </c>
      <c r="G21" s="337">
        <f>F21/'- 3 -'!$D21*100</f>
        <v>1.6467787723341496</v>
      </c>
    </row>
    <row r="22" spans="1:7" ht="14.1" customHeight="1">
      <c r="A22" s="26" t="s">
        <v>248</v>
      </c>
      <c r="B22" s="27">
        <v>18361</v>
      </c>
      <c r="C22" s="79">
        <f>B22/'- 3 -'!$D22*100</f>
        <v>0.10079252313916039</v>
      </c>
      <c r="D22" s="27">
        <v>0</v>
      </c>
      <c r="E22" s="79">
        <f>D22/'- 3 -'!$D22*100</f>
        <v>0</v>
      </c>
      <c r="F22" s="27">
        <v>311090</v>
      </c>
      <c r="G22" s="79">
        <f>F22/'- 3 -'!$D22*100</f>
        <v>1.7077253974925877</v>
      </c>
    </row>
    <row r="23" spans="1:7" ht="14.1" customHeight="1">
      <c r="A23" s="330" t="s">
        <v>249</v>
      </c>
      <c r="B23" s="331">
        <v>8260</v>
      </c>
      <c r="C23" s="337">
        <f>B23/'- 3 -'!$D23*100</f>
        <v>5.4071403186298175E-2</v>
      </c>
      <c r="D23" s="331">
        <v>0</v>
      </c>
      <c r="E23" s="337">
        <f>D23/'- 3 -'!$D23*100</f>
        <v>0</v>
      </c>
      <c r="F23" s="331">
        <v>249832</v>
      </c>
      <c r="G23" s="337">
        <f>F23/'- 3 -'!$D23*100</f>
        <v>1.6354439226197635</v>
      </c>
    </row>
    <row r="24" spans="1:7" ht="14.1" customHeight="1">
      <c r="A24" s="26" t="s">
        <v>250</v>
      </c>
      <c r="B24" s="27">
        <v>36595</v>
      </c>
      <c r="C24" s="79">
        <f>B24/'- 3 -'!$D24*100</f>
        <v>7.4613941411571405E-2</v>
      </c>
      <c r="D24" s="27">
        <v>0</v>
      </c>
      <c r="E24" s="79">
        <f>D24/'- 3 -'!$D24*100</f>
        <v>0</v>
      </c>
      <c r="F24" s="27">
        <v>822798</v>
      </c>
      <c r="G24" s="79">
        <f>F24/'- 3 -'!$D24*100</f>
        <v>1.6776117438327127</v>
      </c>
    </row>
    <row r="25" spans="1:7" ht="14.1" customHeight="1">
      <c r="A25" s="330" t="s">
        <v>251</v>
      </c>
      <c r="B25" s="331">
        <v>97305</v>
      </c>
      <c r="C25" s="337">
        <f>B25/'- 3 -'!$D25*100</f>
        <v>6.695597132763717E-2</v>
      </c>
      <c r="D25" s="331">
        <v>0</v>
      </c>
      <c r="E25" s="337">
        <f>D25/'- 3 -'!$D25*100</f>
        <v>0</v>
      </c>
      <c r="F25" s="331">
        <v>2461903</v>
      </c>
      <c r="G25" s="337">
        <f>F25/'- 3 -'!$D25*100</f>
        <v>1.6940455955955391</v>
      </c>
    </row>
    <row r="26" spans="1:7" ht="14.1" customHeight="1">
      <c r="A26" s="26" t="s">
        <v>252</v>
      </c>
      <c r="B26" s="27">
        <v>103002</v>
      </c>
      <c r="C26" s="79">
        <f>B26/'- 3 -'!$D26*100</f>
        <v>0.28652879854771107</v>
      </c>
      <c r="D26" s="27">
        <v>8354</v>
      </c>
      <c r="E26" s="79">
        <f>D26/'- 3 -'!$D26*100</f>
        <v>2.3238981602955074E-2</v>
      </c>
      <c r="F26" s="27">
        <v>541483</v>
      </c>
      <c r="G26" s="79">
        <f>F26/'- 3 -'!$D26*100</f>
        <v>1.5062860276888821</v>
      </c>
    </row>
    <row r="27" spans="1:7" ht="14.1" customHeight="1">
      <c r="A27" s="330" t="s">
        <v>253</v>
      </c>
      <c r="B27" s="331">
        <v>1256</v>
      </c>
      <c r="C27" s="337">
        <f>B27/'- 3 -'!$D27*100</f>
        <v>3.1515875997072235E-3</v>
      </c>
      <c r="D27" s="331">
        <v>5000</v>
      </c>
      <c r="E27" s="337">
        <f>D27/'- 3 -'!$D27*100</f>
        <v>1.2546128979726208E-2</v>
      </c>
      <c r="F27" s="331">
        <v>599920</v>
      </c>
      <c r="G27" s="337">
        <f>F27/'- 3 -'!$D27*100</f>
        <v>1.5053347395034695</v>
      </c>
    </row>
    <row r="28" spans="1:7" ht="14.1" customHeight="1">
      <c r="A28" s="26" t="s">
        <v>254</v>
      </c>
      <c r="B28" s="27">
        <v>38861</v>
      </c>
      <c r="C28" s="79">
        <f>B28/'- 3 -'!$D28*100</f>
        <v>0.15686918161403254</v>
      </c>
      <c r="D28" s="27">
        <v>0</v>
      </c>
      <c r="E28" s="79">
        <f>D28/'- 3 -'!$D28*100</f>
        <v>0</v>
      </c>
      <c r="F28" s="27">
        <v>378492</v>
      </c>
      <c r="G28" s="79">
        <f>F28/'- 3 -'!$D28*100</f>
        <v>1.5278487503527549</v>
      </c>
    </row>
    <row r="29" spans="1:7" ht="14.1" customHeight="1">
      <c r="A29" s="330" t="s">
        <v>255</v>
      </c>
      <c r="B29" s="331">
        <v>84391</v>
      </c>
      <c r="C29" s="337">
        <f>B29/'- 3 -'!$D29*100</f>
        <v>6.2563780252897161E-2</v>
      </c>
      <c r="D29" s="331">
        <v>0</v>
      </c>
      <c r="E29" s="337">
        <f>D29/'- 3 -'!$D29*100</f>
        <v>0</v>
      </c>
      <c r="F29" s="331">
        <v>2311629</v>
      </c>
      <c r="G29" s="337">
        <f>F29/'- 3 -'!$D29*100</f>
        <v>1.7137401948338615</v>
      </c>
    </row>
    <row r="30" spans="1:7" ht="14.1" customHeight="1">
      <c r="A30" s="26" t="s">
        <v>256</v>
      </c>
      <c r="B30" s="27">
        <v>408</v>
      </c>
      <c r="C30" s="79">
        <f>B30/'- 3 -'!$D30*100</f>
        <v>3.166566521413363E-3</v>
      </c>
      <c r="D30" s="27">
        <v>0</v>
      </c>
      <c r="E30" s="79">
        <f>D30/'- 3 -'!$D30*100</f>
        <v>0</v>
      </c>
      <c r="F30" s="27">
        <v>251562</v>
      </c>
      <c r="G30" s="79">
        <f>F30/'- 3 -'!$D30*100</f>
        <v>1.9524210962249715</v>
      </c>
    </row>
    <row r="31" spans="1:7" ht="14.1" customHeight="1">
      <c r="A31" s="330" t="s">
        <v>257</v>
      </c>
      <c r="B31" s="331">
        <v>19655</v>
      </c>
      <c r="C31" s="337">
        <f>B31/'- 3 -'!$D31*100</f>
        <v>6.1331799669092246E-2</v>
      </c>
      <c r="D31" s="331">
        <v>0</v>
      </c>
      <c r="E31" s="337">
        <f>D31/'- 3 -'!$D31*100</f>
        <v>0</v>
      </c>
      <c r="F31" s="331">
        <v>555941</v>
      </c>
      <c r="G31" s="337">
        <f>F31/'- 3 -'!$D31*100</f>
        <v>1.7347678473586776</v>
      </c>
    </row>
    <row r="32" spans="1:7" ht="14.1" customHeight="1">
      <c r="A32" s="26" t="s">
        <v>258</v>
      </c>
      <c r="B32" s="27">
        <v>15542</v>
      </c>
      <c r="C32" s="79">
        <f>B32/'- 3 -'!$D32*100</f>
        <v>6.5666251340935955E-2</v>
      </c>
      <c r="D32" s="27">
        <v>0</v>
      </c>
      <c r="E32" s="79">
        <f>D32/'- 3 -'!$D32*100</f>
        <v>0</v>
      </c>
      <c r="F32" s="27">
        <v>390573</v>
      </c>
      <c r="G32" s="79">
        <f>F32/'- 3 -'!$D32*100</f>
        <v>1.650203627910396</v>
      </c>
    </row>
    <row r="33" spans="1:7" ht="14.1" customHeight="1">
      <c r="A33" s="330" t="s">
        <v>259</v>
      </c>
      <c r="B33" s="331">
        <v>25876</v>
      </c>
      <c r="C33" s="337">
        <f>B33/'- 3 -'!$D33*100</f>
        <v>0.10565650187638695</v>
      </c>
      <c r="D33" s="331">
        <v>0</v>
      </c>
      <c r="E33" s="337">
        <f>D33/'- 3 -'!$D33*100</f>
        <v>0</v>
      </c>
      <c r="F33" s="331">
        <v>371079</v>
      </c>
      <c r="G33" s="337">
        <f>F33/'- 3 -'!$D33*100</f>
        <v>1.5151843043665094</v>
      </c>
    </row>
    <row r="34" spans="1:7" ht="14.1" customHeight="1">
      <c r="A34" s="26" t="s">
        <v>260</v>
      </c>
      <c r="B34" s="27">
        <v>23048</v>
      </c>
      <c r="C34" s="79">
        <f>B34/'- 3 -'!$D34*100</f>
        <v>0.10185270458526312</v>
      </c>
      <c r="D34" s="27">
        <v>280</v>
      </c>
      <c r="E34" s="79">
        <f>D34/'- 3 -'!$D34*100</f>
        <v>1.2373636447359281E-3</v>
      </c>
      <c r="F34" s="27">
        <v>366059</v>
      </c>
      <c r="G34" s="79">
        <f>F34/'- 3 -'!$D34*100</f>
        <v>1.6176717801013893</v>
      </c>
    </row>
    <row r="35" spans="1:7" ht="14.1" customHeight="1">
      <c r="A35" s="330" t="s">
        <v>261</v>
      </c>
      <c r="B35" s="331">
        <v>17950</v>
      </c>
      <c r="C35" s="337">
        <f>B35/'- 3 -'!$D35*100</f>
        <v>1.115676808678526E-2</v>
      </c>
      <c r="D35" s="331">
        <v>0</v>
      </c>
      <c r="E35" s="337">
        <f>D35/'- 3 -'!$D35*100</f>
        <v>0</v>
      </c>
      <c r="F35" s="331">
        <v>2764627</v>
      </c>
      <c r="G35" s="337">
        <f>F35/'- 3 -'!$D35*100</f>
        <v>1.71834553122367</v>
      </c>
    </row>
    <row r="36" spans="1:7" ht="14.1" customHeight="1">
      <c r="A36" s="26" t="s">
        <v>262</v>
      </c>
      <c r="B36" s="27">
        <v>26694</v>
      </c>
      <c r="C36" s="79">
        <f>B36/'- 3 -'!$D36*100</f>
        <v>0.13107338218968362</v>
      </c>
      <c r="D36" s="27">
        <v>0</v>
      </c>
      <c r="E36" s="79">
        <f>D36/'- 3 -'!$D36*100</f>
        <v>0</v>
      </c>
      <c r="F36" s="27">
        <v>321172</v>
      </c>
      <c r="G36" s="79">
        <f>F36/'- 3 -'!$D36*100</f>
        <v>1.5770248109921732</v>
      </c>
    </row>
    <row r="37" spans="1:7" ht="14.1" customHeight="1">
      <c r="A37" s="330" t="s">
        <v>263</v>
      </c>
      <c r="B37" s="331">
        <v>37549</v>
      </c>
      <c r="C37" s="337">
        <f>B37/'- 3 -'!$D37*100</f>
        <v>0.10011427729204544</v>
      </c>
      <c r="D37" s="331">
        <v>0</v>
      </c>
      <c r="E37" s="337">
        <f>D37/'- 3 -'!$D37*100</f>
        <v>0</v>
      </c>
      <c r="F37" s="331">
        <v>642352</v>
      </c>
      <c r="G37" s="337">
        <f>F37/'- 3 -'!$D37*100</f>
        <v>1.7126582930863665</v>
      </c>
    </row>
    <row r="38" spans="1:7" ht="14.1" customHeight="1">
      <c r="A38" s="26" t="s">
        <v>264</v>
      </c>
      <c r="B38" s="27">
        <v>19922</v>
      </c>
      <c r="C38" s="79">
        <f>B38/'- 3 -'!$D38*100</f>
        <v>1.9403825686011487E-2</v>
      </c>
      <c r="D38" s="27">
        <v>0</v>
      </c>
      <c r="E38" s="79">
        <f>D38/'- 3 -'!$D38*100</f>
        <v>0</v>
      </c>
      <c r="F38" s="27">
        <v>1655613</v>
      </c>
      <c r="G38" s="79">
        <f>F38/'- 3 -'!$D38*100</f>
        <v>1.6125502487448313</v>
      </c>
    </row>
    <row r="39" spans="1:7" ht="14.1" customHeight="1">
      <c r="A39" s="330" t="s">
        <v>265</v>
      </c>
      <c r="B39" s="331">
        <v>112393</v>
      </c>
      <c r="C39" s="337">
        <f>B39/'- 3 -'!$D39*100</f>
        <v>0.59155692532086601</v>
      </c>
      <c r="D39" s="331">
        <v>0</v>
      </c>
      <c r="E39" s="337">
        <f>D39/'- 3 -'!$D39*100</f>
        <v>0</v>
      </c>
      <c r="F39" s="331">
        <v>303282</v>
      </c>
      <c r="G39" s="337">
        <f>F39/'- 3 -'!$D39*100</f>
        <v>1.5962610431713973</v>
      </c>
    </row>
    <row r="40" spans="1:7" ht="14.1" customHeight="1">
      <c r="A40" s="26" t="s">
        <v>266</v>
      </c>
      <c r="B40" s="27">
        <v>9529</v>
      </c>
      <c r="C40" s="79">
        <f>B40/'- 3 -'!$D40*100</f>
        <v>1.0488887613016692E-2</v>
      </c>
      <c r="D40" s="27">
        <v>0</v>
      </c>
      <c r="E40" s="79">
        <f>D40/'- 3 -'!$D40*100</f>
        <v>0</v>
      </c>
      <c r="F40" s="27">
        <v>1578709</v>
      </c>
      <c r="G40" s="79">
        <f>F40/'- 3 -'!$D40*100</f>
        <v>1.7377375668651451</v>
      </c>
    </row>
    <row r="41" spans="1:7" ht="14.1" customHeight="1">
      <c r="A41" s="330" t="s">
        <v>267</v>
      </c>
      <c r="B41" s="331">
        <v>74047</v>
      </c>
      <c r="C41" s="337">
        <f>B41/'- 3 -'!$D41*100</f>
        <v>0.13410331009536391</v>
      </c>
      <c r="D41" s="331">
        <v>6002</v>
      </c>
      <c r="E41" s="337">
        <f>D41/'- 3 -'!$D41*100</f>
        <v>1.086996187816352E-2</v>
      </c>
      <c r="F41" s="331">
        <v>915412</v>
      </c>
      <c r="G41" s="337">
        <f>F41/'- 3 -'!$D41*100</f>
        <v>1.6578629694790779</v>
      </c>
    </row>
    <row r="42" spans="1:7" ht="14.1" customHeight="1">
      <c r="A42" s="26" t="s">
        <v>268</v>
      </c>
      <c r="B42" s="27">
        <v>0</v>
      </c>
      <c r="C42" s="79">
        <f>B42/'- 3 -'!$D42*100</f>
        <v>0</v>
      </c>
      <c r="D42" s="27">
        <v>0</v>
      </c>
      <c r="E42" s="79">
        <f>D42/'- 3 -'!$D42*100</f>
        <v>0</v>
      </c>
      <c r="F42" s="27">
        <v>305362</v>
      </c>
      <c r="G42" s="79">
        <f>F42/'- 3 -'!$D42*100</f>
        <v>1.5911877042056872</v>
      </c>
    </row>
    <row r="43" spans="1:7" ht="14.1" customHeight="1">
      <c r="A43" s="330" t="s">
        <v>269</v>
      </c>
      <c r="B43" s="331">
        <v>16695</v>
      </c>
      <c r="C43" s="337">
        <f>B43/'- 3 -'!$D43*100</f>
        <v>0.14761215783068571</v>
      </c>
      <c r="D43" s="331">
        <v>13</v>
      </c>
      <c r="E43" s="337">
        <f>D43/'- 3 -'!$D43*100</f>
        <v>1.1494208156926711E-4</v>
      </c>
      <c r="F43" s="331">
        <v>193637</v>
      </c>
      <c r="G43" s="337">
        <f>F43/'- 3 -'!$D43*100</f>
        <v>1.712079988371398</v>
      </c>
    </row>
    <row r="44" spans="1:7" ht="14.1" customHeight="1">
      <c r="A44" s="26" t="s">
        <v>270</v>
      </c>
      <c r="B44" s="27">
        <v>960</v>
      </c>
      <c r="C44" s="79">
        <f>B44/'- 3 -'!$D44*100</f>
        <v>9.9185470320452759E-3</v>
      </c>
      <c r="D44" s="27">
        <v>0</v>
      </c>
      <c r="E44" s="79">
        <f>D44/'- 3 -'!$D44*100</f>
        <v>0</v>
      </c>
      <c r="F44" s="27">
        <v>148264</v>
      </c>
      <c r="G44" s="79">
        <f>F44/'- 3 -'!$D44*100</f>
        <v>1.5318369345407925</v>
      </c>
    </row>
    <row r="45" spans="1:7" ht="14.1" customHeight="1">
      <c r="A45" s="330" t="s">
        <v>271</v>
      </c>
      <c r="B45" s="331">
        <v>17780</v>
      </c>
      <c r="C45" s="337">
        <f>B45/'- 3 -'!$D45*100</f>
        <v>0.11454941908690969</v>
      </c>
      <c r="D45" s="331">
        <v>0</v>
      </c>
      <c r="E45" s="337">
        <f>D45/'- 3 -'!$D45*100</f>
        <v>0</v>
      </c>
      <c r="F45" s="331">
        <v>265500</v>
      </c>
      <c r="G45" s="337">
        <f>F45/'- 3 -'!$D45*100</f>
        <v>1.7105101669052041</v>
      </c>
    </row>
    <row r="46" spans="1:7" ht="14.1" customHeight="1">
      <c r="A46" s="26" t="s">
        <v>272</v>
      </c>
      <c r="B46" s="27">
        <v>337310</v>
      </c>
      <c r="C46" s="79">
        <f>B46/'- 3 -'!$D46*100</f>
        <v>0.10037440775945146</v>
      </c>
      <c r="D46" s="27">
        <v>486390</v>
      </c>
      <c r="E46" s="79">
        <f>D46/'- 3 -'!$D46*100</f>
        <v>0.14473661673273722</v>
      </c>
      <c r="F46" s="27">
        <v>5838314</v>
      </c>
      <c r="G46" s="79">
        <f>F46/'- 3 -'!$D46*100</f>
        <v>1.7373256353612823</v>
      </c>
    </row>
    <row r="47" spans="1:7" ht="5.0999999999999996" customHeight="1">
      <c r="A47"/>
      <c r="B47" s="29"/>
      <c r="C47"/>
      <c r="D47" s="29"/>
      <c r="E47"/>
      <c r="F47" s="29"/>
      <c r="G47"/>
    </row>
    <row r="48" spans="1:7" ht="14.1" customHeight="1">
      <c r="A48" s="332" t="s">
        <v>273</v>
      </c>
      <c r="B48" s="333">
        <f>SUM(B11:B46)</f>
        <v>1651242</v>
      </c>
      <c r="C48" s="340">
        <f>B48/'- 3 -'!$D48*100</f>
        <v>8.5640022801822938E-2</v>
      </c>
      <c r="D48" s="333">
        <f>SUM(D11:D46)</f>
        <v>506096</v>
      </c>
      <c r="E48" s="340">
        <f>D48/'- 3 -'!$F48*100</f>
        <v>2.663858887029508E-2</v>
      </c>
      <c r="F48" s="333">
        <f>SUM(F11:F46)</f>
        <v>31937903</v>
      </c>
      <c r="G48" s="340">
        <f>F48/'- 3 -'!$D48*100</f>
        <v>1.6564275503908024</v>
      </c>
    </row>
    <row r="49" spans="1:7" ht="5.0999999999999996" customHeight="1">
      <c r="A49" s="28" t="s">
        <v>18</v>
      </c>
      <c r="B49" s="29"/>
      <c r="C49"/>
      <c r="D49" s="29"/>
      <c r="E49"/>
      <c r="F49" s="29"/>
      <c r="G49"/>
    </row>
    <row r="50" spans="1:7" ht="14.1" customHeight="1">
      <c r="A50" s="26" t="s">
        <v>274</v>
      </c>
      <c r="B50" s="27">
        <v>0</v>
      </c>
      <c r="C50" s="79">
        <f>B50/'- 3 -'!$D50*100</f>
        <v>0</v>
      </c>
      <c r="D50" s="27">
        <v>0</v>
      </c>
      <c r="E50" s="79">
        <f>D50/'- 3 -'!$D50*100</f>
        <v>0</v>
      </c>
      <c r="F50" s="27">
        <v>51589</v>
      </c>
      <c r="G50" s="79">
        <f>F50/'- 3 -'!$D50*100</f>
        <v>1.5969181575188012</v>
      </c>
    </row>
    <row r="51" spans="1:7" ht="14.1" customHeight="1">
      <c r="A51" s="330" t="s">
        <v>275</v>
      </c>
      <c r="B51" s="331">
        <v>12198</v>
      </c>
      <c r="C51" s="337">
        <f>B51/'- 3 -'!$D51*100</f>
        <v>7.9318704479367452E-2</v>
      </c>
      <c r="D51" s="331">
        <v>0</v>
      </c>
      <c r="E51" s="337">
        <f>D51/'- 3 -'!$D51*100</f>
        <v>0</v>
      </c>
      <c r="F51" s="331">
        <v>116416</v>
      </c>
      <c r="G51" s="337">
        <f>F51/'- 3 -'!$D51*100</f>
        <v>0.75700658310133151</v>
      </c>
    </row>
    <row r="52" spans="1:7" ht="50.1" customHeight="1"/>
  </sheetData>
  <mergeCells count="2">
    <mergeCell ref="B7:C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sheetPr codeName="Sheet32">
    <pageSetUpPr fitToPage="1"/>
  </sheetPr>
  <dimension ref="A1:H52"/>
  <sheetViews>
    <sheetView showGridLines="0" showZeros="0" workbookViewId="0"/>
  </sheetViews>
  <sheetFormatPr defaultColWidth="15.83203125" defaultRowHeight="12"/>
  <cols>
    <col min="1" max="1" width="32.83203125" style="1" customWidth="1"/>
    <col min="2" max="2" width="16.83203125" style="1" customWidth="1"/>
    <col min="3" max="3" width="17.83203125" style="1" customWidth="1"/>
    <col min="4" max="4" width="10.83203125" style="1" customWidth="1"/>
    <col min="5" max="5" width="15.83203125" style="1" customWidth="1"/>
    <col min="6" max="6" width="11.83203125" style="1" customWidth="1"/>
    <col min="7" max="7" width="14.83203125" style="1" customWidth="1"/>
    <col min="8" max="8" width="11.83203125" style="1" customWidth="1"/>
    <col min="9" max="16384" width="15.83203125" style="1"/>
  </cols>
  <sheetData>
    <row r="1" spans="1:8" ht="6.95" customHeight="1">
      <c r="A1" s="6"/>
      <c r="B1" s="7"/>
      <c r="C1" s="7"/>
      <c r="D1" s="7"/>
      <c r="E1" s="7"/>
      <c r="F1" s="7"/>
      <c r="G1" s="7"/>
      <c r="H1" s="7"/>
    </row>
    <row r="2" spans="1:8" ht="15.95" customHeight="1">
      <c r="A2" s="152"/>
      <c r="B2" s="8" t="s">
        <v>487</v>
      </c>
      <c r="C2" s="9"/>
      <c r="D2" s="9"/>
      <c r="E2" s="9"/>
      <c r="F2" s="82"/>
      <c r="G2" s="82"/>
      <c r="H2" s="82"/>
    </row>
    <row r="3" spans="1:8" ht="15.95" customHeight="1">
      <c r="A3" s="154"/>
      <c r="B3" s="10" t="str">
        <f>OPYEAR</f>
        <v>OPERATING FUND 2011/2012 ACTUAL</v>
      </c>
      <c r="C3" s="11"/>
      <c r="D3" s="11"/>
      <c r="E3" s="11"/>
      <c r="F3" s="84"/>
      <c r="G3" s="84"/>
      <c r="H3" s="84"/>
    </row>
    <row r="4" spans="1:8" ht="15.95" customHeight="1">
      <c r="B4" s="7"/>
      <c r="C4" s="7"/>
      <c r="D4" s="7"/>
      <c r="E4" s="7"/>
      <c r="F4" s="7"/>
      <c r="G4" s="7"/>
      <c r="H4" s="7"/>
    </row>
    <row r="5" spans="1:8" ht="15.95" customHeight="1">
      <c r="B5" s="7"/>
      <c r="C5" s="7"/>
      <c r="D5" s="7"/>
      <c r="E5" s="7"/>
      <c r="F5" s="7"/>
      <c r="G5" s="7"/>
      <c r="H5" s="7"/>
    </row>
    <row r="6" spans="1:8" ht="15.95" customHeight="1">
      <c r="B6" s="358" t="s">
        <v>40</v>
      </c>
      <c r="C6" s="361"/>
      <c r="D6" s="365"/>
      <c r="E6" s="365"/>
      <c r="F6" s="365"/>
      <c r="G6" s="365"/>
      <c r="H6" s="355"/>
    </row>
    <row r="7" spans="1:8" ht="15.95" customHeight="1">
      <c r="B7" s="344" t="s">
        <v>70</v>
      </c>
      <c r="C7" s="345"/>
      <c r="D7" s="357"/>
      <c r="E7" s="357"/>
      <c r="F7" s="357"/>
      <c r="G7" s="357"/>
      <c r="H7" s="366"/>
    </row>
    <row r="8" spans="1:8" ht="15.95" customHeight="1">
      <c r="A8" s="75"/>
      <c r="B8" s="38"/>
      <c r="C8" s="85" t="s">
        <v>202</v>
      </c>
      <c r="D8" s="86" t="s">
        <v>75</v>
      </c>
      <c r="E8" s="183" t="s">
        <v>87</v>
      </c>
      <c r="F8" s="183" t="s">
        <v>88</v>
      </c>
      <c r="G8" s="183" t="s">
        <v>89</v>
      </c>
      <c r="H8" s="183" t="s">
        <v>88</v>
      </c>
    </row>
    <row r="9" spans="1:8" ht="15.95" customHeight="1">
      <c r="A9" s="42" t="s">
        <v>95</v>
      </c>
      <c r="B9" s="87" t="s">
        <v>96</v>
      </c>
      <c r="C9" s="87" t="s">
        <v>102</v>
      </c>
      <c r="D9" s="87" t="s">
        <v>98</v>
      </c>
      <c r="E9" s="87" t="s">
        <v>103</v>
      </c>
      <c r="F9" s="87" t="s">
        <v>104</v>
      </c>
      <c r="G9" s="87" t="s">
        <v>105</v>
      </c>
      <c r="H9" s="87" t="s">
        <v>104</v>
      </c>
    </row>
    <row r="10" spans="1:8" ht="5.0999999999999996" customHeight="1">
      <c r="A10" s="5"/>
    </row>
    <row r="11" spans="1:8" ht="14.1" customHeight="1">
      <c r="A11" s="330" t="s">
        <v>238</v>
      </c>
      <c r="B11" s="331">
        <f>'- 30 -'!$D11</f>
        <v>880289</v>
      </c>
      <c r="C11" s="331">
        <v>667</v>
      </c>
      <c r="D11" s="331">
        <f ca="1">IF(AND(CELL("type",C11)="v",C11&gt;0),B11/C11,"")</f>
        <v>1319.7736131934032</v>
      </c>
      <c r="E11" s="331">
        <v>611326</v>
      </c>
      <c r="F11" s="421">
        <f ca="1">IF(AND(CELL("type",E11)="v",E11&gt;0),B11/E11,"")</f>
        <v>1.4399665644844157</v>
      </c>
      <c r="G11" s="331">
        <v>398184</v>
      </c>
      <c r="H11" s="421">
        <f ca="1">IF(AND(CELL("type",G11)="v",G11&gt;0),B11/G11,"")</f>
        <v>2.2107593474373655</v>
      </c>
    </row>
    <row r="12" spans="1:8" ht="14.1" customHeight="1">
      <c r="A12" s="26" t="s">
        <v>239</v>
      </c>
      <c r="B12" s="27">
        <f>'- 30 -'!$D12</f>
        <v>1890798</v>
      </c>
      <c r="C12" s="27">
        <v>1620</v>
      </c>
      <c r="D12" s="27">
        <f t="shared" ref="D12:D46" ca="1" si="0">IF(AND(CELL("type",C12)="v",C12&gt;0),B12/C12,"")</f>
        <v>1167.1592592592592</v>
      </c>
      <c r="E12" s="27">
        <v>1146641</v>
      </c>
      <c r="F12" s="422">
        <f t="shared" ref="F12:F46" ca="1" si="1">IF(AND(CELL("type",E12)="v",E12&gt;0),B12/E12,"")</f>
        <v>1.6489886546879102</v>
      </c>
      <c r="G12" s="27">
        <v>814694</v>
      </c>
      <c r="H12" s="422">
        <f t="shared" ref="H12:H46" ca="1" si="2">IF(AND(CELL("type",G12)="v",G12&gt;0),B12/G12,"")</f>
        <v>2.3208689397491575</v>
      </c>
    </row>
    <row r="13" spans="1:8" ht="14.1" customHeight="1">
      <c r="A13" s="330" t="s">
        <v>240</v>
      </c>
      <c r="B13" s="331">
        <f>'- 30 -'!$D13</f>
        <v>1586972</v>
      </c>
      <c r="C13" s="331">
        <v>2848</v>
      </c>
      <c r="D13" s="331">
        <f t="shared" ca="1" si="0"/>
        <v>557.22331460674161</v>
      </c>
      <c r="E13" s="331">
        <v>795006.9</v>
      </c>
      <c r="F13" s="421">
        <f t="shared" ca="1" si="1"/>
        <v>1.9961738696859108</v>
      </c>
      <c r="G13" s="331">
        <v>478563.3</v>
      </c>
      <c r="H13" s="421">
        <f t="shared" ca="1" si="2"/>
        <v>3.3161172200208417</v>
      </c>
    </row>
    <row r="14" spans="1:8" ht="14.1" customHeight="1">
      <c r="A14" s="26" t="s">
        <v>653</v>
      </c>
      <c r="B14" s="27">
        <f>'- 30 -'!$D14</f>
        <v>6333961</v>
      </c>
      <c r="C14" s="27">
        <v>4117</v>
      </c>
      <c r="D14" s="27">
        <f t="shared" ca="1" si="0"/>
        <v>1538.4894340539227</v>
      </c>
      <c r="E14" s="27">
        <v>2986289</v>
      </c>
      <c r="F14" s="422">
        <f t="shared" ca="1" si="1"/>
        <v>2.1210140746592177</v>
      </c>
      <c r="G14" s="27">
        <v>1612901</v>
      </c>
      <c r="H14" s="422">
        <f t="shared" ca="1" si="2"/>
        <v>3.9270612393445101</v>
      </c>
    </row>
    <row r="15" spans="1:8" ht="14.1" customHeight="1">
      <c r="A15" s="330" t="s">
        <v>241</v>
      </c>
      <c r="B15" s="331">
        <f>'- 30 -'!$D15</f>
        <v>1118554</v>
      </c>
      <c r="C15" s="331">
        <v>1049</v>
      </c>
      <c r="D15" s="331">
        <f t="shared" ca="1" si="0"/>
        <v>1066.3050524308865</v>
      </c>
      <c r="E15" s="331">
        <v>654530</v>
      </c>
      <c r="F15" s="421">
        <f t="shared" ca="1" si="1"/>
        <v>1.7089422944708417</v>
      </c>
      <c r="G15" s="331">
        <v>455840</v>
      </c>
      <c r="H15" s="421">
        <f t="shared" ca="1" si="2"/>
        <v>2.4538302913302914</v>
      </c>
    </row>
    <row r="16" spans="1:8" ht="14.1" customHeight="1">
      <c r="A16" s="26" t="s">
        <v>242</v>
      </c>
      <c r="B16" s="27">
        <f>'- 30 -'!$D16</f>
        <v>249775</v>
      </c>
      <c r="C16" s="27">
        <v>258</v>
      </c>
      <c r="D16" s="27">
        <f t="shared" ca="1" si="0"/>
        <v>968.12015503875966</v>
      </c>
      <c r="E16" s="27">
        <v>63464</v>
      </c>
      <c r="F16" s="422">
        <f t="shared" ca="1" si="1"/>
        <v>3.9356958275557798</v>
      </c>
      <c r="G16" s="27">
        <v>38101</v>
      </c>
      <c r="H16" s="422">
        <f t="shared" ca="1" si="2"/>
        <v>6.5556022151649564</v>
      </c>
    </row>
    <row r="17" spans="1:8" ht="14.1" customHeight="1">
      <c r="A17" s="330" t="s">
        <v>243</v>
      </c>
      <c r="B17" s="331">
        <f>'- 30 -'!$D17</f>
        <v>1223151</v>
      </c>
      <c r="C17" s="331">
        <v>522</v>
      </c>
      <c r="D17" s="331">
        <f t="shared" ca="1" si="0"/>
        <v>2343.2011494252874</v>
      </c>
      <c r="E17" s="331">
        <v>901659</v>
      </c>
      <c r="F17" s="421">
        <f t="shared" ca="1" si="1"/>
        <v>1.3565560816228752</v>
      </c>
      <c r="G17" s="331">
        <v>610323.29999999993</v>
      </c>
      <c r="H17" s="421">
        <f t="shared" ca="1" si="2"/>
        <v>2.0041033989690384</v>
      </c>
    </row>
    <row r="18" spans="1:8" ht="14.1" customHeight="1">
      <c r="A18" s="26" t="s">
        <v>244</v>
      </c>
      <c r="B18" s="27">
        <f>'- 30 -'!$D18</f>
        <v>5945785</v>
      </c>
      <c r="C18" s="27">
        <v>5209</v>
      </c>
      <c r="D18" s="27">
        <f t="shared" ca="1" si="0"/>
        <v>1141.4446150892686</v>
      </c>
      <c r="E18" s="27">
        <v>1489500</v>
      </c>
      <c r="F18" s="422">
        <f t="shared" ca="1" si="1"/>
        <v>3.9917992614971465</v>
      </c>
      <c r="G18" s="27">
        <v>983000</v>
      </c>
      <c r="H18" s="422">
        <f t="shared" ca="1" si="2"/>
        <v>6.0486113936927772</v>
      </c>
    </row>
    <row r="19" spans="1:8" ht="14.1" customHeight="1">
      <c r="A19" s="330" t="s">
        <v>245</v>
      </c>
      <c r="B19" s="331">
        <f>'- 30 -'!$D19</f>
        <v>1719228</v>
      </c>
      <c r="C19" s="331">
        <v>2689</v>
      </c>
      <c r="D19" s="331">
        <f t="shared" ca="1" si="0"/>
        <v>639.35589438452962</v>
      </c>
      <c r="E19" s="331">
        <v>685481.4</v>
      </c>
      <c r="F19" s="421">
        <f t="shared" ca="1" si="1"/>
        <v>2.50805929963964</v>
      </c>
      <c r="G19" s="331">
        <v>440005.2</v>
      </c>
      <c r="H19" s="421">
        <f t="shared" ca="1" si="2"/>
        <v>3.9072901865705223</v>
      </c>
    </row>
    <row r="20" spans="1:8" ht="14.1" customHeight="1">
      <c r="A20" s="26" t="s">
        <v>246</v>
      </c>
      <c r="B20" s="27">
        <f>'- 30 -'!$D20</f>
        <v>2684859</v>
      </c>
      <c r="C20" s="27">
        <v>4980</v>
      </c>
      <c r="D20" s="27">
        <f t="shared" ca="1" si="0"/>
        <v>539.12831325301204</v>
      </c>
      <c r="E20" s="27">
        <v>1278368</v>
      </c>
      <c r="F20" s="422">
        <f t="shared" ca="1" si="1"/>
        <v>2.1002238791959749</v>
      </c>
      <c r="G20" s="27">
        <v>772044</v>
      </c>
      <c r="H20" s="422">
        <f t="shared" ca="1" si="2"/>
        <v>3.4775984270326563</v>
      </c>
    </row>
    <row r="21" spans="1:8" ht="14.1" customHeight="1">
      <c r="A21" s="330" t="s">
        <v>247</v>
      </c>
      <c r="B21" s="331">
        <f>'- 30 -'!$D21</f>
        <v>1697531</v>
      </c>
      <c r="C21" s="331">
        <v>1580</v>
      </c>
      <c r="D21" s="331">
        <f t="shared" ca="1" si="0"/>
        <v>1074.3867088607594</v>
      </c>
      <c r="E21" s="331">
        <v>924406.2</v>
      </c>
      <c r="F21" s="421">
        <f t="shared" ca="1" si="1"/>
        <v>1.8363474844716534</v>
      </c>
      <c r="G21" s="331">
        <v>592517.4</v>
      </c>
      <c r="H21" s="421">
        <f t="shared" ca="1" si="2"/>
        <v>2.8649470884736887</v>
      </c>
    </row>
    <row r="22" spans="1:8" ht="14.1" customHeight="1">
      <c r="A22" s="26" t="s">
        <v>248</v>
      </c>
      <c r="B22" s="27">
        <f>'- 30 -'!$D22</f>
        <v>363407</v>
      </c>
      <c r="C22" s="27">
        <v>558</v>
      </c>
      <c r="D22" s="27">
        <f t="shared" ca="1" si="0"/>
        <v>651.26702508960568</v>
      </c>
      <c r="E22" s="27">
        <v>195444</v>
      </c>
      <c r="F22" s="422">
        <f t="shared" ca="1" si="1"/>
        <v>1.8593919485888541</v>
      </c>
      <c r="G22" s="27">
        <v>110782</v>
      </c>
      <c r="H22" s="422">
        <f t="shared" ca="1" si="2"/>
        <v>3.2803794840317018</v>
      </c>
    </row>
    <row r="23" spans="1:8" ht="14.1" customHeight="1">
      <c r="A23" s="330" t="s">
        <v>249</v>
      </c>
      <c r="B23" s="331">
        <f>'- 30 -'!$D23</f>
        <v>1463408</v>
      </c>
      <c r="C23" s="331">
        <v>812</v>
      </c>
      <c r="D23" s="331">
        <f t="shared" ca="1" si="0"/>
        <v>1802.2266009852217</v>
      </c>
      <c r="E23" s="331">
        <v>1040904</v>
      </c>
      <c r="F23" s="421">
        <f t="shared" ca="1" si="1"/>
        <v>1.4059010244940935</v>
      </c>
      <c r="G23" s="331">
        <v>617332</v>
      </c>
      <c r="H23" s="421">
        <f t="shared" ca="1" si="2"/>
        <v>2.3705364374437092</v>
      </c>
    </row>
    <row r="24" spans="1:8" ht="14.1" customHeight="1">
      <c r="A24" s="26" t="s">
        <v>250</v>
      </c>
      <c r="B24" s="27">
        <f>'- 30 -'!$D24</f>
        <v>2010871</v>
      </c>
      <c r="C24" s="27">
        <v>2990</v>
      </c>
      <c r="D24" s="27">
        <f t="shared" ca="1" si="0"/>
        <v>672.53210702341141</v>
      </c>
      <c r="E24" s="27">
        <v>1027069</v>
      </c>
      <c r="F24" s="422">
        <f t="shared" ca="1" si="1"/>
        <v>1.9578733269137711</v>
      </c>
      <c r="G24" s="27">
        <v>647564</v>
      </c>
      <c r="H24" s="422">
        <f t="shared" ca="1" si="2"/>
        <v>3.1052853463132601</v>
      </c>
    </row>
    <row r="25" spans="1:8" ht="14.1" customHeight="1">
      <c r="A25" s="330" t="s">
        <v>251</v>
      </c>
      <c r="B25" s="331">
        <f>'- 30 -'!$D25</f>
        <v>2855855</v>
      </c>
      <c r="C25" s="331">
        <v>2302</v>
      </c>
      <c r="D25" s="331">
        <f t="shared" ca="1" si="0"/>
        <v>1240.597306689835</v>
      </c>
      <c r="E25" s="331">
        <v>796897</v>
      </c>
      <c r="F25" s="421">
        <f t="shared" ca="1" si="1"/>
        <v>3.5837191004609128</v>
      </c>
      <c r="G25" s="331">
        <v>409353</v>
      </c>
      <c r="H25" s="421">
        <f t="shared" ca="1" si="2"/>
        <v>6.9765092719486601</v>
      </c>
    </row>
    <row r="26" spans="1:8" ht="14.1" customHeight="1">
      <c r="A26" s="26" t="s">
        <v>252</v>
      </c>
      <c r="B26" s="27">
        <f>'- 30 -'!$D26</f>
        <v>2577866</v>
      </c>
      <c r="C26" s="27">
        <v>1354</v>
      </c>
      <c r="D26" s="27">
        <f t="shared" ca="1" si="0"/>
        <v>1903.8892171344166</v>
      </c>
      <c r="E26" s="27">
        <v>1236440</v>
      </c>
      <c r="F26" s="422">
        <f t="shared" ca="1" si="1"/>
        <v>2.0849099026236613</v>
      </c>
      <c r="G26" s="27">
        <v>1053384</v>
      </c>
      <c r="H26" s="422">
        <f t="shared" ca="1" si="2"/>
        <v>2.4472234246960274</v>
      </c>
    </row>
    <row r="27" spans="1:8" ht="14.1" customHeight="1">
      <c r="A27" s="330" t="s">
        <v>253</v>
      </c>
      <c r="B27" s="331">
        <f>'- 30 -'!$D27</f>
        <v>12130</v>
      </c>
      <c r="C27" s="331">
        <v>2</v>
      </c>
      <c r="D27" s="331">
        <f ca="1">IF(AND(CELL("type",C27)="v",C27&gt;0),B27/C27,"")</f>
        <v>6065</v>
      </c>
      <c r="E27" s="331">
        <v>0</v>
      </c>
      <c r="F27" s="421" t="str">
        <f ca="1">IF(AND(CELL("type",E27)="v",E27&gt;0),B27/E27,"")</f>
        <v/>
      </c>
      <c r="G27" s="331">
        <v>0</v>
      </c>
      <c r="H27" s="421" t="str">
        <f ca="1">IF(AND(CELL("type",G27)="v",G27&gt;0),B27/G27,"")</f>
        <v/>
      </c>
    </row>
    <row r="28" spans="1:8" ht="14.1" customHeight="1">
      <c r="A28" s="26" t="s">
        <v>254</v>
      </c>
      <c r="B28" s="27">
        <f>'- 30 -'!$D28</f>
        <v>1910859</v>
      </c>
      <c r="C28" s="27">
        <v>865</v>
      </c>
      <c r="D28" s="27">
        <f t="shared" ca="1" si="0"/>
        <v>2209.085549132948</v>
      </c>
      <c r="E28" s="27">
        <v>1290187</v>
      </c>
      <c r="F28" s="422">
        <f t="shared" ca="1" si="1"/>
        <v>1.4810713485719511</v>
      </c>
      <c r="G28" s="27">
        <v>850840</v>
      </c>
      <c r="H28" s="422">
        <f t="shared" ca="1" si="2"/>
        <v>2.2458499835456727</v>
      </c>
    </row>
    <row r="29" spans="1:8" ht="14.1" customHeight="1">
      <c r="A29" s="330" t="s">
        <v>255</v>
      </c>
      <c r="B29" s="331">
        <f>'- 30 -'!$D29</f>
        <v>1525526</v>
      </c>
      <c r="C29" s="331">
        <v>1911</v>
      </c>
      <c r="D29" s="331">
        <f t="shared" ca="1" si="0"/>
        <v>798.28676085818938</v>
      </c>
      <c r="E29" s="331">
        <v>431851</v>
      </c>
      <c r="F29" s="421">
        <f t="shared" ca="1" si="1"/>
        <v>3.5325285804594642</v>
      </c>
      <c r="G29" s="331">
        <v>274467</v>
      </c>
      <c r="H29" s="421">
        <f t="shared" ca="1" si="2"/>
        <v>5.5581399585378204</v>
      </c>
    </row>
    <row r="30" spans="1:8" ht="14.1" customHeight="1">
      <c r="A30" s="26" t="s">
        <v>256</v>
      </c>
      <c r="B30" s="27">
        <f>'- 30 -'!$D30</f>
        <v>996273</v>
      </c>
      <c r="C30" s="27">
        <v>713</v>
      </c>
      <c r="D30" s="27">
        <f t="shared" ca="1" si="0"/>
        <v>1397.2973352033659</v>
      </c>
      <c r="E30" s="27">
        <v>624380</v>
      </c>
      <c r="F30" s="422">
        <f t="shared" ca="1" si="1"/>
        <v>1.5956196546974599</v>
      </c>
      <c r="G30" s="27">
        <v>427535</v>
      </c>
      <c r="H30" s="422">
        <f t="shared" ca="1" si="2"/>
        <v>2.3302723753610817</v>
      </c>
    </row>
    <row r="31" spans="1:8" ht="14.1" customHeight="1">
      <c r="A31" s="330" t="s">
        <v>257</v>
      </c>
      <c r="B31" s="331">
        <f>'- 30 -'!$D31</f>
        <v>823629</v>
      </c>
      <c r="C31" s="331">
        <v>1155</v>
      </c>
      <c r="D31" s="331">
        <f t="shared" ca="1" si="0"/>
        <v>713.09870129870126</v>
      </c>
      <c r="E31" s="331">
        <v>599872</v>
      </c>
      <c r="F31" s="421">
        <f t="shared" ca="1" si="1"/>
        <v>1.3730079083537821</v>
      </c>
      <c r="G31" s="331">
        <v>394439</v>
      </c>
      <c r="H31" s="421">
        <f t="shared" ca="1" si="2"/>
        <v>2.0881023428210699</v>
      </c>
    </row>
    <row r="32" spans="1:8" ht="14.1" customHeight="1">
      <c r="A32" s="26" t="s">
        <v>258</v>
      </c>
      <c r="B32" s="27">
        <f>'- 30 -'!$D32</f>
        <v>1638667</v>
      </c>
      <c r="C32" s="27">
        <v>1368</v>
      </c>
      <c r="D32" s="27">
        <f t="shared" ca="1" si="0"/>
        <v>1197.8559941520468</v>
      </c>
      <c r="E32" s="27">
        <v>1023812</v>
      </c>
      <c r="F32" s="422">
        <f t="shared" ca="1" si="1"/>
        <v>1.6005545940074937</v>
      </c>
      <c r="G32" s="27">
        <v>700597</v>
      </c>
      <c r="H32" s="422">
        <f t="shared" ca="1" si="2"/>
        <v>2.3389580600544964</v>
      </c>
    </row>
    <row r="33" spans="1:8" ht="14.1" customHeight="1">
      <c r="A33" s="330" t="s">
        <v>259</v>
      </c>
      <c r="B33" s="331">
        <f>'- 30 -'!$D33</f>
        <v>2176733</v>
      </c>
      <c r="C33" s="331">
        <v>1137</v>
      </c>
      <c r="D33" s="331">
        <f t="shared" ca="1" si="0"/>
        <v>1914.4529463500439</v>
      </c>
      <c r="E33" s="331">
        <v>1408670</v>
      </c>
      <c r="F33" s="421">
        <f t="shared" ca="1" si="1"/>
        <v>1.5452398361575104</v>
      </c>
      <c r="G33" s="331">
        <v>914195</v>
      </c>
      <c r="H33" s="421">
        <f t="shared" ca="1" si="2"/>
        <v>2.3810379623603279</v>
      </c>
    </row>
    <row r="34" spans="1:8" ht="14.1" customHeight="1">
      <c r="A34" s="26" t="s">
        <v>260</v>
      </c>
      <c r="B34" s="27">
        <f>'- 30 -'!$D34</f>
        <v>2098900</v>
      </c>
      <c r="C34" s="27">
        <v>1410</v>
      </c>
      <c r="D34" s="27">
        <f t="shared" ca="1" si="0"/>
        <v>1488.5815602836878</v>
      </c>
      <c r="E34" s="27">
        <v>1308003</v>
      </c>
      <c r="F34" s="422">
        <f t="shared" ca="1" si="1"/>
        <v>1.6046599281500118</v>
      </c>
      <c r="G34" s="27">
        <v>849797</v>
      </c>
      <c r="H34" s="422">
        <f t="shared" ca="1" si="2"/>
        <v>2.4698839840573692</v>
      </c>
    </row>
    <row r="35" spans="1:8" ht="14.1" customHeight="1">
      <c r="A35" s="330" t="s">
        <v>261</v>
      </c>
      <c r="B35" s="331">
        <f>'- 30 -'!$D35</f>
        <v>2823159</v>
      </c>
      <c r="C35" s="331">
        <v>3252</v>
      </c>
      <c r="D35" s="331">
        <f t="shared" ca="1" si="0"/>
        <v>868.13007380073805</v>
      </c>
      <c r="E35" s="331">
        <v>901275</v>
      </c>
      <c r="F35" s="421">
        <f t="shared" ca="1" si="1"/>
        <v>3.1324057585087792</v>
      </c>
      <c r="G35" s="331">
        <v>447252</v>
      </c>
      <c r="H35" s="421">
        <f t="shared" ca="1" si="2"/>
        <v>6.3122333717904002</v>
      </c>
    </row>
    <row r="36" spans="1:8" ht="14.1" customHeight="1">
      <c r="A36" s="26" t="s">
        <v>262</v>
      </c>
      <c r="B36" s="27">
        <f>'- 30 -'!$D36</f>
        <v>1399900</v>
      </c>
      <c r="C36" s="27">
        <v>926</v>
      </c>
      <c r="D36" s="27">
        <f t="shared" ca="1" si="0"/>
        <v>1511.7710583153348</v>
      </c>
      <c r="E36" s="27">
        <v>892308</v>
      </c>
      <c r="F36" s="422">
        <f t="shared" ca="1" si="1"/>
        <v>1.5688529072921009</v>
      </c>
      <c r="G36" s="27">
        <v>573156</v>
      </c>
      <c r="H36" s="422">
        <f t="shared" ca="1" si="2"/>
        <v>2.4424414993474728</v>
      </c>
    </row>
    <row r="37" spans="1:8" ht="14.1" customHeight="1">
      <c r="A37" s="330" t="s">
        <v>263</v>
      </c>
      <c r="B37" s="331">
        <f>'- 30 -'!$D37</f>
        <v>2082481</v>
      </c>
      <c r="C37" s="331">
        <v>2261</v>
      </c>
      <c r="D37" s="331">
        <f t="shared" ca="1" si="0"/>
        <v>921.04422821760284</v>
      </c>
      <c r="E37" s="331">
        <v>1132138</v>
      </c>
      <c r="F37" s="421">
        <f t="shared" ca="1" si="1"/>
        <v>1.8394232858538446</v>
      </c>
      <c r="G37" s="331">
        <v>687466</v>
      </c>
      <c r="H37" s="421">
        <f t="shared" ca="1" si="2"/>
        <v>3.0292130810832827</v>
      </c>
    </row>
    <row r="38" spans="1:8" ht="14.1" customHeight="1">
      <c r="A38" s="26" t="s">
        <v>264</v>
      </c>
      <c r="B38" s="27">
        <f>'- 30 -'!$D38</f>
        <v>2578315</v>
      </c>
      <c r="C38" s="27">
        <v>2774</v>
      </c>
      <c r="D38" s="27">
        <f t="shared" ca="1" si="0"/>
        <v>929.45746214852204</v>
      </c>
      <c r="E38" s="27">
        <v>599072</v>
      </c>
      <c r="F38" s="422">
        <f t="shared" ca="1" si="1"/>
        <v>4.3038482853480051</v>
      </c>
      <c r="G38" s="27">
        <v>430197</v>
      </c>
      <c r="H38" s="422">
        <f t="shared" ca="1" si="2"/>
        <v>5.9933356113594467</v>
      </c>
    </row>
    <row r="39" spans="1:8" ht="14.1" customHeight="1">
      <c r="A39" s="330" t="s">
        <v>265</v>
      </c>
      <c r="B39" s="331">
        <f>'- 30 -'!$D39</f>
        <v>1741545</v>
      </c>
      <c r="C39" s="331">
        <v>879</v>
      </c>
      <c r="D39" s="331">
        <f t="shared" ca="1" si="0"/>
        <v>1981.2798634812286</v>
      </c>
      <c r="E39" s="331">
        <v>1318400</v>
      </c>
      <c r="F39" s="421">
        <f t="shared" ca="1" si="1"/>
        <v>1.3209534283980582</v>
      </c>
      <c r="G39" s="331">
        <v>781200</v>
      </c>
      <c r="H39" s="421">
        <f t="shared" ca="1" si="2"/>
        <v>2.2293202764976958</v>
      </c>
    </row>
    <row r="40" spans="1:8" ht="14.1" customHeight="1">
      <c r="A40" s="26" t="s">
        <v>266</v>
      </c>
      <c r="B40" s="27">
        <f>'- 30 -'!$D40</f>
        <v>1510089</v>
      </c>
      <c r="C40" s="27">
        <v>1808</v>
      </c>
      <c r="D40" s="27">
        <f t="shared" ca="1" si="0"/>
        <v>835.22621681415933</v>
      </c>
      <c r="E40" s="27">
        <v>424564</v>
      </c>
      <c r="F40" s="422">
        <f t="shared" ca="1" si="1"/>
        <v>3.5567994460199168</v>
      </c>
      <c r="G40" s="27">
        <v>258102</v>
      </c>
      <c r="H40" s="422">
        <f t="shared" ca="1" si="2"/>
        <v>5.8507450542808659</v>
      </c>
    </row>
    <row r="41" spans="1:8" ht="14.1" customHeight="1">
      <c r="A41" s="330" t="s">
        <v>267</v>
      </c>
      <c r="B41" s="331">
        <f>'- 30 -'!$D41</f>
        <v>4015717</v>
      </c>
      <c r="C41" s="331">
        <v>3731</v>
      </c>
      <c r="D41" s="331">
        <f t="shared" ca="1" si="0"/>
        <v>1076.3111766282498</v>
      </c>
      <c r="E41" s="331">
        <v>2434352</v>
      </c>
      <c r="F41" s="421">
        <f t="shared" ca="1" si="1"/>
        <v>1.6496040835507766</v>
      </c>
      <c r="G41" s="331">
        <v>1501062</v>
      </c>
      <c r="H41" s="421">
        <f t="shared" ca="1" si="2"/>
        <v>2.6752505892494782</v>
      </c>
    </row>
    <row r="42" spans="1:8" ht="14.1" customHeight="1">
      <c r="A42" s="26" t="s">
        <v>268</v>
      </c>
      <c r="B42" s="27">
        <f>'- 30 -'!$D42</f>
        <v>1315406</v>
      </c>
      <c r="C42" s="27">
        <v>1327</v>
      </c>
      <c r="D42" s="27">
        <f t="shared" ca="1" si="0"/>
        <v>991.26299924642046</v>
      </c>
      <c r="E42" s="27">
        <v>738792</v>
      </c>
      <c r="F42" s="422">
        <f t="shared" ca="1" si="1"/>
        <v>1.7804821925521663</v>
      </c>
      <c r="G42" s="27">
        <v>641998</v>
      </c>
      <c r="H42" s="422">
        <f t="shared" ca="1" si="2"/>
        <v>2.0489253860603927</v>
      </c>
    </row>
    <row r="43" spans="1:8" ht="14.1" customHeight="1">
      <c r="A43" s="330" t="s">
        <v>269</v>
      </c>
      <c r="B43" s="331">
        <f>'- 30 -'!$D43</f>
        <v>960694</v>
      </c>
      <c r="C43" s="331">
        <v>557</v>
      </c>
      <c r="D43" s="331">
        <f t="shared" ca="1" si="0"/>
        <v>1724.7648114901256</v>
      </c>
      <c r="E43" s="331">
        <v>637096</v>
      </c>
      <c r="F43" s="421">
        <f t="shared" ca="1" si="1"/>
        <v>1.5079265919107951</v>
      </c>
      <c r="G43" s="331">
        <v>391474</v>
      </c>
      <c r="H43" s="421">
        <f t="shared" ca="1" si="2"/>
        <v>2.4540429249452069</v>
      </c>
    </row>
    <row r="44" spans="1:8" ht="14.1" customHeight="1">
      <c r="A44" s="26" t="s">
        <v>270</v>
      </c>
      <c r="B44" s="27">
        <f>'- 30 -'!$D44</f>
        <v>880674</v>
      </c>
      <c r="C44" s="27">
        <v>471</v>
      </c>
      <c r="D44" s="27">
        <f t="shared" ca="1" si="0"/>
        <v>1869.7961783439491</v>
      </c>
      <c r="E44" s="27">
        <v>730463</v>
      </c>
      <c r="F44" s="422">
        <f t="shared" ca="1" si="1"/>
        <v>1.2056380679103527</v>
      </c>
      <c r="G44" s="27">
        <v>514010</v>
      </c>
      <c r="H44" s="422">
        <f t="shared" ca="1" si="2"/>
        <v>1.7133402073889612</v>
      </c>
    </row>
    <row r="45" spans="1:8" ht="14.1" customHeight="1">
      <c r="A45" s="330" t="s">
        <v>271</v>
      </c>
      <c r="B45" s="331">
        <f>'- 30 -'!$D45</f>
        <v>541520</v>
      </c>
      <c r="C45" s="331">
        <v>977</v>
      </c>
      <c r="D45" s="331">
        <f t="shared" ca="1" si="0"/>
        <v>554.26816786079837</v>
      </c>
      <c r="E45" s="331">
        <v>249173</v>
      </c>
      <c r="F45" s="421">
        <f t="shared" ca="1" si="1"/>
        <v>2.1732691744290111</v>
      </c>
      <c r="G45" s="331">
        <v>173228</v>
      </c>
      <c r="H45" s="421">
        <f t="shared" ca="1" si="2"/>
        <v>3.1260535248343224</v>
      </c>
    </row>
    <row r="46" spans="1:8" ht="14.1" customHeight="1">
      <c r="A46" s="26" t="s">
        <v>272</v>
      </c>
      <c r="B46" s="27">
        <f>'- 30 -'!$D46</f>
        <v>4183122</v>
      </c>
      <c r="C46" s="27">
        <v>2253</v>
      </c>
      <c r="D46" s="27">
        <f t="shared" ca="1" si="0"/>
        <v>1856.6897470039946</v>
      </c>
      <c r="E46" s="27">
        <v>1020645</v>
      </c>
      <c r="F46" s="422">
        <f t="shared" ca="1" si="1"/>
        <v>4.0985082962244466</v>
      </c>
      <c r="G46" s="27">
        <v>656565</v>
      </c>
      <c r="H46" s="422">
        <f t="shared" ca="1" si="2"/>
        <v>6.3712229558383404</v>
      </c>
    </row>
    <row r="47" spans="1:8" ht="5.0999999999999996" customHeight="1">
      <c r="A47"/>
      <c r="B47" s="29"/>
      <c r="C47" s="427"/>
      <c r="D47" s="29"/>
      <c r="E47" s="427"/>
      <c r="F47" s="424"/>
      <c r="G47" s="427"/>
      <c r="H47" s="424"/>
    </row>
    <row r="48" spans="1:8" ht="14.1" customHeight="1">
      <c r="A48" s="332" t="s">
        <v>273</v>
      </c>
      <c r="B48" s="333">
        <f>SUM(B11:B46)</f>
        <v>69817649</v>
      </c>
      <c r="C48" s="333">
        <f>SUM(C11:C46)</f>
        <v>63332</v>
      </c>
      <c r="D48" s="333">
        <f>B48/C48</f>
        <v>1102.407140150319</v>
      </c>
      <c r="E48" s="333">
        <f>SUM(E11:E46)</f>
        <v>33598478.5</v>
      </c>
      <c r="F48" s="425">
        <f>B48/E48</f>
        <v>2.078000317782247</v>
      </c>
      <c r="G48" s="333">
        <f>SUM(G11:G46)</f>
        <v>21502168.199999999</v>
      </c>
      <c r="H48" s="425">
        <f>B48/G48</f>
        <v>3.2470050624941162</v>
      </c>
    </row>
    <row r="49" spans="1:8" ht="5.0999999999999996" customHeight="1">
      <c r="A49" s="28" t="s">
        <v>18</v>
      </c>
      <c r="B49" s="29"/>
      <c r="C49" s="427"/>
      <c r="D49" s="29"/>
      <c r="E49" s="427"/>
      <c r="F49" s="424"/>
      <c r="G49" s="427"/>
      <c r="H49" s="424"/>
    </row>
    <row r="50" spans="1:8" ht="14.1" customHeight="1">
      <c r="A50" s="26" t="s">
        <v>274</v>
      </c>
      <c r="B50" s="27">
        <f>'- 30 -'!$D50</f>
        <v>5340</v>
      </c>
      <c r="C50" s="44" t="s">
        <v>197</v>
      </c>
      <c r="D50" s="27" t="str">
        <f ca="1">IF(AND(CELL("type",C50)="v",C50&gt;0),B50/C50,"")</f>
        <v/>
      </c>
      <c r="E50" s="44" t="s">
        <v>197</v>
      </c>
      <c r="F50" s="422" t="str">
        <f ca="1">IF(AND(CELL("type",E50)="v",E50&gt;0),B50/E50,"")</f>
        <v/>
      </c>
      <c r="G50" s="44" t="s">
        <v>197</v>
      </c>
      <c r="H50" s="422" t="str">
        <f ca="1">IF(AND(CELL("type",G50)="v",G50&gt;0),B50/G50,"")</f>
        <v/>
      </c>
    </row>
    <row r="51" spans="1:8" ht="14.1" customHeight="1">
      <c r="A51" s="330" t="s">
        <v>275</v>
      </c>
      <c r="B51" s="331">
        <f>'- 30 -'!$D51</f>
        <v>0</v>
      </c>
      <c r="C51" s="331">
        <v>0</v>
      </c>
      <c r="D51" s="331" t="str">
        <f ca="1">IF(AND(CELL("type",C51)="v",C51&gt;0),B51/C51,"")</f>
        <v/>
      </c>
      <c r="E51" s="331">
        <v>0</v>
      </c>
      <c r="F51" s="421" t="str">
        <f ca="1">IF(AND(CELL("type",E51)="v",E51&gt;0),B51/E51,"")</f>
        <v/>
      </c>
      <c r="G51" s="331">
        <v>0</v>
      </c>
      <c r="H51" s="421" t="str">
        <f ca="1">IF(AND(CELL("type",G51)="v",G51&gt;0),B51/G51,"")</f>
        <v/>
      </c>
    </row>
    <row r="52" spans="1:8"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sheetPr codeName="Sheet33">
    <pageSetUpPr fitToPage="1"/>
  </sheetPr>
  <dimension ref="A1:E52"/>
  <sheetViews>
    <sheetView showGridLines="0" showZeros="0" workbookViewId="0"/>
  </sheetViews>
  <sheetFormatPr defaultColWidth="15.83203125" defaultRowHeight="12"/>
  <cols>
    <col min="1" max="1" width="32.83203125" style="1" customWidth="1"/>
    <col min="2" max="2" width="22.83203125" style="1" customWidth="1"/>
    <col min="3" max="3" width="19.83203125" style="1" customWidth="1"/>
    <col min="4" max="4" width="15.83203125" style="1"/>
    <col min="5" max="5" width="41.83203125" style="1" customWidth="1"/>
    <col min="6" max="16384" width="15.83203125" style="1"/>
  </cols>
  <sheetData>
    <row r="1" spans="1:5" ht="6.95" customHeight="1">
      <c r="A1" s="6"/>
      <c r="B1" s="7"/>
      <c r="C1" s="7"/>
      <c r="D1" s="7"/>
      <c r="E1" s="7"/>
    </row>
    <row r="2" spans="1:5" ht="15.95" customHeight="1">
      <c r="A2" s="152"/>
      <c r="B2" s="8" t="s">
        <v>486</v>
      </c>
      <c r="C2" s="9"/>
      <c r="D2" s="9"/>
      <c r="E2" s="180"/>
    </row>
    <row r="3" spans="1:5" ht="15.95" customHeight="1">
      <c r="A3" s="154"/>
      <c r="B3" s="10" t="str">
        <f>OPYEAR</f>
        <v>OPERATING FUND 2011/2012 ACTUAL</v>
      </c>
      <c r="C3" s="11"/>
      <c r="D3" s="11"/>
      <c r="E3" s="181"/>
    </row>
    <row r="4" spans="1:5" ht="15.95" customHeight="1">
      <c r="B4" s="7"/>
      <c r="C4" s="7"/>
      <c r="D4" s="7"/>
      <c r="E4" s="7"/>
    </row>
    <row r="5" spans="1:5" ht="15.95" customHeight="1">
      <c r="B5" s="7"/>
      <c r="C5" s="7"/>
      <c r="D5" s="7"/>
      <c r="E5" s="7"/>
    </row>
    <row r="6" spans="1:5" ht="15.95" customHeight="1">
      <c r="B6" s="358" t="s">
        <v>41</v>
      </c>
      <c r="C6" s="365"/>
      <c r="D6" s="355"/>
    </row>
    <row r="7" spans="1:5" ht="15.95" customHeight="1">
      <c r="B7" s="344" t="s">
        <v>71</v>
      </c>
      <c r="C7" s="345"/>
      <c r="D7" s="366"/>
    </row>
    <row r="8" spans="1:5" ht="15.95" customHeight="1">
      <c r="A8" s="75"/>
      <c r="B8" s="182"/>
      <c r="C8" s="183" t="s">
        <v>87</v>
      </c>
      <c r="D8" s="86" t="s">
        <v>88</v>
      </c>
    </row>
    <row r="9" spans="1:5" ht="15.95" customHeight="1">
      <c r="A9" s="42" t="s">
        <v>95</v>
      </c>
      <c r="B9" s="87" t="s">
        <v>96</v>
      </c>
      <c r="C9" s="87" t="s">
        <v>106</v>
      </c>
      <c r="D9" s="87" t="s">
        <v>104</v>
      </c>
    </row>
    <row r="10" spans="1:5" ht="5.0999999999999996" customHeight="1">
      <c r="A10" s="5"/>
    </row>
    <row r="11" spans="1:5" ht="14.1" customHeight="1">
      <c r="A11" s="330" t="s">
        <v>238</v>
      </c>
      <c r="B11" s="331">
        <f>SUM('- 30 -'!$B11,'- 30 -'!$D11,'- 31 -'!$D11)</f>
        <v>1062591</v>
      </c>
      <c r="C11" s="331">
        <v>608122</v>
      </c>
      <c r="D11" s="421">
        <f ca="1">IF(AND(CELL("type",C11)="v",C11&gt;0),B11/C11,"")</f>
        <v>1.7473319498390125</v>
      </c>
      <c r="E11" s="184"/>
    </row>
    <row r="12" spans="1:5" ht="14.1" customHeight="1">
      <c r="A12" s="26" t="s">
        <v>239</v>
      </c>
      <c r="B12" s="27">
        <f>SUM('- 30 -'!$B12,'- 30 -'!$D12,'- 31 -'!$D12)</f>
        <v>2149364</v>
      </c>
      <c r="C12" s="27">
        <v>1224368</v>
      </c>
      <c r="D12" s="422">
        <f t="shared" ref="D12:D46" ca="1" si="0">IF(AND(CELL("type",C12)="v",C12&gt;0),B12/C12,"")</f>
        <v>1.7554885459273681</v>
      </c>
      <c r="E12" s="184"/>
    </row>
    <row r="13" spans="1:5" ht="14.1" customHeight="1">
      <c r="A13" s="330" t="s">
        <v>240</v>
      </c>
      <c r="B13" s="331">
        <f>SUM('- 30 -'!$B13,'- 30 -'!$D13,'- 31 -'!$D13)</f>
        <v>1800088</v>
      </c>
      <c r="C13" s="331">
        <v>809084</v>
      </c>
      <c r="D13" s="421">
        <f t="shared" ca="1" si="0"/>
        <v>2.2248468638608601</v>
      </c>
      <c r="E13" s="184"/>
    </row>
    <row r="14" spans="1:5" ht="14.1" customHeight="1">
      <c r="A14" s="26" t="s">
        <v>653</v>
      </c>
      <c r="B14" s="27">
        <f>SUM('- 30 -'!$B14,'- 30 -'!$D14,'- 31 -'!$D14)</f>
        <v>6759602</v>
      </c>
      <c r="C14" s="44" t="s">
        <v>197</v>
      </c>
      <c r="D14" s="422" t="str">
        <f t="shared" ca="1" si="0"/>
        <v/>
      </c>
      <c r="E14" s="184"/>
    </row>
    <row r="15" spans="1:5" ht="14.1" customHeight="1">
      <c r="A15" s="330" t="s">
        <v>241</v>
      </c>
      <c r="B15" s="331">
        <f>SUM('- 30 -'!$B15,'- 30 -'!$D15,'- 31 -'!$D15)</f>
        <v>1237144</v>
      </c>
      <c r="C15" s="331">
        <v>734928</v>
      </c>
      <c r="D15" s="421">
        <f t="shared" ca="1" si="0"/>
        <v>1.6833540156314633</v>
      </c>
      <c r="E15" s="184"/>
    </row>
    <row r="16" spans="1:5" ht="14.1" customHeight="1">
      <c r="A16" s="26" t="s">
        <v>242</v>
      </c>
      <c r="B16" s="27">
        <f>SUM('- 30 -'!$B16,'- 30 -'!$D16,'- 31 -'!$D16)</f>
        <v>316471</v>
      </c>
      <c r="C16" s="27">
        <v>63464</v>
      </c>
      <c r="D16" s="422">
        <f t="shared" ca="1" si="0"/>
        <v>4.9866223370729861</v>
      </c>
      <c r="E16" s="184"/>
    </row>
    <row r="17" spans="1:5" ht="14.1" customHeight="1">
      <c r="A17" s="330" t="s">
        <v>243</v>
      </c>
      <c r="B17" s="331">
        <f>SUM('- 30 -'!$B17,'- 30 -'!$D17,'- 31 -'!$D17)</f>
        <v>1312946</v>
      </c>
      <c r="C17" s="331">
        <v>858830.19750000001</v>
      </c>
      <c r="D17" s="421">
        <f t="shared" ca="1" si="0"/>
        <v>1.5287608701020321</v>
      </c>
      <c r="E17" s="184"/>
    </row>
    <row r="18" spans="1:5" ht="14.1" customHeight="1">
      <c r="A18" s="26" t="s">
        <v>244</v>
      </c>
      <c r="B18" s="27">
        <f>SUM('- 30 -'!$B18,'- 30 -'!$D18,'- 31 -'!$D18)</f>
        <v>6761041</v>
      </c>
      <c r="C18" s="27">
        <v>1662000</v>
      </c>
      <c r="D18" s="422">
        <f t="shared" ca="1" si="0"/>
        <v>4.0680150421179304</v>
      </c>
      <c r="E18" s="184"/>
    </row>
    <row r="19" spans="1:5" ht="14.1" customHeight="1">
      <c r="A19" s="330" t="s">
        <v>245</v>
      </c>
      <c r="B19" s="331">
        <f>SUM('- 30 -'!$B19,'- 30 -'!$D19,'- 31 -'!$D19)</f>
        <v>1893830</v>
      </c>
      <c r="C19" s="331">
        <v>790691</v>
      </c>
      <c r="D19" s="421">
        <f t="shared" ca="1" si="0"/>
        <v>2.3951581591291666</v>
      </c>
      <c r="E19" s="184"/>
    </row>
    <row r="20" spans="1:5" ht="14.1" customHeight="1">
      <c r="A20" s="26" t="s">
        <v>246</v>
      </c>
      <c r="B20" s="27">
        <f>SUM('- 30 -'!$B20,'- 30 -'!$D20,'- 31 -'!$D20)</f>
        <v>3132512</v>
      </c>
      <c r="C20" s="27">
        <v>1515040</v>
      </c>
      <c r="D20" s="422">
        <f t="shared" ca="1" si="0"/>
        <v>2.0676100961030732</v>
      </c>
      <c r="E20" s="184"/>
    </row>
    <row r="21" spans="1:5" ht="14.1" customHeight="1">
      <c r="A21" s="330" t="s">
        <v>247</v>
      </c>
      <c r="B21" s="331">
        <f>SUM('- 30 -'!$B21,'- 30 -'!$D21,'- 31 -'!$D21)</f>
        <v>1980662</v>
      </c>
      <c r="C21" s="331">
        <v>932582</v>
      </c>
      <c r="D21" s="421">
        <f t="shared" ca="1" si="0"/>
        <v>2.1238475544241684</v>
      </c>
      <c r="E21" s="184"/>
    </row>
    <row r="22" spans="1:5" ht="14.1" customHeight="1">
      <c r="A22" s="26" t="s">
        <v>248</v>
      </c>
      <c r="B22" s="27">
        <f>SUM('- 30 -'!$B22,'- 30 -'!$D22,'- 31 -'!$D22)</f>
        <v>509018</v>
      </c>
      <c r="C22" s="27">
        <v>202597</v>
      </c>
      <c r="D22" s="422">
        <f t="shared" ca="1" si="0"/>
        <v>2.5124656337458107</v>
      </c>
      <c r="E22" s="184"/>
    </row>
    <row r="23" spans="1:5" ht="14.1" customHeight="1">
      <c r="A23" s="330" t="s">
        <v>249</v>
      </c>
      <c r="B23" s="331">
        <f>SUM('- 30 -'!$B23,'- 30 -'!$D23,'- 31 -'!$D23)</f>
        <v>1530346</v>
      </c>
      <c r="C23" s="331">
        <v>941456</v>
      </c>
      <c r="D23" s="421">
        <f t="shared" ca="1" si="0"/>
        <v>1.6255098485749733</v>
      </c>
      <c r="E23" s="184"/>
    </row>
    <row r="24" spans="1:5" ht="14.1" customHeight="1">
      <c r="A24" s="26" t="s">
        <v>250</v>
      </c>
      <c r="B24" s="27">
        <f>SUM('- 30 -'!$B24,'- 30 -'!$D24,'- 31 -'!$D24)</f>
        <v>2260907</v>
      </c>
      <c r="C24" s="27">
        <v>1112934</v>
      </c>
      <c r="D24" s="422">
        <f t="shared" ca="1" si="0"/>
        <v>2.031483448254793</v>
      </c>
      <c r="E24" s="184"/>
    </row>
    <row r="25" spans="1:5" ht="14.1" customHeight="1">
      <c r="A25" s="330" t="s">
        <v>251</v>
      </c>
      <c r="B25" s="331">
        <f>SUM('- 30 -'!$B25,'- 30 -'!$D25,'- 31 -'!$D25)</f>
        <v>3115308</v>
      </c>
      <c r="C25" s="331">
        <v>796444</v>
      </c>
      <c r="D25" s="421">
        <f t="shared" ca="1" si="0"/>
        <v>3.9115217140188134</v>
      </c>
      <c r="E25" s="184"/>
    </row>
    <row r="26" spans="1:5" ht="14.1" customHeight="1">
      <c r="A26" s="26" t="s">
        <v>252</v>
      </c>
      <c r="B26" s="27">
        <f>SUM('- 30 -'!$B26,'- 30 -'!$D26,'- 31 -'!$D26)</f>
        <v>2922582</v>
      </c>
      <c r="C26" s="27">
        <v>1279715</v>
      </c>
      <c r="D26" s="422">
        <f t="shared" ca="1" si="0"/>
        <v>2.2837756844297363</v>
      </c>
      <c r="E26" s="184"/>
    </row>
    <row r="27" spans="1:5" ht="14.1" customHeight="1">
      <c r="A27" s="330" t="s">
        <v>253</v>
      </c>
      <c r="B27" s="331">
        <f>SUM('- 30 -'!$B27,'- 30 -'!$D27,'- 31 -'!$D27)</f>
        <v>76913</v>
      </c>
      <c r="C27" s="426" t="s">
        <v>197</v>
      </c>
      <c r="D27" s="423" t="str">
        <f t="shared" ca="1" si="0"/>
        <v/>
      </c>
      <c r="E27" s="184"/>
    </row>
    <row r="28" spans="1:5" ht="14.1" customHeight="1">
      <c r="A28" s="26" t="s">
        <v>254</v>
      </c>
      <c r="B28" s="27">
        <f>SUM('- 30 -'!$B28,'- 30 -'!$D28,'- 31 -'!$D28)</f>
        <v>2029556</v>
      </c>
      <c r="C28" s="27">
        <v>1248609</v>
      </c>
      <c r="D28" s="422">
        <f t="shared" ca="1" si="0"/>
        <v>1.6254536047713897</v>
      </c>
      <c r="E28" s="184"/>
    </row>
    <row r="29" spans="1:5" ht="14.1" customHeight="1">
      <c r="A29" s="330" t="s">
        <v>255</v>
      </c>
      <c r="B29" s="331">
        <f>SUM('- 30 -'!$B29,'- 30 -'!$D29,'- 31 -'!$D29)</f>
        <v>2128065</v>
      </c>
      <c r="C29" s="331">
        <v>554075</v>
      </c>
      <c r="D29" s="421">
        <f t="shared" ca="1" si="0"/>
        <v>3.840752605694175</v>
      </c>
      <c r="E29" s="184"/>
    </row>
    <row r="30" spans="1:5" ht="14.1" customHeight="1">
      <c r="A30" s="26" t="s">
        <v>256</v>
      </c>
      <c r="B30" s="27">
        <f>SUM('- 30 -'!$B30,'- 30 -'!$D30,'- 31 -'!$D30)</f>
        <v>1088282</v>
      </c>
      <c r="C30" s="27">
        <v>715429</v>
      </c>
      <c r="D30" s="422">
        <f t="shared" ca="1" si="0"/>
        <v>1.5211600312539748</v>
      </c>
      <c r="E30" s="184"/>
    </row>
    <row r="31" spans="1:5" ht="14.1" customHeight="1">
      <c r="A31" s="330" t="s">
        <v>257</v>
      </c>
      <c r="B31" s="331">
        <f>SUM('- 30 -'!$B31,'- 30 -'!$D31,'- 31 -'!$D31)</f>
        <v>941399</v>
      </c>
      <c r="C31" s="331">
        <v>586610</v>
      </c>
      <c r="D31" s="421">
        <f t="shared" ca="1" si="0"/>
        <v>1.6048123966519494</v>
      </c>
      <c r="E31" s="184"/>
    </row>
    <row r="32" spans="1:5" ht="14.1" customHeight="1">
      <c r="A32" s="26" t="s">
        <v>258</v>
      </c>
      <c r="B32" s="27">
        <f>SUM('- 30 -'!$B32,'- 30 -'!$D32,'- 31 -'!$D32)</f>
        <v>1802366</v>
      </c>
      <c r="C32" s="27">
        <v>1039169</v>
      </c>
      <c r="D32" s="422">
        <f t="shared" ca="1" si="0"/>
        <v>1.734430107133681</v>
      </c>
      <c r="E32" s="184"/>
    </row>
    <row r="33" spans="1:5" ht="14.1" customHeight="1">
      <c r="A33" s="330" t="s">
        <v>259</v>
      </c>
      <c r="B33" s="331">
        <f>SUM('- 30 -'!$B33,'- 30 -'!$D33,'- 31 -'!$D33)</f>
        <v>2300827</v>
      </c>
      <c r="C33" s="331">
        <v>1453281</v>
      </c>
      <c r="D33" s="421">
        <f t="shared" ca="1" si="0"/>
        <v>1.5831948535761493</v>
      </c>
      <c r="E33" s="184"/>
    </row>
    <row r="34" spans="1:5" ht="14.1" customHeight="1">
      <c r="A34" s="26" t="s">
        <v>260</v>
      </c>
      <c r="B34" s="27">
        <f>SUM('- 30 -'!$B34,'- 30 -'!$D34,'- 31 -'!$D34)</f>
        <v>2306602</v>
      </c>
      <c r="C34" s="27">
        <v>1366816</v>
      </c>
      <c r="D34" s="422">
        <f t="shared" ca="1" si="0"/>
        <v>1.6875731627373398</v>
      </c>
      <c r="E34" s="184"/>
    </row>
    <row r="35" spans="1:5" ht="14.1" customHeight="1">
      <c r="A35" s="330" t="s">
        <v>261</v>
      </c>
      <c r="B35" s="331">
        <f>SUM('- 30 -'!$B35,'- 30 -'!$D35,'- 31 -'!$D35)</f>
        <v>3255997</v>
      </c>
      <c r="C35" s="331">
        <v>1117908</v>
      </c>
      <c r="D35" s="421">
        <f t="shared" ca="1" si="0"/>
        <v>2.9125804627930028</v>
      </c>
      <c r="E35" s="184"/>
    </row>
    <row r="36" spans="1:5" ht="14.1" customHeight="1">
      <c r="A36" s="26" t="s">
        <v>262</v>
      </c>
      <c r="B36" s="27">
        <f>SUM('- 30 -'!$B36,'- 30 -'!$D36,'- 31 -'!$D36)</f>
        <v>1535295</v>
      </c>
      <c r="C36" s="27">
        <v>936925</v>
      </c>
      <c r="D36" s="422">
        <f t="shared" ca="1" si="0"/>
        <v>1.6386530405315261</v>
      </c>
      <c r="E36" s="184"/>
    </row>
    <row r="37" spans="1:5" ht="14.1" customHeight="1">
      <c r="A37" s="330" t="s">
        <v>263</v>
      </c>
      <c r="B37" s="331">
        <f>SUM('- 30 -'!$B37,'- 30 -'!$D37,'- 31 -'!$D37)</f>
        <v>2342114</v>
      </c>
      <c r="C37" s="331">
        <v>1152138</v>
      </c>
      <c r="D37" s="421">
        <f t="shared" ca="1" si="0"/>
        <v>2.032841551966865</v>
      </c>
      <c r="E37" s="184"/>
    </row>
    <row r="38" spans="1:5" ht="14.1" customHeight="1">
      <c r="A38" s="26" t="s">
        <v>264</v>
      </c>
      <c r="B38" s="27">
        <f>SUM('- 30 -'!$B38,'- 30 -'!$D38,'- 31 -'!$D38)</f>
        <v>3075194</v>
      </c>
      <c r="C38" s="27">
        <v>808535</v>
      </c>
      <c r="D38" s="422">
        <f t="shared" ca="1" si="0"/>
        <v>3.8034148181587688</v>
      </c>
      <c r="E38" s="184"/>
    </row>
    <row r="39" spans="1:5" ht="14.1" customHeight="1">
      <c r="A39" s="330" t="s">
        <v>265</v>
      </c>
      <c r="B39" s="331">
        <f>SUM('- 30 -'!$B39,'- 30 -'!$D39,'- 31 -'!$D39)</f>
        <v>1827709</v>
      </c>
      <c r="C39" s="331">
        <v>1318400</v>
      </c>
      <c r="D39" s="421">
        <f t="shared" ca="1" si="0"/>
        <v>1.3863084041262137</v>
      </c>
      <c r="E39" s="184"/>
    </row>
    <row r="40" spans="1:5" ht="14.1" customHeight="1">
      <c r="A40" s="26" t="s">
        <v>266</v>
      </c>
      <c r="B40" s="27">
        <f>SUM('- 30 -'!$B40,'- 30 -'!$D40,'- 31 -'!$D40)</f>
        <v>1682014</v>
      </c>
      <c r="C40" s="27">
        <v>473130</v>
      </c>
      <c r="D40" s="422">
        <f t="shared" ca="1" si="0"/>
        <v>3.555077885570562</v>
      </c>
      <c r="E40" s="184"/>
    </row>
    <row r="41" spans="1:5" ht="14.1" customHeight="1">
      <c r="A41" s="330" t="s">
        <v>267</v>
      </c>
      <c r="B41" s="331">
        <f>SUM('- 30 -'!$B41,'- 30 -'!$D41,'- 31 -'!$D41)</f>
        <v>4450432</v>
      </c>
      <c r="C41" s="331">
        <v>2512592</v>
      </c>
      <c r="D41" s="421">
        <f t="shared" ca="1" si="0"/>
        <v>1.7712513611441889</v>
      </c>
      <c r="E41" s="184"/>
    </row>
    <row r="42" spans="1:5" ht="14.1" customHeight="1">
      <c r="A42" s="26" t="s">
        <v>268</v>
      </c>
      <c r="B42" s="27">
        <f>SUM('- 30 -'!$B42,'- 30 -'!$D42,'- 31 -'!$D42)</f>
        <v>1467945</v>
      </c>
      <c r="C42" s="27">
        <v>692370</v>
      </c>
      <c r="D42" s="422">
        <f t="shared" ca="1" si="0"/>
        <v>2.1201741843234108</v>
      </c>
      <c r="E42" s="184"/>
    </row>
    <row r="43" spans="1:5" ht="14.1" customHeight="1">
      <c r="A43" s="330" t="s">
        <v>269</v>
      </c>
      <c r="B43" s="331">
        <f>SUM('- 30 -'!$B43,'- 30 -'!$D43,'- 31 -'!$D43)</f>
        <v>983110</v>
      </c>
      <c r="C43" s="331">
        <v>577211</v>
      </c>
      <c r="D43" s="421">
        <f t="shared" ca="1" si="0"/>
        <v>1.7032073193338311</v>
      </c>
      <c r="E43" s="184"/>
    </row>
    <row r="44" spans="1:5" ht="14.1" customHeight="1">
      <c r="A44" s="26" t="s">
        <v>270</v>
      </c>
      <c r="B44" s="27">
        <f>SUM('- 30 -'!$B44,'- 30 -'!$D44,'- 31 -'!$D44)</f>
        <v>935950</v>
      </c>
      <c r="C44" s="27">
        <v>750811</v>
      </c>
      <c r="D44" s="422">
        <f t="shared" ca="1" si="0"/>
        <v>1.246585359031767</v>
      </c>
      <c r="E44" s="184"/>
    </row>
    <row r="45" spans="1:5" ht="14.1" customHeight="1">
      <c r="A45" s="330" t="s">
        <v>271</v>
      </c>
      <c r="B45" s="331">
        <f>SUM('- 30 -'!$B45,'- 30 -'!$D45,'- 31 -'!$D45)</f>
        <v>629078</v>
      </c>
      <c r="C45" s="331">
        <v>302551</v>
      </c>
      <c r="D45" s="421">
        <f t="shared" ca="1" si="0"/>
        <v>2.0792461436253724</v>
      </c>
      <c r="E45" s="184"/>
    </row>
    <row r="46" spans="1:5" ht="14.1" customHeight="1">
      <c r="A46" s="26" t="s">
        <v>272</v>
      </c>
      <c r="B46" s="27">
        <f>SUM('- 30 -'!$B46,'- 30 -'!$D46,'- 31 -'!$D46)</f>
        <v>4858926</v>
      </c>
      <c r="C46" s="27">
        <v>1128145</v>
      </c>
      <c r="D46" s="422">
        <f t="shared" ca="1" si="0"/>
        <v>4.3070048619636658</v>
      </c>
      <c r="E46" s="184"/>
    </row>
    <row r="47" spans="1:5" ht="5.0999999999999996" customHeight="1">
      <c r="A47"/>
      <c r="B47" s="29"/>
      <c r="C47" s="427"/>
      <c r="D47" s="424"/>
      <c r="E47" s="184"/>
    </row>
    <row r="48" spans="1:5" ht="14.1" customHeight="1">
      <c r="A48" s="332" t="s">
        <v>273</v>
      </c>
      <c r="B48" s="333">
        <f>SUM(B11:B46)</f>
        <v>78462186</v>
      </c>
      <c r="C48" s="333">
        <f>SUM(C11:C46)</f>
        <v>32266960.197499998</v>
      </c>
      <c r="D48" s="425">
        <f>B48/C48</f>
        <v>2.4316571973234451</v>
      </c>
      <c r="E48" s="184"/>
    </row>
    <row r="49" spans="1:5" ht="5.0999999999999996" customHeight="1">
      <c r="A49" s="28" t="s">
        <v>18</v>
      </c>
      <c r="B49" s="29"/>
      <c r="C49" s="427"/>
      <c r="D49" s="424"/>
    </row>
    <row r="50" spans="1:5" ht="14.1" customHeight="1">
      <c r="A50" s="26" t="s">
        <v>274</v>
      </c>
      <c r="B50" s="27">
        <f>SUM('- 30 -'!$B50,'- 30 -'!$D50,'- 31 -'!$D50)</f>
        <v>36966</v>
      </c>
      <c r="C50" s="44" t="s">
        <v>197</v>
      </c>
      <c r="D50" s="422" t="str">
        <f ca="1">IF(AND(CELL("type",C50)="v",C50&gt;0),B50/C50,"")</f>
        <v/>
      </c>
      <c r="E50" s="184"/>
    </row>
    <row r="51" spans="1:5" ht="14.1" customHeight="1">
      <c r="A51" s="330" t="s">
        <v>275</v>
      </c>
      <c r="B51" s="331">
        <f>SUM('- 30 -'!$B51,'- 30 -'!$D51,'- 31 -'!$D51)</f>
        <v>0</v>
      </c>
      <c r="C51" s="331">
        <v>0</v>
      </c>
      <c r="D51" s="421" t="str">
        <f ca="1">IF(AND(CELL("type",C51)="v",C51&gt;0),B51/C51,"")</f>
        <v/>
      </c>
      <c r="E51" s="184"/>
    </row>
    <row r="52" spans="1:5" ht="50.1" customHeight="1"/>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sheetPr codeName="Sheet34">
    <pageSetUpPr fitToPage="1"/>
  </sheetPr>
  <dimension ref="A1:I54"/>
  <sheetViews>
    <sheetView showGridLines="0" showZeros="0" workbookViewId="0"/>
  </sheetViews>
  <sheetFormatPr defaultColWidth="15.83203125" defaultRowHeight="12"/>
  <cols>
    <col min="1" max="1" width="32.83203125" style="1" customWidth="1"/>
    <col min="2" max="2" width="18.83203125" style="1" customWidth="1"/>
    <col min="3" max="3" width="15.83203125" style="1"/>
    <col min="4" max="4" width="15.83203125" style="1" customWidth="1"/>
    <col min="5" max="5" width="15.83203125" style="1"/>
    <col min="6" max="6" width="17.83203125" style="1" customWidth="1"/>
    <col min="7" max="16384" width="15.83203125" style="1"/>
  </cols>
  <sheetData>
    <row r="1" spans="1:9" ht="6.95" customHeight="1">
      <c r="A1" s="6"/>
      <c r="B1" s="7"/>
      <c r="C1" s="7"/>
      <c r="D1" s="7"/>
      <c r="E1" s="7"/>
      <c r="F1" s="7"/>
    </row>
    <row r="2" spans="1:9" ht="15.95" customHeight="1">
      <c r="A2" s="8" t="s">
        <v>482</v>
      </c>
      <c r="B2" s="161"/>
      <c r="C2" s="178"/>
      <c r="D2" s="9"/>
      <c r="E2" s="9"/>
      <c r="F2" s="9"/>
      <c r="G2" s="9"/>
    </row>
    <row r="3" spans="1:9" ht="15.95" customHeight="1">
      <c r="A3" s="10" t="str">
        <f>OPYEAR</f>
        <v>OPERATING FUND 2011/2012 ACTUAL</v>
      </c>
      <c r="B3" s="164"/>
      <c r="C3" s="179"/>
      <c r="D3" s="11"/>
      <c r="E3" s="11"/>
      <c r="F3" s="11"/>
      <c r="G3" s="11"/>
    </row>
    <row r="4" spans="1:9" ht="15.95" customHeight="1">
      <c r="B4" s="7"/>
      <c r="C4" s="7"/>
      <c r="D4" s="78"/>
      <c r="E4" s="7"/>
      <c r="F4" s="7"/>
    </row>
    <row r="5" spans="1:9" ht="15.95" customHeight="1">
      <c r="B5" s="7"/>
      <c r="C5" s="7"/>
      <c r="D5" s="7"/>
      <c r="E5" s="7"/>
      <c r="F5" s="7"/>
    </row>
    <row r="6" spans="1:9" ht="15.95" customHeight="1">
      <c r="B6" s="428"/>
      <c r="C6" s="429"/>
      <c r="D6" s="430"/>
      <c r="E6" s="431"/>
      <c r="F6" s="432" t="s">
        <v>42</v>
      </c>
      <c r="G6" s="433"/>
    </row>
    <row r="7" spans="1:9" ht="15.95" customHeight="1">
      <c r="B7" s="434" t="s">
        <v>67</v>
      </c>
      <c r="C7" s="435"/>
      <c r="D7" s="435"/>
      <c r="E7" s="419"/>
      <c r="F7" s="435" t="s">
        <v>72</v>
      </c>
      <c r="G7" s="419"/>
      <c r="I7" s="3" t="s">
        <v>69</v>
      </c>
    </row>
    <row r="8" spans="1:9" ht="15.95" customHeight="1">
      <c r="A8" s="75"/>
      <c r="B8" s="86" t="s">
        <v>18</v>
      </c>
      <c r="C8" s="19" t="s">
        <v>90</v>
      </c>
      <c r="D8" s="85" t="s">
        <v>90</v>
      </c>
      <c r="E8" s="85" t="s">
        <v>225</v>
      </c>
      <c r="F8" s="86" t="s">
        <v>18</v>
      </c>
      <c r="G8" s="86" t="s">
        <v>90</v>
      </c>
      <c r="I8" s="3" t="s">
        <v>94</v>
      </c>
    </row>
    <row r="9" spans="1:9" ht="15.95" customHeight="1">
      <c r="A9" s="42" t="s">
        <v>95</v>
      </c>
      <c r="B9" s="87" t="s">
        <v>96</v>
      </c>
      <c r="C9" s="87" t="s">
        <v>98</v>
      </c>
      <c r="D9" s="87" t="s">
        <v>410</v>
      </c>
      <c r="E9" s="87" t="s">
        <v>411</v>
      </c>
      <c r="F9" s="87" t="s">
        <v>96</v>
      </c>
      <c r="G9" s="87" t="s">
        <v>410</v>
      </c>
      <c r="I9" s="520" t="str">
        <f>+Data!T9</f>
        <v>Sept. 30 / 11</v>
      </c>
    </row>
    <row r="10" spans="1:9" ht="5.0999999999999996" customHeight="1">
      <c r="A10" s="5"/>
    </row>
    <row r="11" spans="1:9" ht="14.1" customHeight="1">
      <c r="A11" s="330" t="s">
        <v>238</v>
      </c>
      <c r="B11" s="331">
        <f>'- 32 -'!D11</f>
        <v>1249947</v>
      </c>
      <c r="C11" s="331">
        <f>B11/'- 7 -'!E11</f>
        <v>872.56335078534028</v>
      </c>
      <c r="D11" s="421">
        <f>B11/I11</f>
        <v>4.8866331233946729</v>
      </c>
      <c r="E11" s="331">
        <f>I11/'- 7 -'!E11</f>
        <v>178.56125654450261</v>
      </c>
      <c r="F11" s="331">
        <f>'- 32 -'!F11</f>
        <v>234872</v>
      </c>
      <c r="G11" s="421">
        <f>F11/I11</f>
        <v>0.91822556873047712</v>
      </c>
      <c r="I11" s="1">
        <f>+Data!T11</f>
        <v>255789</v>
      </c>
    </row>
    <row r="12" spans="1:9" ht="14.1" customHeight="1">
      <c r="A12" s="26" t="s">
        <v>239</v>
      </c>
      <c r="B12" s="27">
        <f>'- 32 -'!D12</f>
        <v>2199488</v>
      </c>
      <c r="C12" s="27">
        <f>B12/'- 7 -'!E12</f>
        <v>940.22536463587721</v>
      </c>
      <c r="D12" s="422">
        <f t="shared" ref="D12:D46" si="0">B12/I12</f>
        <v>5.7198791264231508</v>
      </c>
      <c r="E12" s="27">
        <f>I12/'- 7 -'!E12</f>
        <v>164.37853735273501</v>
      </c>
      <c r="F12" s="27">
        <f>'- 32 -'!F12</f>
        <v>433555</v>
      </c>
      <c r="G12" s="422">
        <f t="shared" ref="G12:G48" si="1">F12/I12</f>
        <v>1.1274815751012914</v>
      </c>
      <c r="I12" s="1">
        <f>+Data!T12</f>
        <v>384534</v>
      </c>
    </row>
    <row r="13" spans="1:9" ht="14.1" customHeight="1">
      <c r="A13" s="330" t="s">
        <v>240</v>
      </c>
      <c r="B13" s="331">
        <f>'- 32 -'!D13</f>
        <v>5254350</v>
      </c>
      <c r="C13" s="331">
        <f>B13/'- 7 -'!E13</f>
        <v>690.54409252201344</v>
      </c>
      <c r="D13" s="421">
        <f t="shared" si="0"/>
        <v>5.0539944961876335</v>
      </c>
      <c r="E13" s="331">
        <f>I13/'- 7 -'!E13</f>
        <v>136.63332895255618</v>
      </c>
      <c r="F13" s="331">
        <f>'- 32 -'!F13</f>
        <v>305443</v>
      </c>
      <c r="G13" s="421">
        <f t="shared" si="1"/>
        <v>0.29379604344953025</v>
      </c>
      <c r="I13" s="1">
        <f>+Data!T13</f>
        <v>1039643</v>
      </c>
    </row>
    <row r="14" spans="1:9" ht="14.1" customHeight="1">
      <c r="A14" s="26" t="s">
        <v>653</v>
      </c>
      <c r="B14" s="27">
        <f>'- 32 -'!D14</f>
        <v>5589797</v>
      </c>
      <c r="C14" s="44">
        <f>B14/'- 7 -'!E14</f>
        <v>1128.7958400646203</v>
      </c>
      <c r="D14" s="422">
        <f t="shared" si="0"/>
        <v>6.2356758312491216</v>
      </c>
      <c r="E14" s="44">
        <f>I14/'- 7 -'!E14</f>
        <v>181.02221324717286</v>
      </c>
      <c r="F14" s="44">
        <f>'- 32 -'!F14</f>
        <v>760766</v>
      </c>
      <c r="G14" s="422">
        <f t="shared" si="1"/>
        <v>0.8486694882544159</v>
      </c>
      <c r="I14" s="1">
        <f>+Data!T14</f>
        <v>896422</v>
      </c>
    </row>
    <row r="15" spans="1:9" ht="14.1" customHeight="1">
      <c r="A15" s="330" t="s">
        <v>241</v>
      </c>
      <c r="B15" s="331">
        <f>'- 32 -'!D15</f>
        <v>1794877</v>
      </c>
      <c r="C15" s="331">
        <f>B15/'- 7 -'!E15</f>
        <v>1170.8264840182649</v>
      </c>
      <c r="D15" s="421">
        <f t="shared" si="0"/>
        <v>6.2105610995003531</v>
      </c>
      <c r="E15" s="331">
        <f>I15/'- 7 -'!E15</f>
        <v>188.52185257664709</v>
      </c>
      <c r="F15" s="331">
        <f>'- 32 -'!F15</f>
        <v>253973</v>
      </c>
      <c r="G15" s="421">
        <f t="shared" si="1"/>
        <v>0.87878714481460463</v>
      </c>
      <c r="I15" s="1">
        <f>+Data!T15</f>
        <v>289004</v>
      </c>
    </row>
    <row r="16" spans="1:9" ht="14.1" customHeight="1">
      <c r="A16" s="26" t="s">
        <v>242</v>
      </c>
      <c r="B16" s="27">
        <f>'- 32 -'!D16</f>
        <v>1622449</v>
      </c>
      <c r="C16" s="27">
        <f>B16/'- 7 -'!E16</f>
        <v>1639.66548762001</v>
      </c>
      <c r="D16" s="422">
        <f t="shared" si="0"/>
        <v>8.2449474288676239</v>
      </c>
      <c r="E16" s="27">
        <f>I16/'- 7 -'!E16</f>
        <v>198.86912582112177</v>
      </c>
      <c r="F16" s="27">
        <f>'- 32 -'!F16</f>
        <v>260102</v>
      </c>
      <c r="G16" s="422">
        <f t="shared" si="1"/>
        <v>1.3217841153363383</v>
      </c>
      <c r="I16" s="1">
        <f>+Data!T16</f>
        <v>196781</v>
      </c>
    </row>
    <row r="17" spans="1:9" ht="14.1" customHeight="1">
      <c r="A17" s="330" t="s">
        <v>243</v>
      </c>
      <c r="B17" s="331">
        <f>'- 32 -'!D17</f>
        <v>1354653</v>
      </c>
      <c r="C17" s="331">
        <f>B17/'- 7 -'!E17</f>
        <v>1024.3122873345935</v>
      </c>
      <c r="D17" s="421">
        <f t="shared" si="0"/>
        <v>5.2102238854764824</v>
      </c>
      <c r="E17" s="331">
        <f>I17/'- 7 -'!E17</f>
        <v>196.59659735349717</v>
      </c>
      <c r="F17" s="331">
        <f>'- 32 -'!F17</f>
        <v>302521</v>
      </c>
      <c r="G17" s="421">
        <f t="shared" si="1"/>
        <v>1.1635467828722419</v>
      </c>
      <c r="I17" s="1">
        <f>+Data!T17</f>
        <v>259999</v>
      </c>
    </row>
    <row r="18" spans="1:9" ht="14.1" customHeight="1">
      <c r="A18" s="26" t="s">
        <v>244</v>
      </c>
      <c r="B18" s="27">
        <f>'- 32 -'!D18</f>
        <v>14374448</v>
      </c>
      <c r="C18" s="27">
        <f>B18/'- 7 -'!E18</f>
        <v>2486.8856940191345</v>
      </c>
      <c r="D18" s="422">
        <f>B18/I18</f>
        <v>10.372357021940452</v>
      </c>
      <c r="E18" s="27">
        <f>I18/'- 7 -'!E18</f>
        <v>239.76090379059184</v>
      </c>
      <c r="F18" s="27">
        <f>'- 32 -'!F18</f>
        <v>746185</v>
      </c>
      <c r="G18" s="422">
        <f>F18/I18</f>
        <v>0.53843439584021846</v>
      </c>
      <c r="I18" s="1">
        <f>+Data!T18</f>
        <v>1385842</v>
      </c>
    </row>
    <row r="19" spans="1:9" ht="14.1" customHeight="1">
      <c r="A19" s="330" t="s">
        <v>245</v>
      </c>
      <c r="B19" s="331">
        <f>'- 32 -'!D19</f>
        <v>2938522</v>
      </c>
      <c r="C19" s="331">
        <f>B19/'- 7 -'!E19</f>
        <v>709.71935078736362</v>
      </c>
      <c r="D19" s="421">
        <f t="shared" si="0"/>
        <v>5.6598419069778192</v>
      </c>
      <c r="E19" s="331">
        <f>I19/'- 7 -'!E19</f>
        <v>125.39561395034298</v>
      </c>
      <c r="F19" s="331">
        <f>'- 32 -'!F19</f>
        <v>87636</v>
      </c>
      <c r="G19" s="421">
        <f t="shared" si="1"/>
        <v>0.16879434809741364</v>
      </c>
      <c r="I19" s="1">
        <f>+Data!T19</f>
        <v>519188</v>
      </c>
    </row>
    <row r="20" spans="1:9" ht="14.1" customHeight="1">
      <c r="A20" s="26" t="s">
        <v>246</v>
      </c>
      <c r="B20" s="27">
        <f>'- 32 -'!D20</f>
        <v>5047358</v>
      </c>
      <c r="C20" s="27">
        <f>B20/'- 7 -'!E20</f>
        <v>691.7031656845279</v>
      </c>
      <c r="D20" s="422">
        <f t="shared" si="0"/>
        <v>5.9730138800298684</v>
      </c>
      <c r="E20" s="27">
        <f>I20/'- 7 -'!E20</f>
        <v>115.80471426613677</v>
      </c>
      <c r="F20" s="27">
        <f>'- 32 -'!F20</f>
        <v>621716</v>
      </c>
      <c r="G20" s="422">
        <f t="shared" si="1"/>
        <v>0.73573507118707449</v>
      </c>
      <c r="I20" s="1">
        <f>+Data!T20</f>
        <v>845027</v>
      </c>
    </row>
    <row r="21" spans="1:9" ht="14.1" customHeight="1">
      <c r="A21" s="330" t="s">
        <v>247</v>
      </c>
      <c r="B21" s="331">
        <f>'- 32 -'!D21</f>
        <v>2468043</v>
      </c>
      <c r="C21" s="331">
        <f>B21/'- 7 -'!E21</f>
        <v>868.11220541681325</v>
      </c>
      <c r="D21" s="421">
        <f t="shared" si="0"/>
        <v>5.4369246223628185</v>
      </c>
      <c r="E21" s="331">
        <f>I21/'- 7 -'!E21</f>
        <v>159.66971508969399</v>
      </c>
      <c r="F21" s="331">
        <f>'- 32 -'!F21</f>
        <v>436464</v>
      </c>
      <c r="G21" s="421">
        <f t="shared" si="1"/>
        <v>0.96149940190465277</v>
      </c>
      <c r="I21" s="1">
        <f>+Data!T21</f>
        <v>453941</v>
      </c>
    </row>
    <row r="22" spans="1:9" ht="14.1" customHeight="1">
      <c r="A22" s="26" t="s">
        <v>248</v>
      </c>
      <c r="B22" s="27">
        <f>'- 32 -'!D22</f>
        <v>1987386</v>
      </c>
      <c r="C22" s="27">
        <f>B22/'- 7 -'!E22</f>
        <v>1269.7329414771275</v>
      </c>
      <c r="D22" s="422">
        <f t="shared" si="0"/>
        <v>5.87301155756768</v>
      </c>
      <c r="E22" s="27">
        <f>I22/'- 7 -'!E22</f>
        <v>216.19792997699975</v>
      </c>
      <c r="F22" s="27">
        <f>'- 32 -'!F22</f>
        <v>88545</v>
      </c>
      <c r="G22" s="422">
        <f t="shared" si="1"/>
        <v>0.26166321407357718</v>
      </c>
      <c r="I22" s="1">
        <f>+Data!T22</f>
        <v>338393</v>
      </c>
    </row>
    <row r="23" spans="1:9" ht="14.1" customHeight="1">
      <c r="A23" s="330" t="s">
        <v>249</v>
      </c>
      <c r="B23" s="331">
        <f>'- 32 -'!D23</f>
        <v>1046701</v>
      </c>
      <c r="C23" s="331">
        <f>B23/'- 7 -'!E23</f>
        <v>877.00125680770839</v>
      </c>
      <c r="D23" s="421">
        <f t="shared" si="0"/>
        <v>4.4873486641286826</v>
      </c>
      <c r="E23" s="331">
        <f>I23/'- 7 -'!E23</f>
        <v>195.4386258902388</v>
      </c>
      <c r="F23" s="331">
        <f>'- 32 -'!F23</f>
        <v>125969</v>
      </c>
      <c r="G23" s="421">
        <f t="shared" si="1"/>
        <v>0.54004612957437326</v>
      </c>
      <c r="I23" s="1">
        <f>+Data!T23</f>
        <v>233256</v>
      </c>
    </row>
    <row r="24" spans="1:9" ht="14.1" customHeight="1">
      <c r="A24" s="26" t="s">
        <v>250</v>
      </c>
      <c r="B24" s="27">
        <f>'- 32 -'!D24</f>
        <v>4301229</v>
      </c>
      <c r="C24" s="27">
        <f>B24/'- 7 -'!E24</f>
        <v>993.01142791180882</v>
      </c>
      <c r="D24" s="422">
        <f t="shared" si="0"/>
        <v>6.0984130224882076</v>
      </c>
      <c r="E24" s="27">
        <f>I24/'- 7 -'!E24</f>
        <v>162.83112085882487</v>
      </c>
      <c r="F24" s="27">
        <f>'- 32 -'!F24</f>
        <v>307025</v>
      </c>
      <c r="G24" s="422">
        <f t="shared" si="1"/>
        <v>0.43530936349342053</v>
      </c>
      <c r="I24" s="1">
        <f>+Data!T24</f>
        <v>705303</v>
      </c>
    </row>
    <row r="25" spans="1:9" ht="14.1" customHeight="1">
      <c r="A25" s="330" t="s">
        <v>251</v>
      </c>
      <c r="B25" s="331">
        <f>'- 32 -'!D25</f>
        <v>14130523</v>
      </c>
      <c r="C25" s="331">
        <f>B25/'- 7 -'!E25</f>
        <v>1025.4370827285923</v>
      </c>
      <c r="D25" s="421">
        <f t="shared" si="0"/>
        <v>6.3275569459047487</v>
      </c>
      <c r="E25" s="331">
        <f>I25/'- 7 -'!E25</f>
        <v>162.05892597968071</v>
      </c>
      <c r="F25" s="331">
        <f>'- 32 -'!F25</f>
        <v>737836</v>
      </c>
      <c r="G25" s="421">
        <f t="shared" si="1"/>
        <v>0.33039819592937758</v>
      </c>
      <c r="I25" s="1">
        <f>+Data!T25</f>
        <v>2233172</v>
      </c>
    </row>
    <row r="26" spans="1:9" ht="14.1" customHeight="1">
      <c r="A26" s="26" t="s">
        <v>252</v>
      </c>
      <c r="B26" s="27">
        <f>'- 32 -'!D26</f>
        <v>3642846</v>
      </c>
      <c r="C26" s="27">
        <f>B26/'- 7 -'!E26</f>
        <v>1171.8983432523726</v>
      </c>
      <c r="D26" s="422">
        <f t="shared" si="0"/>
        <v>4.7321795316464081</v>
      </c>
      <c r="E26" s="27">
        <f>I26/'- 7 -'!E26</f>
        <v>247.64452308187228</v>
      </c>
      <c r="F26" s="27">
        <f>'- 32 -'!F26</f>
        <v>218185</v>
      </c>
      <c r="G26" s="422">
        <f t="shared" si="1"/>
        <v>0.28342965667839692</v>
      </c>
      <c r="I26" s="1">
        <f>+Data!T26</f>
        <v>769803</v>
      </c>
    </row>
    <row r="27" spans="1:9" ht="14.1" customHeight="1">
      <c r="A27" s="330" t="s">
        <v>253</v>
      </c>
      <c r="B27" s="331">
        <f>'- 32 -'!D27</f>
        <v>4871016</v>
      </c>
      <c r="C27" s="426">
        <f>B27/'- 7 -'!E27</f>
        <v>1742.5736056952742</v>
      </c>
      <c r="D27" s="423">
        <f t="shared" si="0"/>
        <v>10.536482803374431</v>
      </c>
      <c r="E27" s="426">
        <f>I27/'- 7 -'!E27</f>
        <v>165.38475297821341</v>
      </c>
      <c r="F27" s="426">
        <f>'- 32 -'!F27</f>
        <v>318051</v>
      </c>
      <c r="G27" s="423">
        <f t="shared" si="1"/>
        <v>0.68797534068786503</v>
      </c>
      <c r="I27" s="1">
        <f>+Data!T27</f>
        <v>462300</v>
      </c>
    </row>
    <row r="28" spans="1:9" ht="14.1" customHeight="1">
      <c r="A28" s="26" t="s">
        <v>254</v>
      </c>
      <c r="B28" s="27">
        <f>'- 32 -'!D28</f>
        <v>2564962</v>
      </c>
      <c r="C28" s="27">
        <f>B28/'- 7 -'!E28</f>
        <v>1280.5601597603595</v>
      </c>
      <c r="D28" s="422">
        <f t="shared" si="0"/>
        <v>6.3634225548837824</v>
      </c>
      <c r="E28" s="27">
        <f>I28/'- 7 -'!E28</f>
        <v>201.23764353469795</v>
      </c>
      <c r="F28" s="27">
        <f>'- 32 -'!F28</f>
        <v>135047</v>
      </c>
      <c r="G28" s="422">
        <f t="shared" si="1"/>
        <v>0.33503854083194612</v>
      </c>
      <c r="I28" s="1">
        <f>+Data!T28</f>
        <v>403079</v>
      </c>
    </row>
    <row r="29" spans="1:9" ht="14.1" customHeight="1">
      <c r="A29" s="330" t="s">
        <v>255</v>
      </c>
      <c r="B29" s="331">
        <f>'- 32 -'!D29</f>
        <v>11712057</v>
      </c>
      <c r="C29" s="331">
        <f>B29/'- 7 -'!E29</f>
        <v>961.23379074882644</v>
      </c>
      <c r="D29" s="421">
        <f t="shared" si="0"/>
        <v>6.8688951759617991</v>
      </c>
      <c r="E29" s="331">
        <f>I29/'- 7 -'!E29</f>
        <v>139.94008732477596</v>
      </c>
      <c r="F29" s="331">
        <f>'- 32 -'!F29</f>
        <v>2215594</v>
      </c>
      <c r="G29" s="421">
        <f t="shared" si="1"/>
        <v>1.2994030799619491</v>
      </c>
      <c r="I29" s="1">
        <f>+Data!T29</f>
        <v>1705086</v>
      </c>
    </row>
    <row r="30" spans="1:9" ht="14.1" customHeight="1">
      <c r="A30" s="26" t="s">
        <v>256</v>
      </c>
      <c r="B30" s="27">
        <f>'- 32 -'!D30</f>
        <v>1044478</v>
      </c>
      <c r="C30" s="27">
        <f>B30/'- 7 -'!E30</f>
        <v>951.25500910746814</v>
      </c>
      <c r="D30" s="422">
        <f t="shared" si="0"/>
        <v>4.9981002512262229</v>
      </c>
      <c r="E30" s="27">
        <f>I30/'- 7 -'!E30</f>
        <v>190.32331511839709</v>
      </c>
      <c r="F30" s="27">
        <f>'- 32 -'!F30</f>
        <v>341827</v>
      </c>
      <c r="G30" s="422">
        <f t="shared" si="1"/>
        <v>1.6357315468357458</v>
      </c>
      <c r="I30" s="1">
        <f>+Data!T30</f>
        <v>208975</v>
      </c>
    </row>
    <row r="31" spans="1:9" ht="14.1" customHeight="1">
      <c r="A31" s="330" t="s">
        <v>257</v>
      </c>
      <c r="B31" s="331">
        <f>'- 32 -'!D31</f>
        <v>3261540</v>
      </c>
      <c r="C31" s="331">
        <f>B31/'- 7 -'!E31</f>
        <v>1019.7092387056433</v>
      </c>
      <c r="D31" s="421">
        <f t="shared" si="0"/>
        <v>5.4861531629728315</v>
      </c>
      <c r="E31" s="331">
        <f>I31/'- 7 -'!E31</f>
        <v>185.86962638736907</v>
      </c>
      <c r="F31" s="331">
        <f>'- 32 -'!F31</f>
        <v>134717</v>
      </c>
      <c r="G31" s="421">
        <f t="shared" si="1"/>
        <v>0.22660402621344852</v>
      </c>
      <c r="I31" s="1">
        <f>+Data!T31</f>
        <v>594504</v>
      </c>
    </row>
    <row r="32" spans="1:9" ht="14.1" customHeight="1">
      <c r="A32" s="26" t="s">
        <v>258</v>
      </c>
      <c r="B32" s="27">
        <f>'- 32 -'!D32</f>
        <v>1900803</v>
      </c>
      <c r="C32" s="27">
        <f>B32/'- 7 -'!E32</f>
        <v>921.60145454545454</v>
      </c>
      <c r="D32" s="422">
        <f t="shared" si="0"/>
        <v>4.9433908778353972</v>
      </c>
      <c r="E32" s="27">
        <f>I32/'- 7 -'!E32</f>
        <v>186.4310303030303</v>
      </c>
      <c r="F32" s="27">
        <f>'- 32 -'!F32</f>
        <v>222811</v>
      </c>
      <c r="G32" s="422">
        <f t="shared" si="1"/>
        <v>0.57946134601080845</v>
      </c>
      <c r="I32" s="1">
        <f>+Data!T32</f>
        <v>384514</v>
      </c>
    </row>
    <row r="33" spans="1:9" ht="14.1" customHeight="1">
      <c r="A33" s="330" t="s">
        <v>259</v>
      </c>
      <c r="B33" s="331">
        <f>'- 32 -'!D33</f>
        <v>2521873</v>
      </c>
      <c r="C33" s="331">
        <f>B33/'- 7 -'!E33</f>
        <v>1237.7290797546011</v>
      </c>
      <c r="D33" s="421">
        <f t="shared" si="0"/>
        <v>5.1104164935751815</v>
      </c>
      <c r="E33" s="331">
        <f>I33/'- 7 -'!E33</f>
        <v>242.19730061349694</v>
      </c>
      <c r="F33" s="331">
        <f>'- 32 -'!F33</f>
        <v>267526</v>
      </c>
      <c r="G33" s="421">
        <f t="shared" si="1"/>
        <v>0.54212455697023365</v>
      </c>
      <c r="I33" s="1">
        <f>+Data!T33</f>
        <v>493477</v>
      </c>
    </row>
    <row r="34" spans="1:9" ht="14.1" customHeight="1">
      <c r="A34" s="26" t="s">
        <v>260</v>
      </c>
      <c r="B34" s="27">
        <f>'- 32 -'!D34</f>
        <v>1840217</v>
      </c>
      <c r="C34" s="27">
        <f>B34/'- 7 -'!E34</f>
        <v>923.20122410073748</v>
      </c>
      <c r="D34" s="422">
        <f t="shared" si="0"/>
        <v>4.9864838866142245</v>
      </c>
      <c r="E34" s="27">
        <f>I34/'- 7 -'!E34</f>
        <v>185.14072141674612</v>
      </c>
      <c r="F34" s="27">
        <f>'- 32 -'!F34</f>
        <v>252739</v>
      </c>
      <c r="G34" s="422">
        <f t="shared" si="1"/>
        <v>0.68485344446822982</v>
      </c>
      <c r="I34" s="1">
        <f>+Data!T34</f>
        <v>369041</v>
      </c>
    </row>
    <row r="35" spans="1:9" ht="14.1" customHeight="1">
      <c r="A35" s="330" t="s">
        <v>261</v>
      </c>
      <c r="B35" s="331">
        <f>'- 32 -'!D35</f>
        <v>15980116</v>
      </c>
      <c r="C35" s="331">
        <f>B35/'- 7 -'!E35</f>
        <v>1013.6130157622657</v>
      </c>
      <c r="D35" s="421">
        <f t="shared" si="0"/>
        <v>6.5377920915382441</v>
      </c>
      <c r="E35" s="331">
        <f>I35/'- 7 -'!E35</f>
        <v>155.03904094383304</v>
      </c>
      <c r="F35" s="331">
        <f>'- 32 -'!F35</f>
        <v>671345</v>
      </c>
      <c r="G35" s="421">
        <f t="shared" si="1"/>
        <v>0.27466096189124922</v>
      </c>
      <c r="I35" s="1">
        <f>+Data!T35</f>
        <v>2444268</v>
      </c>
    </row>
    <row r="36" spans="1:9" ht="14.1" customHeight="1">
      <c r="A36" s="26" t="s">
        <v>262</v>
      </c>
      <c r="B36" s="27">
        <f>'- 32 -'!D36</f>
        <v>1922842</v>
      </c>
      <c r="C36" s="27">
        <f>B36/'- 7 -'!E36</f>
        <v>1152.0922708208509</v>
      </c>
      <c r="D36" s="422">
        <f t="shared" si="0"/>
        <v>5.9779639676050422</v>
      </c>
      <c r="E36" s="27">
        <f>I36/'- 7 -'!E36</f>
        <v>192.72318753744759</v>
      </c>
      <c r="F36" s="27">
        <f>'- 32 -'!F36</f>
        <v>108369</v>
      </c>
      <c r="G36" s="422">
        <f t="shared" si="1"/>
        <v>0.33691066515365842</v>
      </c>
      <c r="I36" s="1">
        <f>+Data!T36</f>
        <v>321655</v>
      </c>
    </row>
    <row r="37" spans="1:9" ht="14.1" customHeight="1">
      <c r="A37" s="330" t="s">
        <v>263</v>
      </c>
      <c r="B37" s="331">
        <f>'- 32 -'!D37</f>
        <v>3133383</v>
      </c>
      <c r="C37" s="331">
        <f>B37/'- 7 -'!E37</f>
        <v>852.04160435078177</v>
      </c>
      <c r="D37" s="421">
        <f t="shared" si="0"/>
        <v>5.6985727120290113</v>
      </c>
      <c r="E37" s="331">
        <f>I37/'- 7 -'!E37</f>
        <v>149.51842284160435</v>
      </c>
      <c r="F37" s="331">
        <f>'- 32 -'!F37</f>
        <v>214304</v>
      </c>
      <c r="G37" s="421">
        <f t="shared" si="1"/>
        <v>0.38974709650198053</v>
      </c>
      <c r="I37" s="1">
        <f>+Data!T37</f>
        <v>549854</v>
      </c>
    </row>
    <row r="38" spans="1:9" ht="14.1" customHeight="1">
      <c r="A38" s="26" t="s">
        <v>264</v>
      </c>
      <c r="B38" s="27">
        <f>'- 32 -'!D38</f>
        <v>8465616</v>
      </c>
      <c r="C38" s="27">
        <f>B38/'- 7 -'!E38</f>
        <v>833.4267937308025</v>
      </c>
      <c r="D38" s="422">
        <f t="shared" si="0"/>
        <v>7.2620726926475259</v>
      </c>
      <c r="E38" s="27">
        <f>I38/'- 7 -'!E38</f>
        <v>114.76431440497755</v>
      </c>
      <c r="F38" s="27">
        <f>'- 32 -'!F38</f>
        <v>399773</v>
      </c>
      <c r="G38" s="422">
        <f t="shared" si="1"/>
        <v>0.34293790157240528</v>
      </c>
      <c r="I38" s="1">
        <f>+Data!T38</f>
        <v>1165730</v>
      </c>
    </row>
    <row r="39" spans="1:9" ht="14.1" customHeight="1">
      <c r="A39" s="330" t="s">
        <v>265</v>
      </c>
      <c r="B39" s="331">
        <f>'- 32 -'!D39</f>
        <v>1646206</v>
      </c>
      <c r="C39" s="331">
        <f>B39/'- 7 -'!E39</f>
        <v>1035.9360644389906</v>
      </c>
      <c r="D39" s="421">
        <f t="shared" si="0"/>
        <v>5.2649445267100132</v>
      </c>
      <c r="E39" s="331">
        <f>I39/'- 7 -'!E39</f>
        <v>196.76105971933799</v>
      </c>
      <c r="F39" s="331">
        <f>'- 32 -'!F39</f>
        <v>162329</v>
      </c>
      <c r="G39" s="421">
        <f t="shared" si="1"/>
        <v>0.51916539004007378</v>
      </c>
      <c r="I39" s="1">
        <f>+Data!T39</f>
        <v>312673</v>
      </c>
    </row>
    <row r="40" spans="1:9" ht="14.1" customHeight="1">
      <c r="A40" s="26" t="s">
        <v>266</v>
      </c>
      <c r="B40" s="27">
        <f>'- 32 -'!D40</f>
        <v>7193407</v>
      </c>
      <c r="C40" s="27">
        <f>B40/'- 7 -'!E40</f>
        <v>877.35175021344071</v>
      </c>
      <c r="D40" s="422">
        <f t="shared" si="0"/>
        <v>5.0654050228680276</v>
      </c>
      <c r="E40" s="27">
        <f>I40/'- 7 -'!E40</f>
        <v>173.20465910476887</v>
      </c>
      <c r="F40" s="27">
        <f>'- 32 -'!F40</f>
        <v>1150337</v>
      </c>
      <c r="G40" s="422">
        <f t="shared" si="1"/>
        <v>0.81003658180204985</v>
      </c>
      <c r="I40" s="1">
        <f>+Data!T40</f>
        <v>1420105</v>
      </c>
    </row>
    <row r="41" spans="1:9" ht="14.1" customHeight="1">
      <c r="A41" s="330" t="s">
        <v>267</v>
      </c>
      <c r="B41" s="331">
        <f>'- 32 -'!D41</f>
        <v>3850037</v>
      </c>
      <c r="C41" s="331">
        <f>B41/'- 7 -'!E41</f>
        <v>846.6271577789995</v>
      </c>
      <c r="D41" s="421">
        <f t="shared" si="0"/>
        <v>5.3106156116804835</v>
      </c>
      <c r="E41" s="331">
        <f>I41/'- 7 -'!E41</f>
        <v>159.4216602528862</v>
      </c>
      <c r="F41" s="331">
        <f>'- 32 -'!F41</f>
        <v>471233</v>
      </c>
      <c r="G41" s="421">
        <f t="shared" si="1"/>
        <v>0.65000344841855529</v>
      </c>
      <c r="I41" s="1">
        <f>+Data!T41</f>
        <v>724970</v>
      </c>
    </row>
    <row r="42" spans="1:9" ht="14.1" customHeight="1">
      <c r="A42" s="26" t="s">
        <v>268</v>
      </c>
      <c r="B42" s="27">
        <f>'- 32 -'!D42</f>
        <v>1556495</v>
      </c>
      <c r="C42" s="27">
        <f>B42/'- 7 -'!E42</f>
        <v>1063.3249077742862</v>
      </c>
      <c r="D42" s="422">
        <f t="shared" si="0"/>
        <v>4.8245309511780077</v>
      </c>
      <c r="E42" s="27">
        <f>I42/'- 7 -'!E42</f>
        <v>220.39964476021316</v>
      </c>
      <c r="F42" s="27">
        <f>'- 32 -'!F42</f>
        <v>128477</v>
      </c>
      <c r="G42" s="422">
        <f t="shared" si="1"/>
        <v>0.39822888156691599</v>
      </c>
      <c r="I42" s="1">
        <f>+Data!T42</f>
        <v>322621</v>
      </c>
    </row>
    <row r="43" spans="1:9" ht="14.1" customHeight="1">
      <c r="A43" s="330" t="s">
        <v>269</v>
      </c>
      <c r="B43" s="331">
        <f>'- 32 -'!D43</f>
        <v>748585</v>
      </c>
      <c r="C43" s="331">
        <f>B43/'- 7 -'!E43</f>
        <v>769.5158305921052</v>
      </c>
      <c r="D43" s="421">
        <f t="shared" si="0"/>
        <v>4.0996341690489491</v>
      </c>
      <c r="E43" s="331">
        <f>I43/'- 7 -'!E43</f>
        <v>187.70353618421052</v>
      </c>
      <c r="F43" s="331">
        <f>'- 32 -'!F43</f>
        <v>70735</v>
      </c>
      <c r="G43" s="421">
        <f t="shared" si="1"/>
        <v>0.38738102279323977</v>
      </c>
      <c r="I43" s="1">
        <f>+Data!T43</f>
        <v>182598</v>
      </c>
    </row>
    <row r="44" spans="1:9" ht="14.1" customHeight="1">
      <c r="A44" s="26" t="s">
        <v>270</v>
      </c>
      <c r="B44" s="27">
        <f>'- 32 -'!D44</f>
        <v>950883</v>
      </c>
      <c r="C44" s="27">
        <f>B44/'- 7 -'!E44</f>
        <v>1328.9769392033543</v>
      </c>
      <c r="D44" s="422">
        <f t="shared" si="0"/>
        <v>5.309021981273764</v>
      </c>
      <c r="E44" s="27">
        <f>I44/'- 7 -'!E44</f>
        <v>250.32424877707896</v>
      </c>
      <c r="F44" s="27">
        <f>'- 32 -'!F44</f>
        <v>88546</v>
      </c>
      <c r="G44" s="422">
        <f t="shared" si="1"/>
        <v>0.49437487088723503</v>
      </c>
      <c r="I44" s="1">
        <f>+Data!T44</f>
        <v>179107</v>
      </c>
    </row>
    <row r="45" spans="1:9" ht="14.1" customHeight="1">
      <c r="A45" s="330" t="s">
        <v>271</v>
      </c>
      <c r="B45" s="331">
        <f>'- 32 -'!D45</f>
        <v>1238122</v>
      </c>
      <c r="C45" s="331">
        <f>B45/'- 7 -'!E45</f>
        <v>747.20700060350032</v>
      </c>
      <c r="D45" s="421">
        <f t="shared" si="0"/>
        <v>6.0900031479951204</v>
      </c>
      <c r="E45" s="331">
        <f>I45/'- 7 -'!E45</f>
        <v>122.69402534701267</v>
      </c>
      <c r="F45" s="331">
        <f>'- 32 -'!F45</f>
        <v>137114</v>
      </c>
      <c r="G45" s="421">
        <f t="shared" si="1"/>
        <v>0.67442844213591469</v>
      </c>
      <c r="I45" s="1">
        <f>+Data!T45</f>
        <v>203304</v>
      </c>
    </row>
    <row r="46" spans="1:9" ht="14.1" customHeight="1">
      <c r="A46" s="26" t="s">
        <v>272</v>
      </c>
      <c r="B46" s="27">
        <f>'- 32 -'!D46</f>
        <v>33413966</v>
      </c>
      <c r="C46" s="27">
        <f>B46/'- 7 -'!E46</f>
        <v>1104.7144316570073</v>
      </c>
      <c r="D46" s="422">
        <f t="shared" si="0"/>
        <v>6.7173404820994378</v>
      </c>
      <c r="E46" s="27">
        <f>I46/'- 7 -'!E46</f>
        <v>164.4571143298277</v>
      </c>
      <c r="F46" s="27">
        <f>'- 32 -'!F46</f>
        <v>3561171</v>
      </c>
      <c r="G46" s="422">
        <f t="shared" si="1"/>
        <v>0.71591615679439358</v>
      </c>
      <c r="I46" s="1">
        <f>+Data!T46</f>
        <v>4974285</v>
      </c>
    </row>
    <row r="47" spans="1:9" ht="5.0999999999999996" customHeight="1">
      <c r="A47"/>
      <c r="B47" s="29"/>
      <c r="C47" s="427"/>
      <c r="D47" s="424"/>
      <c r="E47" s="427"/>
      <c r="F47" s="427"/>
      <c r="G47" s="424"/>
      <c r="I47"/>
    </row>
    <row r="48" spans="1:9" ht="14.1" customHeight="1">
      <c r="A48" s="332" t="s">
        <v>273</v>
      </c>
      <c r="B48" s="333">
        <f>SUM(B11:B46)</f>
        <v>178819221</v>
      </c>
      <c r="C48" s="333">
        <f>B48/'- 7 -'!E48</f>
        <v>1038.1345786358149</v>
      </c>
      <c r="D48" s="425">
        <f>B48/I48</f>
        <v>6.334762705564069</v>
      </c>
      <c r="E48" s="333">
        <f>I48/'- 7 -'!E48</f>
        <v>163.879000191117</v>
      </c>
      <c r="F48" s="333">
        <f>SUM(F11:F46)</f>
        <v>16972838</v>
      </c>
      <c r="G48" s="425">
        <f t="shared" si="1"/>
        <v>0.60127149961122273</v>
      </c>
      <c r="I48" s="1">
        <f>+Data!T48</f>
        <v>28228243</v>
      </c>
    </row>
    <row r="49" spans="1:9" ht="5.0999999999999996" customHeight="1">
      <c r="A49" s="28" t="s">
        <v>18</v>
      </c>
      <c r="B49" s="29"/>
      <c r="C49" s="427"/>
      <c r="D49" s="424"/>
      <c r="E49" s="427"/>
      <c r="F49" s="427"/>
      <c r="G49" s="424"/>
    </row>
    <row r="50" spans="1:9" ht="14.1" customHeight="1">
      <c r="A50" s="26" t="s">
        <v>274</v>
      </c>
      <c r="B50" s="27">
        <f>'- 32 -'!D50</f>
        <v>479216</v>
      </c>
      <c r="C50" s="27">
        <f>B50/'- 7 -'!E50</f>
        <v>2647.6022099447514</v>
      </c>
      <c r="D50" s="422">
        <f>B50/I50</f>
        <v>6.5282946898073728</v>
      </c>
      <c r="E50" s="27">
        <f>I50/'- 7 -'!E50</f>
        <v>405.55801104972375</v>
      </c>
      <c r="F50" s="27">
        <f>'- 32 -'!F50</f>
        <v>0</v>
      </c>
      <c r="G50" s="422">
        <f>F50/I50</f>
        <v>0</v>
      </c>
      <c r="I50" s="1">
        <f>+Data!T50</f>
        <v>73406</v>
      </c>
    </row>
    <row r="51" spans="1:9" ht="14.1" customHeight="1">
      <c r="A51" s="330" t="s">
        <v>275</v>
      </c>
      <c r="B51" s="331">
        <f>'- 32 -'!D51</f>
        <v>948659</v>
      </c>
      <c r="C51" s="331">
        <f>B51/'- 7 -'!E51</f>
        <v>1476.5120622568093</v>
      </c>
      <c r="D51" s="423" t="s">
        <v>197</v>
      </c>
      <c r="E51" s="331">
        <f>I51/'- 7 -'!E51</f>
        <v>0</v>
      </c>
      <c r="F51" s="331">
        <f>'- 32 -'!F51</f>
        <v>35102</v>
      </c>
      <c r="G51" s="423" t="s">
        <v>197</v>
      </c>
    </row>
    <row r="52" spans="1:9" ht="50.1" customHeight="1">
      <c r="A52" s="30"/>
      <c r="B52" s="30"/>
      <c r="C52" s="30"/>
      <c r="D52" s="30"/>
      <c r="E52" s="30"/>
      <c r="F52" s="30"/>
      <c r="G52" s="30"/>
      <c r="I52" s="253"/>
    </row>
    <row r="53" spans="1:9" ht="15" customHeight="1">
      <c r="A53" s="151" t="s">
        <v>742</v>
      </c>
    </row>
    <row r="54" spans="1:9" ht="12" customHeight="1">
      <c r="A54" s="32" t="s">
        <v>628</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sheetPr codeName="Sheet52">
    <pageSetUpPr fitToPage="1"/>
  </sheetPr>
  <dimension ref="A1:J56"/>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9.83203125" style="1" customWidth="1"/>
    <col min="5" max="5" width="14.83203125" style="1" customWidth="1"/>
    <col min="6" max="6" width="8.83203125" style="1" customWidth="1"/>
    <col min="7" max="7" width="9.83203125" style="1" customWidth="1"/>
    <col min="8" max="8" width="14.83203125" style="1" customWidth="1"/>
    <col min="9" max="9" width="8.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52"/>
      <c r="B2" s="8" t="s">
        <v>533</v>
      </c>
      <c r="C2" s="9"/>
      <c r="D2" s="9"/>
      <c r="E2" s="9"/>
      <c r="F2" s="9"/>
      <c r="G2" s="9"/>
      <c r="H2" s="82"/>
      <c r="I2" s="173"/>
      <c r="J2" s="92"/>
    </row>
    <row r="3" spans="1:10" ht="15.95" customHeight="1">
      <c r="A3" s="154"/>
      <c r="B3" s="10" t="str">
        <f>OPYEAR</f>
        <v>OPERATING FUND 2011/2012 ACTUAL</v>
      </c>
      <c r="C3" s="11"/>
      <c r="D3" s="11"/>
      <c r="E3" s="11"/>
      <c r="F3" s="11"/>
      <c r="G3" s="11"/>
      <c r="H3" s="84"/>
      <c r="I3" s="84"/>
      <c r="J3" s="74"/>
    </row>
    <row r="4" spans="1:10" ht="15.95" customHeight="1">
      <c r="B4" s="7"/>
      <c r="C4" s="7"/>
      <c r="D4" s="7"/>
      <c r="E4" s="7"/>
      <c r="F4" s="7"/>
      <c r="G4" s="7"/>
      <c r="H4" s="7"/>
      <c r="I4" s="7"/>
      <c r="J4" s="7"/>
    </row>
    <row r="5" spans="1:10" ht="14.1" customHeight="1"/>
    <row r="6" spans="1:10" ht="18" customHeight="1">
      <c r="B6" s="480" t="s">
        <v>485</v>
      </c>
      <c r="C6" s="175"/>
      <c r="D6" s="176"/>
      <c r="E6" s="176"/>
      <c r="F6" s="176"/>
      <c r="G6" s="176"/>
      <c r="H6" s="176"/>
      <c r="I6" s="176"/>
      <c r="J6" s="177"/>
    </row>
    <row r="7" spans="1:10" ht="15.95" customHeight="1">
      <c r="B7" s="344" t="s">
        <v>167</v>
      </c>
      <c r="C7" s="345"/>
      <c r="D7" s="346"/>
      <c r="E7" s="344" t="s">
        <v>154</v>
      </c>
      <c r="F7" s="345"/>
      <c r="G7" s="346"/>
      <c r="H7" s="344" t="s">
        <v>510</v>
      </c>
      <c r="I7" s="345"/>
      <c r="J7" s="346"/>
    </row>
    <row r="8" spans="1:10" ht="15.95" customHeight="1">
      <c r="A8" s="75"/>
      <c r="B8" s="157"/>
      <c r="C8" s="77"/>
      <c r="D8" s="19" t="s">
        <v>75</v>
      </c>
      <c r="E8" s="157"/>
      <c r="F8" s="155"/>
      <c r="G8" s="19" t="s">
        <v>75</v>
      </c>
      <c r="H8" s="157"/>
      <c r="I8" s="155"/>
      <c r="J8" s="19" t="s">
        <v>75</v>
      </c>
    </row>
    <row r="9" spans="1:10" ht="15.95" customHeight="1">
      <c r="A9" s="42" t="s">
        <v>95</v>
      </c>
      <c r="B9" s="87" t="s">
        <v>96</v>
      </c>
      <c r="C9" s="87" t="s">
        <v>97</v>
      </c>
      <c r="D9" s="87" t="s">
        <v>98</v>
      </c>
      <c r="E9" s="87" t="s">
        <v>96</v>
      </c>
      <c r="F9" s="87" t="s">
        <v>97</v>
      </c>
      <c r="G9" s="87" t="s">
        <v>98</v>
      </c>
      <c r="H9" s="87" t="s">
        <v>96</v>
      </c>
      <c r="I9" s="87" t="s">
        <v>97</v>
      </c>
      <c r="J9" s="87" t="s">
        <v>98</v>
      </c>
    </row>
    <row r="10" spans="1:10" ht="5.0999999999999996" customHeight="1">
      <c r="A10" s="5"/>
    </row>
    <row r="11" spans="1:10" ht="14.1" customHeight="1">
      <c r="A11" s="330" t="s">
        <v>238</v>
      </c>
      <c r="B11" s="331">
        <v>121444</v>
      </c>
      <c r="C11" s="337">
        <f>B11/'- 3 -'!$D11*100</f>
        <v>0.80683046123152524</v>
      </c>
      <c r="D11" s="331">
        <f>B11/'- 7 -'!$E11</f>
        <v>84.777661431064573</v>
      </c>
      <c r="E11" s="331">
        <v>92012</v>
      </c>
      <c r="F11" s="337">
        <f>E11/'- 3 -'!$D11*100</f>
        <v>0.61129478935834702</v>
      </c>
      <c r="G11" s="331">
        <f>E11/'- 7 -'!$E11</f>
        <v>64.231762652705058</v>
      </c>
      <c r="H11" s="331">
        <v>240283</v>
      </c>
      <c r="I11" s="337">
        <f>H11/'- 3 -'!$D11*100</f>
        <v>1.5963542350062137</v>
      </c>
      <c r="J11" s="331">
        <f>H11/'- 7 -'!$E11</f>
        <v>167.73682373472948</v>
      </c>
    </row>
    <row r="12" spans="1:10" ht="14.1" customHeight="1">
      <c r="A12" s="26" t="s">
        <v>239</v>
      </c>
      <c r="B12" s="27">
        <v>273646</v>
      </c>
      <c r="C12" s="79">
        <f>B12/'- 3 -'!$D12*100</f>
        <v>0.95691581367672807</v>
      </c>
      <c r="D12" s="27">
        <f>B12/'- 7 -'!$E12</f>
        <v>116.97672828001301</v>
      </c>
      <c r="E12" s="27">
        <v>91976</v>
      </c>
      <c r="F12" s="79">
        <f>E12/'- 3 -'!$D12*100</f>
        <v>0.32163192182137051</v>
      </c>
      <c r="G12" s="27">
        <f>E12/'- 7 -'!$E12</f>
        <v>39.317408477677276</v>
      </c>
      <c r="H12" s="27">
        <v>452239</v>
      </c>
      <c r="I12" s="79">
        <f>H12/'- 3 -'!$D12*100</f>
        <v>1.5814397091912538</v>
      </c>
      <c r="J12" s="27">
        <f>H12/'- 7 -'!$E12</f>
        <v>193.32070858198111</v>
      </c>
    </row>
    <row r="13" spans="1:10" ht="14.1" customHeight="1">
      <c r="A13" s="330" t="s">
        <v>240</v>
      </c>
      <c r="B13" s="331">
        <v>305241</v>
      </c>
      <c r="C13" s="337">
        <f>B13/'- 3 -'!$D13*100</f>
        <v>0.41548876722093486</v>
      </c>
      <c r="D13" s="331">
        <f>B13/'- 7 -'!$E13</f>
        <v>40.115783940070969</v>
      </c>
      <c r="E13" s="331">
        <v>127365</v>
      </c>
      <c r="F13" s="337">
        <f>E13/'- 3 -'!$D13*100</f>
        <v>0.17336703403898679</v>
      </c>
      <c r="G13" s="331">
        <f>E13/'- 7 -'!$E13</f>
        <v>16.738730450781969</v>
      </c>
      <c r="H13" s="331">
        <v>705652</v>
      </c>
      <c r="I13" s="337">
        <f>H13/'- 3 -'!$D13*100</f>
        <v>0.96052129159250266</v>
      </c>
      <c r="J13" s="331">
        <f>H13/'- 7 -'!$E13</f>
        <v>92.739124720725457</v>
      </c>
    </row>
    <row r="14" spans="1:10" ht="14.1" customHeight="1">
      <c r="A14" s="26" t="s">
        <v>653</v>
      </c>
      <c r="B14" s="27">
        <v>278548</v>
      </c>
      <c r="C14" s="79">
        <f>B14/'- 3 -'!$D14*100</f>
        <v>0.4189751705002781</v>
      </c>
      <c r="D14" s="27">
        <f>B14/'- 7 -'!$E14</f>
        <v>56.249596122778676</v>
      </c>
      <c r="E14" s="27">
        <v>204132</v>
      </c>
      <c r="F14" s="79">
        <f>E14/'- 3 -'!$D14*100</f>
        <v>0.30704309312780126</v>
      </c>
      <c r="G14" s="27">
        <f>E14/'- 7 -'!$E14</f>
        <v>41.222132471728592</v>
      </c>
      <c r="H14" s="27">
        <v>944000</v>
      </c>
      <c r="I14" s="79">
        <f>H14/'- 3 -'!$D14*100</f>
        <v>1.4199080982533085</v>
      </c>
      <c r="J14" s="27">
        <f>H14/'- 7 -'!$E14</f>
        <v>190.63004846526655</v>
      </c>
    </row>
    <row r="15" spans="1:10" ht="14.1" customHeight="1">
      <c r="A15" s="330" t="s">
        <v>241</v>
      </c>
      <c r="B15" s="331">
        <v>60931</v>
      </c>
      <c r="C15" s="337">
        <f>B15/'- 3 -'!$D15*100</f>
        <v>0.33288554142783539</v>
      </c>
      <c r="D15" s="331">
        <f>B15/'- 7 -'!$E15</f>
        <v>39.746249184605347</v>
      </c>
      <c r="E15" s="331">
        <v>114128</v>
      </c>
      <c r="F15" s="337">
        <f>E15/'- 3 -'!$D15*100</f>
        <v>0.62351776718051555</v>
      </c>
      <c r="G15" s="331">
        <f>E15/'- 7 -'!$E15</f>
        <v>74.447488584474883</v>
      </c>
      <c r="H15" s="331">
        <v>513703</v>
      </c>
      <c r="I15" s="337">
        <f>H15/'- 3 -'!$D15*100</f>
        <v>2.8065237939325351</v>
      </c>
      <c r="J15" s="331">
        <f>H15/'- 7 -'!$E15</f>
        <v>335.09654272667973</v>
      </c>
    </row>
    <row r="16" spans="1:10" ht="14.1" customHeight="1">
      <c r="A16" s="26" t="s">
        <v>242</v>
      </c>
      <c r="B16" s="27">
        <v>97451</v>
      </c>
      <c r="C16" s="79">
        <f>B16/'- 3 -'!$D16*100</f>
        <v>0.77351910513052613</v>
      </c>
      <c r="D16" s="27">
        <f>B16/'- 7 -'!$E16</f>
        <v>98.485093481556348</v>
      </c>
      <c r="E16" s="27">
        <v>37445</v>
      </c>
      <c r="F16" s="79">
        <f>E16/'- 3 -'!$D16*100</f>
        <v>0.29722037630822207</v>
      </c>
      <c r="G16" s="27">
        <f>E16/'- 7 -'!$E16</f>
        <v>37.842344618494188</v>
      </c>
      <c r="H16" s="27">
        <v>78262</v>
      </c>
      <c r="I16" s="79">
        <f>H16/'- 3 -'!$D16*100</f>
        <v>0.62120606464505479</v>
      </c>
      <c r="J16" s="27">
        <f>H16/'- 7 -'!$E16</f>
        <v>79.092470944921672</v>
      </c>
    </row>
    <row r="17" spans="1:10" ht="14.1" customHeight="1">
      <c r="A17" s="330" t="s">
        <v>243</v>
      </c>
      <c r="B17" s="331">
        <v>127361</v>
      </c>
      <c r="C17" s="337">
        <f>B17/'- 3 -'!$D17*100</f>
        <v>0.80001959831617797</v>
      </c>
      <c r="D17" s="331">
        <f>B17/'- 7 -'!$E17</f>
        <v>96.303213610586013</v>
      </c>
      <c r="E17" s="331">
        <v>118954</v>
      </c>
      <c r="F17" s="337">
        <f>E17/'- 3 -'!$D17*100</f>
        <v>0.74721093033269714</v>
      </c>
      <c r="G17" s="331">
        <f>E17/'- 7 -'!$E17</f>
        <v>89.946313799621933</v>
      </c>
      <c r="H17" s="331">
        <v>219601</v>
      </c>
      <c r="I17" s="337">
        <f>H17/'- 3 -'!$D17*100</f>
        <v>1.3794262278863312</v>
      </c>
      <c r="J17" s="331">
        <f>H17/'- 7 -'!$E17</f>
        <v>166.04990548204159</v>
      </c>
    </row>
    <row r="18" spans="1:10" ht="14.1" customHeight="1">
      <c r="A18" s="26" t="s">
        <v>244</v>
      </c>
      <c r="B18" s="27">
        <v>389440</v>
      </c>
      <c r="C18" s="79">
        <f>B18/'- 3 -'!$D18*100</f>
        <v>0.35731396238531038</v>
      </c>
      <c r="D18" s="27">
        <f>B18/'- 7 -'!$E18</f>
        <v>67.375996955069979</v>
      </c>
      <c r="E18" s="27">
        <v>142</v>
      </c>
      <c r="F18" s="79">
        <f>E18/'- 3 -'!$D18*100</f>
        <v>1.3028600723786481E-4</v>
      </c>
      <c r="G18" s="27">
        <f>E18/'- 7 -'!$E18</f>
        <v>2.4567049012992854E-2</v>
      </c>
      <c r="H18" s="27">
        <v>1570376</v>
      </c>
      <c r="I18" s="79">
        <f>H18/'- 3 -'!$D18*100</f>
        <v>1.4408311190293603</v>
      </c>
      <c r="J18" s="27">
        <f>H18/'- 7 -'!$E18</f>
        <v>271.68664901991315</v>
      </c>
    </row>
    <row r="19" spans="1:10" ht="14.1" customHeight="1">
      <c r="A19" s="330" t="s">
        <v>245</v>
      </c>
      <c r="B19" s="331">
        <v>296110</v>
      </c>
      <c r="C19" s="337">
        <f>B19/'- 3 -'!$D19*100</f>
        <v>0.79761642227323459</v>
      </c>
      <c r="D19" s="331">
        <f>B19/'- 7 -'!$E19</f>
        <v>71.517244710655987</v>
      </c>
      <c r="E19" s="331">
        <v>145460</v>
      </c>
      <c r="F19" s="337">
        <f>E19/'- 3 -'!$D19*100</f>
        <v>0.39181819183365879</v>
      </c>
      <c r="G19" s="331">
        <f>E19/'- 7 -'!$E19</f>
        <v>35.131871316780988</v>
      </c>
      <c r="H19" s="331">
        <v>708713</v>
      </c>
      <c r="I19" s="337">
        <f>H19/'- 3 -'!$D19*100</f>
        <v>1.9090241041455231</v>
      </c>
      <c r="J19" s="331">
        <f>H19/'- 7 -'!$E19</f>
        <v>171.17017679451263</v>
      </c>
    </row>
    <row r="20" spans="1:10" ht="14.1" customHeight="1">
      <c r="A20" s="26" t="s">
        <v>246</v>
      </c>
      <c r="B20" s="27">
        <v>364546</v>
      </c>
      <c r="C20" s="79">
        <f>B20/'- 3 -'!$D20*100</f>
        <v>0.58008149044914115</v>
      </c>
      <c r="D20" s="27">
        <f>B20/'- 7 -'!$E20</f>
        <v>49.958339043442514</v>
      </c>
      <c r="E20" s="27">
        <v>214321</v>
      </c>
      <c r="F20" s="79">
        <f>E20/'- 3 -'!$D20*100</f>
        <v>0.34103692020911042</v>
      </c>
      <c r="G20" s="27">
        <f>E20/'- 7 -'!$E20</f>
        <v>29.371111415650269</v>
      </c>
      <c r="H20" s="27">
        <v>962527</v>
      </c>
      <c r="I20" s="79">
        <f>H20/'- 3 -'!$D20*100</f>
        <v>1.5316149313325078</v>
      </c>
      <c r="J20" s="27">
        <f>H20/'- 7 -'!$E20</f>
        <v>131.90722214608743</v>
      </c>
    </row>
    <row r="21" spans="1:10" ht="14.1" customHeight="1">
      <c r="A21" s="330" t="s">
        <v>247</v>
      </c>
      <c r="B21" s="331">
        <v>322248</v>
      </c>
      <c r="C21" s="337">
        <f>B21/'- 3 -'!$D21*100</f>
        <v>1.024782201822066</v>
      </c>
      <c r="D21" s="331">
        <f>B21/'- 7 -'!$E21</f>
        <v>113.34787196623286</v>
      </c>
      <c r="E21" s="331">
        <v>216864</v>
      </c>
      <c r="F21" s="337">
        <f>E21/'- 3 -'!$D21*100</f>
        <v>0.68965010617890743</v>
      </c>
      <c r="G21" s="331">
        <f>E21/'- 7 -'!$E21</f>
        <v>76.279985930355252</v>
      </c>
      <c r="H21" s="331">
        <v>545299</v>
      </c>
      <c r="I21" s="337">
        <f>H21/'- 3 -'!$D21*100</f>
        <v>1.7341076123711268</v>
      </c>
      <c r="J21" s="331">
        <f>H21/'- 7 -'!$E21</f>
        <v>191.80408019697504</v>
      </c>
    </row>
    <row r="22" spans="1:10" ht="14.1" customHeight="1">
      <c r="A22" s="26" t="s">
        <v>248</v>
      </c>
      <c r="B22" s="27">
        <v>112259</v>
      </c>
      <c r="C22" s="79">
        <f>B22/'- 3 -'!$D22*100</f>
        <v>0.61624464109138966</v>
      </c>
      <c r="D22" s="27">
        <f>B22/'- 7 -'!$E22</f>
        <v>71.721824686940963</v>
      </c>
      <c r="E22" s="27">
        <v>46136</v>
      </c>
      <c r="F22" s="79">
        <f>E22/'- 3 -'!$D22*100</f>
        <v>0.25326310372791805</v>
      </c>
      <c r="G22" s="27">
        <f>E22/'- 7 -'!$E22</f>
        <v>29.476105290058779</v>
      </c>
      <c r="H22" s="27">
        <v>210770</v>
      </c>
      <c r="I22" s="79">
        <f>H22/'- 3 -'!$D22*100</f>
        <v>1.1570197757225005</v>
      </c>
      <c r="J22" s="27">
        <f>H22/'- 7 -'!$E22</f>
        <v>134.66010733452595</v>
      </c>
    </row>
    <row r="23" spans="1:10" ht="14.1" customHeight="1">
      <c r="A23" s="330" t="s">
        <v>249</v>
      </c>
      <c r="B23" s="331">
        <v>56302</v>
      </c>
      <c r="C23" s="337">
        <f>B23/'- 3 -'!$D23*100</f>
        <v>0.36856272907929294</v>
      </c>
      <c r="D23" s="331">
        <f>B23/'- 7 -'!$E23</f>
        <v>47.173858399664852</v>
      </c>
      <c r="E23" s="331">
        <v>29898</v>
      </c>
      <c r="F23" s="337">
        <f>E23/'- 3 -'!$D23*100</f>
        <v>0.19571753177529574</v>
      </c>
      <c r="G23" s="331">
        <f>E23/'- 7 -'!$E23</f>
        <v>25.05069124423963</v>
      </c>
      <c r="H23" s="331">
        <v>118637</v>
      </c>
      <c r="I23" s="337">
        <f>H23/'- 3 -'!$D23*100</f>
        <v>0.77661853024368721</v>
      </c>
      <c r="J23" s="331">
        <f>H23/'- 7 -'!$E23</f>
        <v>99.402597402597408</v>
      </c>
    </row>
    <row r="24" spans="1:10" ht="14.1" customHeight="1">
      <c r="A24" s="26" t="s">
        <v>250</v>
      </c>
      <c r="B24" s="27">
        <v>539537</v>
      </c>
      <c r="C24" s="79">
        <f>B24/'- 3 -'!$D24*100</f>
        <v>1.1000678264072961</v>
      </c>
      <c r="D24" s="27">
        <f>B24/'- 7 -'!$E24</f>
        <v>124.56123744661203</v>
      </c>
      <c r="E24" s="27">
        <v>247681</v>
      </c>
      <c r="F24" s="79">
        <f>E24/'- 3 -'!$D24*100</f>
        <v>0.50499947049486038</v>
      </c>
      <c r="G24" s="27">
        <f>E24/'- 7 -'!$E24</f>
        <v>57.181345954057484</v>
      </c>
      <c r="H24" s="27">
        <v>597891</v>
      </c>
      <c r="I24" s="79">
        <f>H24/'- 3 -'!$D24*100</f>
        <v>1.2190464283237008</v>
      </c>
      <c r="J24" s="27">
        <f>H24/'- 7 -'!$E24</f>
        <v>138.03324483435298</v>
      </c>
    </row>
    <row r="25" spans="1:10" ht="14.1" customHeight="1">
      <c r="A25" s="330" t="s">
        <v>251</v>
      </c>
      <c r="B25" s="331">
        <v>883198</v>
      </c>
      <c r="C25" s="337">
        <f>B25/'- 3 -'!$D25*100</f>
        <v>0.60773218194981238</v>
      </c>
      <c r="D25" s="331">
        <f>B25/'- 7 -'!$E25</f>
        <v>64.092743105950646</v>
      </c>
      <c r="E25" s="331">
        <v>828953</v>
      </c>
      <c r="F25" s="337">
        <f>E25/'- 3 -'!$D25*100</f>
        <v>0.5704059739988574</v>
      </c>
      <c r="G25" s="331">
        <f>E25/'- 7 -'!$E25</f>
        <v>60.15624092888244</v>
      </c>
      <c r="H25" s="331">
        <v>1228174</v>
      </c>
      <c r="I25" s="337">
        <f>H25/'- 3 -'!$D25*100</f>
        <v>0.84511158860643798</v>
      </c>
      <c r="J25" s="331">
        <f>H25/'- 7 -'!$E25</f>
        <v>89.127285921625543</v>
      </c>
    </row>
    <row r="26" spans="1:10" ht="14.1" customHeight="1">
      <c r="A26" s="26" t="s">
        <v>252</v>
      </c>
      <c r="B26" s="27">
        <v>244657</v>
      </c>
      <c r="C26" s="79">
        <f>B26/'- 3 -'!$D26*100</f>
        <v>0.68058170002803198</v>
      </c>
      <c r="D26" s="27">
        <f>B26/'- 7 -'!$E26</f>
        <v>78.705806659160373</v>
      </c>
      <c r="E26" s="27">
        <v>316065</v>
      </c>
      <c r="F26" s="79">
        <f>E26/'- 3 -'!$D26*100</f>
        <v>0.87922297346636291</v>
      </c>
      <c r="G26" s="27">
        <f>E26/'- 7 -'!$E26</f>
        <v>101.67765803442175</v>
      </c>
      <c r="H26" s="27">
        <v>735354</v>
      </c>
      <c r="I26" s="79">
        <f>H26/'- 3 -'!$D26*100</f>
        <v>2.0455923004141039</v>
      </c>
      <c r="J26" s="27">
        <f>H26/'- 7 -'!$E26</f>
        <v>236.56232909763551</v>
      </c>
    </row>
    <row r="27" spans="1:10" ht="14.1" customHeight="1">
      <c r="A27" s="330" t="s">
        <v>253</v>
      </c>
      <c r="B27" s="331">
        <v>237611</v>
      </c>
      <c r="C27" s="337">
        <f>B27/'- 3 -'!$D27*100</f>
        <v>0.59621965060034476</v>
      </c>
      <c r="D27" s="331">
        <f>B27/'- 7 -'!$E27</f>
        <v>85.003756305226631</v>
      </c>
      <c r="E27" s="331">
        <v>122092</v>
      </c>
      <c r="F27" s="337">
        <f>E27/'- 3 -'!$D27*100</f>
        <v>0.30635639587854641</v>
      </c>
      <c r="G27" s="331">
        <f>E27/'- 7 -'!$E27</f>
        <v>43.677601688548634</v>
      </c>
      <c r="H27" s="331">
        <v>573180</v>
      </c>
      <c r="I27" s="337">
        <f>H27/'- 3 -'!$D27*100</f>
        <v>1.4382380417198937</v>
      </c>
      <c r="J27" s="331">
        <f>H27/'- 7 -'!$E27</f>
        <v>205.05133617143059</v>
      </c>
    </row>
    <row r="28" spans="1:10" ht="14.1" customHeight="1">
      <c r="A28" s="26" t="s">
        <v>254</v>
      </c>
      <c r="B28" s="27">
        <v>143072</v>
      </c>
      <c r="C28" s="79">
        <f>B28/'- 3 -'!$D28*100</f>
        <v>0.57753499786116835</v>
      </c>
      <c r="D28" s="27">
        <f>B28/'- 7 -'!$E28</f>
        <v>71.428856714927605</v>
      </c>
      <c r="E28" s="27">
        <v>154480</v>
      </c>
      <c r="F28" s="79">
        <f>E28/'- 3 -'!$D28*100</f>
        <v>0.62358537288633198</v>
      </c>
      <c r="G28" s="27">
        <f>E28/'- 7 -'!$E28</f>
        <v>77.124313529705447</v>
      </c>
      <c r="H28" s="27">
        <v>312435</v>
      </c>
      <c r="I28" s="79">
        <f>H28/'- 3 -'!$D28*100</f>
        <v>1.2611981873235443</v>
      </c>
      <c r="J28" s="27">
        <f>H28/'- 7 -'!$E28</f>
        <v>155.9835247129306</v>
      </c>
    </row>
    <row r="29" spans="1:10" ht="14.1" customHeight="1">
      <c r="A29" s="330" t="s">
        <v>255</v>
      </c>
      <c r="B29" s="331">
        <v>994661</v>
      </c>
      <c r="C29" s="337">
        <f>B29/'- 3 -'!$D29*100</f>
        <v>0.73739797170464794</v>
      </c>
      <c r="D29" s="331">
        <f>B29/'- 7 -'!$E29</f>
        <v>81.633974590459928</v>
      </c>
      <c r="E29" s="331">
        <v>398655</v>
      </c>
      <c r="F29" s="337">
        <f>E29/'- 3 -'!$D29*100</f>
        <v>0.29554530479220198</v>
      </c>
      <c r="G29" s="331">
        <f>E29/'- 7 -'!$E29</f>
        <v>32.718476084173204</v>
      </c>
      <c r="H29" s="331">
        <v>1003631</v>
      </c>
      <c r="I29" s="337">
        <f>H29/'- 3 -'!$D29*100</f>
        <v>0.74404793566844141</v>
      </c>
      <c r="J29" s="331">
        <f>H29/'- 7 -'!$E29</f>
        <v>82.370161846295261</v>
      </c>
    </row>
    <row r="30" spans="1:10" ht="14.1" customHeight="1">
      <c r="A30" s="26" t="s">
        <v>256</v>
      </c>
      <c r="B30" s="27">
        <v>100163</v>
      </c>
      <c r="C30" s="79">
        <f>B30/'- 3 -'!$D30*100</f>
        <v>0.77738431981452616</v>
      </c>
      <c r="D30" s="27">
        <f>B30/'- 7 -'!$E30</f>
        <v>91.223132969034609</v>
      </c>
      <c r="E30" s="27">
        <v>33250</v>
      </c>
      <c r="F30" s="79">
        <f>E30/'- 3 -'!$D30*100</f>
        <v>0.25805964911028018</v>
      </c>
      <c r="G30" s="27">
        <f>E30/'- 7 -'!$E30</f>
        <v>30.282331511839708</v>
      </c>
      <c r="H30" s="27">
        <v>195642</v>
      </c>
      <c r="I30" s="79">
        <f>H30/'- 3 -'!$D30*100</f>
        <v>1.5184152141724341</v>
      </c>
      <c r="J30" s="27">
        <f>H30/'- 7 -'!$E30</f>
        <v>178.18032786885246</v>
      </c>
    </row>
    <row r="31" spans="1:10" ht="14.1" customHeight="1">
      <c r="A31" s="330" t="s">
        <v>257</v>
      </c>
      <c r="B31" s="331">
        <v>198681</v>
      </c>
      <c r="C31" s="337">
        <f>B31/'- 3 -'!$D31*100</f>
        <v>0.61996760570108955</v>
      </c>
      <c r="D31" s="331">
        <f>B31/'- 7 -'!$E31</f>
        <v>62.116929810848838</v>
      </c>
      <c r="E31" s="331">
        <v>170109</v>
      </c>
      <c r="F31" s="337">
        <f>E31/'- 3 -'!$D31*100</f>
        <v>0.53081104603966478</v>
      </c>
      <c r="G31" s="331">
        <f>E31/'- 7 -'!$E31</f>
        <v>53.183992496482723</v>
      </c>
      <c r="H31" s="331">
        <v>264462</v>
      </c>
      <c r="I31" s="337">
        <f>H31/'- 3 -'!$D31*100</f>
        <v>0.82523176820592581</v>
      </c>
      <c r="J31" s="331">
        <f>H31/'- 7 -'!$E31</f>
        <v>82.683132718461778</v>
      </c>
    </row>
    <row r="32" spans="1:10" ht="14.1" customHeight="1">
      <c r="A32" s="26" t="s">
        <v>258</v>
      </c>
      <c r="B32" s="27">
        <v>236452</v>
      </c>
      <c r="C32" s="79">
        <f>B32/'- 3 -'!$D32*100</f>
        <v>0.99902949826708187</v>
      </c>
      <c r="D32" s="27">
        <f>B32/'- 7 -'!$E32</f>
        <v>114.64339393939395</v>
      </c>
      <c r="E32" s="27">
        <v>85222</v>
      </c>
      <c r="F32" s="79">
        <f>E32/'- 3 -'!$D32*100</f>
        <v>0.36007008568892318</v>
      </c>
      <c r="G32" s="27">
        <f>E32/'- 7 -'!$E32</f>
        <v>41.319757575757578</v>
      </c>
      <c r="H32" s="27">
        <v>236034</v>
      </c>
      <c r="I32" s="79">
        <f>H32/'- 3 -'!$D32*100</f>
        <v>0.99726341326769241</v>
      </c>
      <c r="J32" s="27">
        <f>H32/'- 7 -'!$E32</f>
        <v>114.44072727272727</v>
      </c>
    </row>
    <row r="33" spans="1:10" ht="14.1" customHeight="1">
      <c r="A33" s="330" t="s">
        <v>259</v>
      </c>
      <c r="B33" s="331">
        <v>206037</v>
      </c>
      <c r="C33" s="337">
        <f>B33/'- 3 -'!$D33*100</f>
        <v>0.84128724212030981</v>
      </c>
      <c r="D33" s="331">
        <f>B33/'- 7 -'!$E33</f>
        <v>101.12245398773005</v>
      </c>
      <c r="E33" s="331">
        <v>65225</v>
      </c>
      <c r="F33" s="337">
        <f>E33/'- 3 -'!$D33*100</f>
        <v>0.26632575880689979</v>
      </c>
      <c r="G33" s="331">
        <f>E33/'- 7 -'!$E33</f>
        <v>32.012269938650306</v>
      </c>
      <c r="H33" s="331">
        <v>324898</v>
      </c>
      <c r="I33" s="337">
        <f>H33/'- 3 -'!$D33*100</f>
        <v>1.3266187257162765</v>
      </c>
      <c r="J33" s="331">
        <f>H33/'- 7 -'!$E33</f>
        <v>159.45914110429447</v>
      </c>
    </row>
    <row r="34" spans="1:10" ht="14.1" customHeight="1">
      <c r="A34" s="26" t="s">
        <v>260</v>
      </c>
      <c r="B34" s="27">
        <v>120332</v>
      </c>
      <c r="C34" s="79">
        <f>B34/'- 3 -'!$D34*100</f>
        <v>0.53176586463701325</v>
      </c>
      <c r="D34" s="27">
        <f>B34/'- 7 -'!$E34</f>
        <v>60.368233582501382</v>
      </c>
      <c r="E34" s="27">
        <v>96483</v>
      </c>
      <c r="F34" s="79">
        <f>E34/'- 3 -'!$D34*100</f>
        <v>0.42637341619663049</v>
      </c>
      <c r="G34" s="27">
        <f>E34/'- 7 -'!$E34</f>
        <v>48.403652234987206</v>
      </c>
      <c r="H34" s="27">
        <v>185806</v>
      </c>
      <c r="I34" s="79">
        <f>H34/'- 3 -'!$D34*100</f>
        <v>0.82110567633501375</v>
      </c>
      <c r="J34" s="27">
        <f>H34/'- 7 -'!$E34</f>
        <v>93.215271158380574</v>
      </c>
    </row>
    <row r="35" spans="1:10" ht="14.1" customHeight="1">
      <c r="A35" s="330" t="s">
        <v>261</v>
      </c>
      <c r="B35" s="331">
        <v>523899</v>
      </c>
      <c r="C35" s="337">
        <f>B35/'- 3 -'!$D35*100</f>
        <v>0.32562783531469147</v>
      </c>
      <c r="D35" s="331">
        <f>B35/'- 7 -'!$E35</f>
        <v>33.230725317941072</v>
      </c>
      <c r="E35" s="331">
        <v>296475</v>
      </c>
      <c r="F35" s="337">
        <f>E35/'- 3 -'!$D35*100</f>
        <v>0.18427313752254373</v>
      </c>
      <c r="G35" s="331">
        <f>E35/'- 7 -'!$E35</f>
        <v>18.805302717960103</v>
      </c>
      <c r="H35" s="331">
        <v>503108</v>
      </c>
      <c r="I35" s="337">
        <f>H35/'- 3 -'!$D35*100</f>
        <v>0.31270525229004786</v>
      </c>
      <c r="J35" s="331">
        <f>H35/'- 7 -'!$E35</f>
        <v>31.911959658748533</v>
      </c>
    </row>
    <row r="36" spans="1:10" ht="14.1" customHeight="1">
      <c r="A36" s="26" t="s">
        <v>262</v>
      </c>
      <c r="B36" s="27">
        <v>147604</v>
      </c>
      <c r="C36" s="79">
        <f>B36/'- 3 -'!$D36*100</f>
        <v>0.72476794428433577</v>
      </c>
      <c r="D36" s="27">
        <f>B36/'- 7 -'!$E36</f>
        <v>88.438585979628513</v>
      </c>
      <c r="E36" s="27">
        <v>194935</v>
      </c>
      <c r="F36" s="79">
        <f>E36/'- 3 -'!$D36*100</f>
        <v>0.95717351304210585</v>
      </c>
      <c r="G36" s="27">
        <f>E36/'- 7 -'!$E36</f>
        <v>116.79748352306771</v>
      </c>
      <c r="H36" s="27">
        <v>260848</v>
      </c>
      <c r="I36" s="79">
        <f>H36/'- 3 -'!$D36*100</f>
        <v>1.2808207686152167</v>
      </c>
      <c r="J36" s="27">
        <f>H36/'- 7 -'!$E36</f>
        <v>156.28999400838825</v>
      </c>
    </row>
    <row r="37" spans="1:10" ht="14.1" customHeight="1">
      <c r="A37" s="330" t="s">
        <v>263</v>
      </c>
      <c r="B37" s="331">
        <v>197269</v>
      </c>
      <c r="C37" s="337">
        <f>B37/'- 3 -'!$D37*100</f>
        <v>0.5259645627613122</v>
      </c>
      <c r="D37" s="331">
        <f>B37/'- 7 -'!$E37</f>
        <v>53.642148198504415</v>
      </c>
      <c r="E37" s="331">
        <v>212614</v>
      </c>
      <c r="F37" s="337">
        <f>E37/'- 3 -'!$D37*100</f>
        <v>0.56687786498098358</v>
      </c>
      <c r="G37" s="331">
        <f>E37/'- 7 -'!$E37</f>
        <v>57.814819850441879</v>
      </c>
      <c r="H37" s="331">
        <v>451063</v>
      </c>
      <c r="I37" s="337">
        <f>H37/'- 3 -'!$D37*100</f>
        <v>1.2026377868433751</v>
      </c>
      <c r="J37" s="331">
        <f>H37/'- 7 -'!$E37</f>
        <v>122.65479265805574</v>
      </c>
    </row>
    <row r="38" spans="1:10" ht="14.1" customHeight="1">
      <c r="A38" s="26" t="s">
        <v>264</v>
      </c>
      <c r="B38" s="27">
        <v>263796</v>
      </c>
      <c r="C38" s="79">
        <f>B38/'- 3 -'!$D38*100</f>
        <v>0.25693462507113168</v>
      </c>
      <c r="D38" s="27">
        <f>B38/'- 7 -'!$E38</f>
        <v>25.970307946759075</v>
      </c>
      <c r="E38" s="27">
        <v>368815</v>
      </c>
      <c r="F38" s="79">
        <f>E38/'- 3 -'!$D38*100</f>
        <v>0.35922206457114375</v>
      </c>
      <c r="G38" s="27">
        <f>E38/'- 7 -'!$E38</f>
        <v>36.309265968338977</v>
      </c>
      <c r="H38" s="27">
        <v>1215742</v>
      </c>
      <c r="I38" s="79">
        <f>H38/'- 3 -'!$D38*100</f>
        <v>1.1841203617690481</v>
      </c>
      <c r="J38" s="27">
        <f>H38/'- 7 -'!$E38</f>
        <v>119.68791840592266</v>
      </c>
    </row>
    <row r="39" spans="1:10" ht="14.1" customHeight="1">
      <c r="A39" s="330" t="s">
        <v>265</v>
      </c>
      <c r="B39" s="331">
        <v>206952</v>
      </c>
      <c r="C39" s="337">
        <f>B39/'- 3 -'!$D39*100</f>
        <v>1.0892483411689682</v>
      </c>
      <c r="D39" s="331">
        <f>B39/'- 7 -'!$E39</f>
        <v>130.23220690957146</v>
      </c>
      <c r="E39" s="331">
        <v>170655</v>
      </c>
      <c r="F39" s="337">
        <f>E39/'- 3 -'!$D39*100</f>
        <v>0.89820671296817756</v>
      </c>
      <c r="G39" s="331">
        <f>E39/'- 7 -'!$E39</f>
        <v>107.39097602416463</v>
      </c>
      <c r="H39" s="331">
        <v>126389</v>
      </c>
      <c r="I39" s="337">
        <f>H39/'- 3 -'!$D39*100</f>
        <v>0.66522192871779318</v>
      </c>
      <c r="J39" s="331">
        <f>H39/'- 7 -'!$E39</f>
        <v>79.534956893839279</v>
      </c>
    </row>
    <row r="40" spans="1:10" ht="14.1" customHeight="1">
      <c r="A40" s="26" t="s">
        <v>266</v>
      </c>
      <c r="B40" s="27">
        <v>694864</v>
      </c>
      <c r="C40" s="79">
        <f>B40/'- 3 -'!$D40*100</f>
        <v>0.76485994357553044</v>
      </c>
      <c r="D40" s="27">
        <f>B40/'- 7 -'!$E40</f>
        <v>84.749847542383222</v>
      </c>
      <c r="E40" s="27">
        <v>122582</v>
      </c>
      <c r="F40" s="79">
        <f>E40/'- 3 -'!$D40*100</f>
        <v>0.13493008934608164</v>
      </c>
      <c r="G40" s="27">
        <f>E40/'- 7 -'!$E40</f>
        <v>14.950847664349311</v>
      </c>
      <c r="H40" s="27">
        <v>1229218</v>
      </c>
      <c r="I40" s="79">
        <f>H40/'- 3 -'!$D40*100</f>
        <v>1.3530411852132596</v>
      </c>
      <c r="J40" s="27">
        <f>H40/'- 7 -'!$E40</f>
        <v>149.92291742895475</v>
      </c>
    </row>
    <row r="41" spans="1:10" ht="14.1" customHeight="1">
      <c r="A41" s="330" t="s">
        <v>267</v>
      </c>
      <c r="B41" s="331">
        <v>495048</v>
      </c>
      <c r="C41" s="337">
        <f>B41/'- 3 -'!$D41*100</f>
        <v>0.89655996132307469</v>
      </c>
      <c r="D41" s="331">
        <f>B41/'- 7 -'!$E41</f>
        <v>108.8615722924684</v>
      </c>
      <c r="E41" s="331">
        <v>389881</v>
      </c>
      <c r="F41" s="337">
        <f>E41/'- 3 -'!$D41*100</f>
        <v>0.70609656898038509</v>
      </c>
      <c r="G41" s="331">
        <f>E41/'- 7 -'!$E41</f>
        <v>85.735239142385922</v>
      </c>
      <c r="H41" s="331">
        <v>155624</v>
      </c>
      <c r="I41" s="337">
        <f>H41/'- 3 -'!$D41*100</f>
        <v>0.28184387659568805</v>
      </c>
      <c r="J41" s="331">
        <f>H41/'- 7 -'!$E41</f>
        <v>34.221880153930734</v>
      </c>
    </row>
    <row r="42" spans="1:10" ht="14.1" customHeight="1">
      <c r="A42" s="26" t="s">
        <v>268</v>
      </c>
      <c r="B42" s="27">
        <v>132504</v>
      </c>
      <c r="C42" s="79">
        <f>B42/'- 3 -'!$D42*100</f>
        <v>0.69045505189928813</v>
      </c>
      <c r="D42" s="27">
        <f>B42/'- 7 -'!$E42</f>
        <v>90.52056291843148</v>
      </c>
      <c r="E42" s="27">
        <v>112120</v>
      </c>
      <c r="F42" s="79">
        <f>E42/'- 3 -'!$D42*100</f>
        <v>0.58423761108304795</v>
      </c>
      <c r="G42" s="27">
        <f>E42/'- 7 -'!$E42</f>
        <v>76.595163273671275</v>
      </c>
      <c r="H42" s="27">
        <v>407035</v>
      </c>
      <c r="I42" s="79">
        <f>H42/'- 3 -'!$D42*100</f>
        <v>2.1209878347055691</v>
      </c>
      <c r="J42" s="27">
        <f>H42/'- 7 -'!$E42</f>
        <v>278.06735892881539</v>
      </c>
    </row>
    <row r="43" spans="1:10" ht="14.1" customHeight="1">
      <c r="A43" s="330" t="s">
        <v>269</v>
      </c>
      <c r="B43" s="331">
        <v>42282</v>
      </c>
      <c r="C43" s="337">
        <f>B43/'- 3 -'!$D43*100</f>
        <v>0.37384469945475013</v>
      </c>
      <c r="D43" s="331">
        <f>B43/'- 7 -'!$E43</f>
        <v>43.464226973684205</v>
      </c>
      <c r="E43" s="331">
        <v>78220</v>
      </c>
      <c r="F43" s="337">
        <f>E43/'- 3 -'!$D43*100</f>
        <v>0.69159766310369797</v>
      </c>
      <c r="G43" s="331">
        <f>E43/'- 7 -'!$E43</f>
        <v>80.407072368421041</v>
      </c>
      <c r="H43" s="331">
        <v>126158</v>
      </c>
      <c r="I43" s="337">
        <f>H43/'- 3 -'!$D43*100</f>
        <v>1.1154510097396615</v>
      </c>
      <c r="J43" s="331">
        <f>H43/'- 7 -'!$E43</f>
        <v>129.68544407894737</v>
      </c>
    </row>
    <row r="44" spans="1:10" ht="14.1" customHeight="1">
      <c r="A44" s="26" t="s">
        <v>270</v>
      </c>
      <c r="B44" s="27">
        <v>100500</v>
      </c>
      <c r="C44" s="79">
        <f>B44/'- 3 -'!$D44*100</f>
        <v>1.0383478924172398</v>
      </c>
      <c r="D44" s="27">
        <f>B44/'- 7 -'!$E44</f>
        <v>140.46121593291406</v>
      </c>
      <c r="E44" s="27">
        <v>66584</v>
      </c>
      <c r="F44" s="79">
        <f>E44/'- 3 -'!$D44*100</f>
        <v>0.68793389123094018</v>
      </c>
      <c r="G44" s="27">
        <f>E44/'- 7 -'!$E44</f>
        <v>93.059399021663168</v>
      </c>
      <c r="H44" s="27">
        <v>173156</v>
      </c>
      <c r="I44" s="79">
        <f>H44/'- 3 -'!$D44*100</f>
        <v>1.7890165936258664</v>
      </c>
      <c r="J44" s="27">
        <f>H44/'- 7 -'!$E44</f>
        <v>242.00698812019567</v>
      </c>
    </row>
    <row r="45" spans="1:10" ht="14.1" customHeight="1">
      <c r="A45" s="330" t="s">
        <v>271</v>
      </c>
      <c r="B45" s="331">
        <v>151709</v>
      </c>
      <c r="C45" s="337">
        <f>B45/'- 3 -'!$D45*100</f>
        <v>0.97740032734848059</v>
      </c>
      <c r="D45" s="331">
        <f>B45/'- 7 -'!$E45</f>
        <v>91.556427278213633</v>
      </c>
      <c r="E45" s="331">
        <v>23468</v>
      </c>
      <c r="F45" s="337">
        <f>E45/'- 3 -'!$D45*100</f>
        <v>0.15119492503552287</v>
      </c>
      <c r="G45" s="331">
        <f>E45/'- 7 -'!$E45</f>
        <v>14.162945081472541</v>
      </c>
      <c r="H45" s="331">
        <v>140504</v>
      </c>
      <c r="I45" s="337">
        <f>H45/'- 3 -'!$D45*100</f>
        <v>0.90521099996553211</v>
      </c>
      <c r="J45" s="331">
        <f>H45/'- 7 -'!$E45</f>
        <v>84.794206397103196</v>
      </c>
    </row>
    <row r="46" spans="1:10" ht="14.1" customHeight="1">
      <c r="A46" s="26" t="s">
        <v>272</v>
      </c>
      <c r="B46" s="27">
        <v>2098601</v>
      </c>
      <c r="C46" s="79">
        <f>B46/'- 3 -'!$D46*100</f>
        <v>0.62448736325158638</v>
      </c>
      <c r="D46" s="27">
        <f>B46/'- 7 -'!$E46</f>
        <v>69.382808703098192</v>
      </c>
      <c r="E46" s="27">
        <v>1043490</v>
      </c>
      <c r="F46" s="79">
        <f>E46/'- 3 -'!$D46*100</f>
        <v>0.3105146326907296</v>
      </c>
      <c r="G46" s="27">
        <f>E46/'- 7 -'!$E46</f>
        <v>34.49930075016448</v>
      </c>
      <c r="H46" s="27">
        <v>2554156</v>
      </c>
      <c r="I46" s="79">
        <f>H46/'- 3 -'!$D46*100</f>
        <v>0.7600483111240387</v>
      </c>
      <c r="J46" s="27">
        <f>H46/'- 7 -'!$E46</f>
        <v>84.44412117685566</v>
      </c>
    </row>
    <row r="47" spans="1:10" ht="5.0999999999999996" customHeight="1">
      <c r="A47" s="28"/>
      <c r="B47" s="29"/>
      <c r="C47"/>
      <c r="D47"/>
      <c r="E47"/>
      <c r="F47"/>
      <c r="G47"/>
      <c r="H47"/>
      <c r="I47"/>
      <c r="J47"/>
    </row>
    <row r="48" spans="1:10" ht="14.1" customHeight="1">
      <c r="A48" s="332" t="s">
        <v>273</v>
      </c>
      <c r="B48" s="333">
        <f>SUM(B11:B46)</f>
        <v>11764956</v>
      </c>
      <c r="C48" s="340">
        <f>B48/'- 3 -'!$D48*100</f>
        <v>0.61017773294431921</v>
      </c>
      <c r="D48" s="333">
        <f>B48/'- 7 -'!$E48</f>
        <v>68.30142515680069</v>
      </c>
      <c r="E48" s="333">
        <v>7036887</v>
      </c>
      <c r="F48" s="340">
        <f>E48/'- 3 -'!$D48*100</f>
        <v>0.36496114024101339</v>
      </c>
      <c r="G48" s="333">
        <f>E48/'- 7 -'!$E48</f>
        <v>40.852631388282603</v>
      </c>
      <c r="H48" s="333">
        <v>20270570</v>
      </c>
      <c r="I48" s="340">
        <f>H48/'- 3 -'!$D48*100</f>
        <v>1.0513129371745316</v>
      </c>
      <c r="J48" s="333">
        <f>H48/'- 7 -'!$E48</f>
        <v>117.68074778526068</v>
      </c>
    </row>
    <row r="49" spans="1:10" ht="5.0999999999999996" customHeight="1">
      <c r="A49" s="28" t="s">
        <v>18</v>
      </c>
      <c r="B49" s="29"/>
      <c r="C49"/>
      <c r="D49"/>
      <c r="E49"/>
      <c r="F49"/>
      <c r="G49"/>
      <c r="H49"/>
      <c r="I49"/>
      <c r="J49"/>
    </row>
    <row r="50" spans="1:10" ht="14.1" customHeight="1">
      <c r="A50" s="26" t="s">
        <v>274</v>
      </c>
      <c r="B50" s="27">
        <v>0</v>
      </c>
      <c r="C50" s="79">
        <f>B50/'- 3 -'!$D50*100</f>
        <v>0</v>
      </c>
      <c r="D50" s="27">
        <f>B50/'- 7 -'!$E50</f>
        <v>0</v>
      </c>
      <c r="E50" s="27">
        <v>10455</v>
      </c>
      <c r="F50" s="79">
        <f>E50/'- 3 -'!$D50*100</f>
        <v>0.3236306060760834</v>
      </c>
      <c r="G50" s="27">
        <f>E50/'- 7 -'!$E50</f>
        <v>57.762430939226519</v>
      </c>
      <c r="H50" s="27">
        <v>66986</v>
      </c>
      <c r="I50" s="79">
        <f>H50/'- 3 -'!$D50*100</f>
        <v>2.073526521148974</v>
      </c>
      <c r="J50" s="27">
        <f>H50/'- 7 -'!$E50</f>
        <v>370.08839779005524</v>
      </c>
    </row>
    <row r="51" spans="1:10" ht="14.1" customHeight="1">
      <c r="A51" s="330" t="s">
        <v>275</v>
      </c>
      <c r="B51" s="331">
        <v>62445</v>
      </c>
      <c r="C51" s="337">
        <f>B51/'- 3 -'!$D51*100</f>
        <v>0.40605480416577311</v>
      </c>
      <c r="D51" s="331">
        <f>B51/'- 7 -'!$E51</f>
        <v>97.190661478599225</v>
      </c>
      <c r="E51" s="331">
        <v>2087</v>
      </c>
      <c r="F51" s="337">
        <f>E51/'- 3 -'!$D51*100</f>
        <v>1.3570924434205597E-2</v>
      </c>
      <c r="G51" s="331">
        <f>E51/'- 7 -'!$E51</f>
        <v>3.2482490272373541</v>
      </c>
      <c r="H51" s="331">
        <v>275700</v>
      </c>
      <c r="I51" s="337">
        <f>H51/'- 3 -'!$D51*100</f>
        <v>1.792766586732383</v>
      </c>
      <c r="J51" s="331">
        <f>H51/'- 7 -'!$E51</f>
        <v>429.10505836575874</v>
      </c>
    </row>
    <row r="52" spans="1:10" ht="50.1" customHeight="1">
      <c r="A52" s="30"/>
      <c r="B52" s="30"/>
      <c r="C52" s="30"/>
      <c r="D52" s="30"/>
      <c r="E52" s="30"/>
      <c r="F52" s="30"/>
      <c r="G52" s="30"/>
      <c r="H52" s="30"/>
      <c r="I52" s="30"/>
      <c r="J52" s="30"/>
    </row>
    <row r="53" spans="1:10" ht="15" customHeight="1">
      <c r="A53" s="151" t="s">
        <v>629</v>
      </c>
    </row>
    <row r="54" spans="1:10" ht="12" customHeight="1">
      <c r="A54" s="519" t="s">
        <v>709</v>
      </c>
    </row>
    <row r="55" spans="1:10" ht="12" customHeight="1">
      <c r="A55" s="519" t="s">
        <v>660</v>
      </c>
    </row>
    <row r="56" spans="1:10">
      <c r="A56" s="151" t="s">
        <v>630</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sheetPr codeName="Sheet53">
    <pageSetUpPr autoPageBreaks="0" fitToPage="1"/>
  </sheetPr>
  <dimension ref="A1:H54"/>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0.83203125" style="1" customWidth="1"/>
    <col min="5" max="5" width="18.83203125" style="1" customWidth="1"/>
    <col min="6" max="6" width="9.83203125" style="1" customWidth="1"/>
    <col min="7" max="7" width="10.83203125" style="1" customWidth="1"/>
    <col min="8" max="8" width="20.83203125" style="1" customWidth="1"/>
    <col min="9" max="16384" width="15.83203125" style="1"/>
  </cols>
  <sheetData>
    <row r="1" spans="1:8" ht="6.95" customHeight="1">
      <c r="A1" s="6"/>
      <c r="B1" s="6"/>
      <c r="C1" s="6"/>
      <c r="D1" s="6"/>
      <c r="E1" s="7"/>
      <c r="F1" s="7"/>
      <c r="G1" s="7"/>
    </row>
    <row r="2" spans="1:8" ht="15.95" customHeight="1">
      <c r="A2" s="152"/>
      <c r="B2" s="8" t="s">
        <v>533</v>
      </c>
      <c r="C2" s="159"/>
      <c r="D2" s="159"/>
      <c r="E2" s="8"/>
      <c r="F2" s="160"/>
      <c r="G2" s="161"/>
      <c r="H2" s="162"/>
    </row>
    <row r="3" spans="1:8" ht="15.95" customHeight="1">
      <c r="A3" s="154"/>
      <c r="B3" s="10" t="str">
        <f>OPYEAR</f>
        <v>OPERATING FUND 2011/2012 ACTUAL</v>
      </c>
      <c r="C3" s="163"/>
      <c r="D3" s="163"/>
      <c r="E3" s="10"/>
      <c r="F3" s="164"/>
      <c r="G3" s="164"/>
      <c r="H3" s="165"/>
    </row>
    <row r="4" spans="1:8" ht="15.95" customHeight="1">
      <c r="E4" s="7"/>
      <c r="F4" s="7"/>
      <c r="G4" s="7"/>
    </row>
    <row r="5" spans="1:8" ht="18" customHeight="1">
      <c r="B5" s="480" t="s">
        <v>485</v>
      </c>
      <c r="C5" s="166"/>
      <c r="D5" s="167"/>
      <c r="E5" s="168"/>
      <c r="F5" s="169"/>
      <c r="G5" s="170"/>
    </row>
    <row r="6" spans="1:8" ht="15.95" customHeight="1">
      <c r="B6" s="371" t="s">
        <v>30</v>
      </c>
      <c r="C6" s="372"/>
      <c r="D6" s="373"/>
      <c r="E6" s="374"/>
      <c r="F6" s="375"/>
      <c r="G6" s="376"/>
    </row>
    <row r="7" spans="1:8" ht="15.95" customHeight="1">
      <c r="B7" s="377" t="s">
        <v>5</v>
      </c>
      <c r="C7" s="378"/>
      <c r="D7" s="379"/>
      <c r="E7" s="377" t="s">
        <v>69</v>
      </c>
      <c r="F7" s="378"/>
      <c r="G7" s="379"/>
    </row>
    <row r="8" spans="1:8" ht="15.95" customHeight="1">
      <c r="A8" s="75"/>
      <c r="B8" s="157"/>
      <c r="C8" s="77"/>
      <c r="D8" s="19" t="s">
        <v>75</v>
      </c>
      <c r="E8" s="157"/>
      <c r="F8" s="155"/>
      <c r="G8" s="19" t="s">
        <v>75</v>
      </c>
    </row>
    <row r="9" spans="1:8" ht="15.95" customHeight="1">
      <c r="A9" s="42" t="s">
        <v>95</v>
      </c>
      <c r="B9" s="87" t="s">
        <v>96</v>
      </c>
      <c r="C9" s="87" t="s">
        <v>97</v>
      </c>
      <c r="D9" s="87" t="s">
        <v>98</v>
      </c>
      <c r="E9" s="87" t="s">
        <v>96</v>
      </c>
      <c r="F9" s="87" t="s">
        <v>97</v>
      </c>
      <c r="G9" s="87" t="s">
        <v>98</v>
      </c>
    </row>
    <row r="10" spans="1:8" ht="5.0999999999999996" customHeight="1">
      <c r="A10" s="5"/>
      <c r="B10" s="5"/>
      <c r="C10" s="5"/>
      <c r="D10" s="5"/>
    </row>
    <row r="11" spans="1:8" ht="14.1" customHeight="1">
      <c r="A11" s="330" t="s">
        <v>238</v>
      </c>
      <c r="B11" s="331">
        <f>'- 27 -'!B11</f>
        <v>0</v>
      </c>
      <c r="C11" s="337">
        <f>'- 27 -'!C11</f>
        <v>0</v>
      </c>
      <c r="D11" s="331">
        <f>'- 27 -'!D11</f>
        <v>0</v>
      </c>
      <c r="E11" s="331">
        <f>SUM('- 38 -'!B11,'- 38 -'!E11,'- 38 -'!H11,B11)</f>
        <v>453739</v>
      </c>
      <c r="F11" s="337">
        <f>E11/'- 3 -'!D11*100</f>
        <v>3.0144794855960857</v>
      </c>
      <c r="G11" s="331">
        <f>E11/'- 7 -'!E11</f>
        <v>316.74624781849911</v>
      </c>
    </row>
    <row r="12" spans="1:8" ht="14.1" customHeight="1">
      <c r="A12" s="26" t="s">
        <v>239</v>
      </c>
      <c r="B12" s="27">
        <f>'- 27 -'!B12</f>
        <v>39168</v>
      </c>
      <c r="C12" s="79">
        <f>'- 27 -'!C12</f>
        <v>0.13696702524462295</v>
      </c>
      <c r="D12" s="27">
        <f>'- 27 -'!D12</f>
        <v>16.743327120701746</v>
      </c>
      <c r="E12" s="27">
        <f>SUM('- 38 -'!B12,'- 38 -'!E12,'- 38 -'!H12,B12)</f>
        <v>857029</v>
      </c>
      <c r="F12" s="79">
        <f>E12/'- 3 -'!D12*100</f>
        <v>2.9969544699339754</v>
      </c>
      <c r="G12" s="27">
        <f>E12/'- 7 -'!E12</f>
        <v>366.35817246037317</v>
      </c>
    </row>
    <row r="13" spans="1:8" ht="14.1" customHeight="1">
      <c r="A13" s="330" t="s">
        <v>240</v>
      </c>
      <c r="B13" s="331">
        <f>'- 27 -'!B13</f>
        <v>188332</v>
      </c>
      <c r="C13" s="337">
        <f>'- 27 -'!C13</f>
        <v>0.25635425944828216</v>
      </c>
      <c r="D13" s="331">
        <f>'- 27 -'!D13</f>
        <v>24.751215665659089</v>
      </c>
      <c r="E13" s="331">
        <f>SUM('- 38 -'!B13,'- 38 -'!E13,'- 38 -'!H13,B13)</f>
        <v>1326590</v>
      </c>
      <c r="F13" s="337">
        <f>E13/'- 3 -'!D13*100</f>
        <v>1.8057313523007064</v>
      </c>
      <c r="G13" s="331">
        <f>E13/'- 7 -'!E13</f>
        <v>174.34485477723749</v>
      </c>
    </row>
    <row r="14" spans="1:8" ht="14.1" customHeight="1">
      <c r="A14" s="26" t="s">
        <v>653</v>
      </c>
      <c r="B14" s="27">
        <f>'- 27 -'!B14</f>
        <v>109113</v>
      </c>
      <c r="C14" s="79">
        <f>'- 27 -'!C14</f>
        <v>0.16412122068295895</v>
      </c>
      <c r="D14" s="27">
        <f>'- 27 -'!D14</f>
        <v>22.03412762520194</v>
      </c>
      <c r="E14" s="27">
        <f>SUM('- 38 -'!B14,'- 38 -'!E14,'- 38 -'!H14,B14)</f>
        <v>1535793</v>
      </c>
      <c r="F14" s="79">
        <f>E14/'- 3 -'!D14*100</f>
        <v>2.3100475825643469</v>
      </c>
      <c r="G14" s="27">
        <f>E14/'- 7 -'!E14</f>
        <v>310.13590468497574</v>
      </c>
    </row>
    <row r="15" spans="1:8" ht="14.1" customHeight="1">
      <c r="A15" s="330" t="s">
        <v>241</v>
      </c>
      <c r="B15" s="331">
        <f>'- 27 -'!B15</f>
        <v>0</v>
      </c>
      <c r="C15" s="337">
        <f>'- 27 -'!C15</f>
        <v>0</v>
      </c>
      <c r="D15" s="331">
        <f>'- 27 -'!D15</f>
        <v>0</v>
      </c>
      <c r="E15" s="331">
        <f>SUM('- 38 -'!B15,'- 38 -'!E15,'- 38 -'!H15,B15)</f>
        <v>688762</v>
      </c>
      <c r="F15" s="337">
        <f>E15/'- 3 -'!D15*100</f>
        <v>3.7629271025408864</v>
      </c>
      <c r="G15" s="331">
        <f>E15/'- 7 -'!E15</f>
        <v>449.29028049575993</v>
      </c>
    </row>
    <row r="16" spans="1:8" ht="14.1" customHeight="1">
      <c r="A16" s="26" t="s">
        <v>242</v>
      </c>
      <c r="B16" s="27">
        <f>'- 27 -'!B16</f>
        <v>29168</v>
      </c>
      <c r="C16" s="79">
        <f>'- 27 -'!C16</f>
        <v>0.23152153655116095</v>
      </c>
      <c r="D16" s="27">
        <f>'- 27 -'!D16</f>
        <v>29.477513895907023</v>
      </c>
      <c r="E16" s="27">
        <f>SUM('- 38 -'!B16,'- 38 -'!E16,'- 38 -'!H16,B16)</f>
        <v>242326</v>
      </c>
      <c r="F16" s="79">
        <f>E16/'- 3 -'!D16*100</f>
        <v>1.923467082634964</v>
      </c>
      <c r="G16" s="27">
        <f>E16/'- 7 -'!E16</f>
        <v>244.89742294087924</v>
      </c>
    </row>
    <row r="17" spans="1:7" ht="14.1" customHeight="1">
      <c r="A17" s="330" t="s">
        <v>243</v>
      </c>
      <c r="B17" s="331">
        <f>'- 27 -'!B17</f>
        <v>51555</v>
      </c>
      <c r="C17" s="337">
        <f>'- 27 -'!C17</f>
        <v>0.32384333030669166</v>
      </c>
      <c r="D17" s="331">
        <f>'- 27 -'!D17</f>
        <v>38.982986767485819</v>
      </c>
      <c r="E17" s="331">
        <f>SUM('- 38 -'!B17,'- 38 -'!E17,'- 38 -'!H17,B17)</f>
        <v>517471</v>
      </c>
      <c r="F17" s="337">
        <f>E17/'- 3 -'!D17*100</f>
        <v>3.2505000868418974</v>
      </c>
      <c r="G17" s="331">
        <f>E17/'- 7 -'!E17</f>
        <v>391.28241965973535</v>
      </c>
    </row>
    <row r="18" spans="1:7" ht="14.1" customHeight="1">
      <c r="A18" s="26" t="s">
        <v>244</v>
      </c>
      <c r="B18" s="27">
        <f>'- 27 -'!B18</f>
        <v>354973</v>
      </c>
      <c r="C18" s="79">
        <f>'- 27 -'!C18</f>
        <v>0.32569024540314495</v>
      </c>
      <c r="D18" s="27">
        <f>'- 27 -'!D18</f>
        <v>61.412951333021915</v>
      </c>
      <c r="E18" s="27">
        <f>SUM('- 38 -'!B18,'- 38 -'!E18,'- 38 -'!H18,B18)</f>
        <v>2314931</v>
      </c>
      <c r="F18" s="79">
        <f>E18/'- 3 -'!D18*100</f>
        <v>2.1239656128250539</v>
      </c>
      <c r="G18" s="27">
        <f>E18/'- 7 -'!E18</f>
        <v>400.50016435701804</v>
      </c>
    </row>
    <row r="19" spans="1:7" ht="14.1" customHeight="1">
      <c r="A19" s="330" t="s">
        <v>245</v>
      </c>
      <c r="B19" s="331">
        <f>'- 27 -'!B19</f>
        <v>66458</v>
      </c>
      <c r="C19" s="337">
        <f>'- 27 -'!C19</f>
        <v>0.17901452903122023</v>
      </c>
      <c r="D19" s="331">
        <f>'- 27 -'!D19</f>
        <v>16.05110617331659</v>
      </c>
      <c r="E19" s="331">
        <f>SUM('- 38 -'!B19,'- 38 -'!E19,'- 38 -'!H19,B19)</f>
        <v>1216741</v>
      </c>
      <c r="F19" s="337">
        <f>E19/'- 3 -'!D19*100</f>
        <v>3.2774732472836368</v>
      </c>
      <c r="G19" s="331">
        <f>E19/'- 7 -'!E19</f>
        <v>293.87039899526616</v>
      </c>
    </row>
    <row r="20" spans="1:7" ht="14.1" customHeight="1">
      <c r="A20" s="26" t="s">
        <v>246</v>
      </c>
      <c r="B20" s="27">
        <f>'- 27 -'!B20</f>
        <v>58980</v>
      </c>
      <c r="C20" s="79">
        <f>'- 27 -'!C20</f>
        <v>9.3851547696834806E-2</v>
      </c>
      <c r="D20" s="27">
        <f>'- 27 -'!D20</f>
        <v>8.0827737426339592</v>
      </c>
      <c r="E20" s="27">
        <f>SUM('- 38 -'!B20,'- 38 -'!E20,'- 38 -'!H20,B20)</f>
        <v>1600374</v>
      </c>
      <c r="F20" s="79">
        <f>E20/'- 3 -'!D20*100</f>
        <v>2.546584889687594</v>
      </c>
      <c r="G20" s="27">
        <f>E20/'- 7 -'!E20</f>
        <v>219.31944634781416</v>
      </c>
    </row>
    <row r="21" spans="1:7" ht="14.1" customHeight="1">
      <c r="A21" s="330" t="s">
        <v>247</v>
      </c>
      <c r="B21" s="331">
        <f>'- 27 -'!B21</f>
        <v>43026</v>
      </c>
      <c r="C21" s="337">
        <f>'- 27 -'!C21</f>
        <v>0.136827161116892</v>
      </c>
      <c r="D21" s="331">
        <f>'- 27 -'!D21</f>
        <v>15.134013366162504</v>
      </c>
      <c r="E21" s="331">
        <f>SUM('- 38 -'!B21,'- 38 -'!E21,'- 38 -'!H21,B21)</f>
        <v>1127437</v>
      </c>
      <c r="F21" s="337">
        <f>E21/'- 3 -'!D21*100</f>
        <v>3.5853670814889922</v>
      </c>
      <c r="G21" s="331">
        <f>E21/'- 7 -'!E21</f>
        <v>396.56595145972562</v>
      </c>
    </row>
    <row r="22" spans="1:7" ht="14.1" customHeight="1">
      <c r="A22" s="26" t="s">
        <v>248</v>
      </c>
      <c r="B22" s="27">
        <f>'- 27 -'!B22</f>
        <v>0</v>
      </c>
      <c r="C22" s="79">
        <f>'- 27 -'!C22</f>
        <v>0</v>
      </c>
      <c r="D22" s="27">
        <f>'- 27 -'!D22</f>
        <v>0</v>
      </c>
      <c r="E22" s="27">
        <f>SUM('- 38 -'!B22,'- 38 -'!E22,'- 38 -'!H22,B22)</f>
        <v>369165</v>
      </c>
      <c r="F22" s="79">
        <f>E22/'- 3 -'!D22*100</f>
        <v>2.0265275205418081</v>
      </c>
      <c r="G22" s="27">
        <f>E22/'- 7 -'!E22</f>
        <v>235.85803731152566</v>
      </c>
    </row>
    <row r="23" spans="1:7" ht="14.1" customHeight="1">
      <c r="A23" s="330" t="s">
        <v>249</v>
      </c>
      <c r="B23" s="331">
        <f>'- 27 -'!B23</f>
        <v>0</v>
      </c>
      <c r="C23" s="337">
        <f>'- 27 -'!C23</f>
        <v>0</v>
      </c>
      <c r="D23" s="331">
        <f>'- 27 -'!D23</f>
        <v>0</v>
      </c>
      <c r="E23" s="331">
        <f>SUM('- 38 -'!B23,'- 38 -'!E23,'- 38 -'!H23,B23)</f>
        <v>204837</v>
      </c>
      <c r="F23" s="337">
        <f>E23/'- 3 -'!D23*100</f>
        <v>1.3408987910982761</v>
      </c>
      <c r="G23" s="331">
        <f>E23/'- 7 -'!E23</f>
        <v>171.62714704650188</v>
      </c>
    </row>
    <row r="24" spans="1:7" ht="14.1" customHeight="1">
      <c r="A24" s="26" t="s">
        <v>250</v>
      </c>
      <c r="B24" s="27">
        <f>'- 27 -'!B24</f>
        <v>143867</v>
      </c>
      <c r="C24" s="79">
        <f>'- 27 -'!C24</f>
        <v>0.29333198275880701</v>
      </c>
      <c r="D24" s="27">
        <f>'- 27 -'!D24</f>
        <v>33.214129054600022</v>
      </c>
      <c r="E24" s="27">
        <f>SUM('- 38 -'!B24,'- 38 -'!E24,'- 38 -'!H24,B24)</f>
        <v>1528976</v>
      </c>
      <c r="F24" s="79">
        <f>E24/'- 3 -'!D24*100</f>
        <v>3.1174457079846642</v>
      </c>
      <c r="G24" s="27">
        <f>E24/'- 7 -'!E24</f>
        <v>352.98995728962251</v>
      </c>
    </row>
    <row r="25" spans="1:7" ht="14.1" customHeight="1">
      <c r="A25" s="330" t="s">
        <v>251</v>
      </c>
      <c r="B25" s="331">
        <f>'- 27 -'!B25</f>
        <v>317586</v>
      </c>
      <c r="C25" s="337">
        <f>'- 27 -'!C25</f>
        <v>0.21853223482923775</v>
      </c>
      <c r="D25" s="331">
        <f>'- 27 -'!D25</f>
        <v>23.04687953555878</v>
      </c>
      <c r="E25" s="331">
        <f>SUM('- 38 -'!B25,'- 38 -'!E25,'- 38 -'!H25,B25)</f>
        <v>3257911</v>
      </c>
      <c r="F25" s="337">
        <f>E25/'- 3 -'!D25*100</f>
        <v>2.2417819793843456</v>
      </c>
      <c r="G25" s="331">
        <f>E25/'- 7 -'!E25</f>
        <v>236.42314949201742</v>
      </c>
    </row>
    <row r="26" spans="1:7" ht="14.1" customHeight="1">
      <c r="A26" s="26" t="s">
        <v>252</v>
      </c>
      <c r="B26" s="27">
        <f>'- 27 -'!B26</f>
        <v>15392</v>
      </c>
      <c r="C26" s="79">
        <f>'- 27 -'!C26</f>
        <v>4.2817142067594502E-2</v>
      </c>
      <c r="D26" s="27">
        <f>'- 27 -'!D26</f>
        <v>4.9515843654495741</v>
      </c>
      <c r="E26" s="27">
        <f>SUM('- 38 -'!B26,'- 38 -'!E26,'- 38 -'!H26,B26)</f>
        <v>1311468</v>
      </c>
      <c r="F26" s="79">
        <f>E26/'- 3 -'!D26*100</f>
        <v>3.648214115976093</v>
      </c>
      <c r="G26" s="27">
        <f>E26/'- 7 -'!E26</f>
        <v>421.89737815666723</v>
      </c>
    </row>
    <row r="27" spans="1:7" ht="14.1" customHeight="1">
      <c r="A27" s="330" t="s">
        <v>253</v>
      </c>
      <c r="B27" s="331">
        <f>'- 27 -'!B27</f>
        <v>235980</v>
      </c>
      <c r="C27" s="337">
        <f>'- 27 -'!C27</f>
        <v>0.59212710332715812</v>
      </c>
      <c r="D27" s="331">
        <f>'- 27 -'!D27</f>
        <v>84.4202768933567</v>
      </c>
      <c r="E27" s="331">
        <f>SUM('- 38 -'!B27,'- 38 -'!E27,'- 38 -'!H27,B27)</f>
        <v>1168863</v>
      </c>
      <c r="F27" s="337">
        <f>E27/'- 3 -'!D27*100</f>
        <v>2.9329411915259431</v>
      </c>
      <c r="G27" s="331">
        <f>E27/'- 7 -'!E27</f>
        <v>418.15297105856257</v>
      </c>
    </row>
    <row r="28" spans="1:7" ht="14.1" customHeight="1">
      <c r="A28" s="26" t="s">
        <v>254</v>
      </c>
      <c r="B28" s="27">
        <f>'- 27 -'!B28</f>
        <v>40512</v>
      </c>
      <c r="C28" s="79">
        <f>'- 27 -'!C28</f>
        <v>0.16353373010338607</v>
      </c>
      <c r="D28" s="27">
        <f>'- 27 -'!D28</f>
        <v>20.225661507738394</v>
      </c>
      <c r="E28" s="27">
        <f>SUM('- 38 -'!B28,'- 38 -'!E28,'- 38 -'!H28,B28)</f>
        <v>650499</v>
      </c>
      <c r="F28" s="79">
        <f>E28/'- 3 -'!D28*100</f>
        <v>2.6258522881744311</v>
      </c>
      <c r="G28" s="27">
        <f>E28/'- 7 -'!E28</f>
        <v>324.76235646530205</v>
      </c>
    </row>
    <row r="29" spans="1:7" ht="14.1" customHeight="1">
      <c r="A29" s="330" t="s">
        <v>255</v>
      </c>
      <c r="B29" s="331">
        <f>'- 27 -'!B29</f>
        <v>744594</v>
      </c>
      <c r="C29" s="337">
        <f>'- 27 -'!C29</f>
        <v>0.55200928290487983</v>
      </c>
      <c r="D29" s="331">
        <f>'- 27 -'!D29</f>
        <v>61.110436295591086</v>
      </c>
      <c r="E29" s="331">
        <f>SUM('- 38 -'!B29,'- 38 -'!E29,'- 38 -'!H29,B29)</f>
        <v>3141541</v>
      </c>
      <c r="F29" s="337">
        <f>E29/'- 3 -'!D29*100</f>
        <v>2.3290004950701713</v>
      </c>
      <c r="G29" s="331">
        <f>E29/'- 7 -'!E29</f>
        <v>257.83304881651947</v>
      </c>
    </row>
    <row r="30" spans="1:7" ht="14.1" customHeight="1">
      <c r="A30" s="26" t="s">
        <v>256</v>
      </c>
      <c r="B30" s="27">
        <f>'- 27 -'!B30</f>
        <v>29805</v>
      </c>
      <c r="C30" s="79">
        <f>'- 27 -'!C30</f>
        <v>0.2313223411047188</v>
      </c>
      <c r="D30" s="27">
        <f>'- 27 -'!D30</f>
        <v>27.144808743169399</v>
      </c>
      <c r="E30" s="27">
        <f>SUM('- 38 -'!B30,'- 38 -'!E30,'- 38 -'!H30,B30)</f>
        <v>358860</v>
      </c>
      <c r="F30" s="79">
        <f>E30/'- 3 -'!D30*100</f>
        <v>2.7851815242019593</v>
      </c>
      <c r="G30" s="27">
        <f>E30/'- 7 -'!E30</f>
        <v>326.83060109289619</v>
      </c>
    </row>
    <row r="31" spans="1:7" ht="14.1" customHeight="1">
      <c r="A31" s="330" t="s">
        <v>257</v>
      </c>
      <c r="B31" s="331">
        <f>'- 27 -'!B31</f>
        <v>132648</v>
      </c>
      <c r="C31" s="337">
        <f>'- 27 -'!C31</f>
        <v>0.4139170980669421</v>
      </c>
      <c r="D31" s="331">
        <f>'- 27 -'!D31</f>
        <v>41.471939971861808</v>
      </c>
      <c r="E31" s="331">
        <f>SUM('- 38 -'!B31,'- 38 -'!E31,'- 38 -'!H31,B31)</f>
        <v>765900</v>
      </c>
      <c r="F31" s="337">
        <f>E31/'- 3 -'!D31*100</f>
        <v>2.3899275180136224</v>
      </c>
      <c r="G31" s="331">
        <f>E31/'- 7 -'!E31</f>
        <v>239.45599499765515</v>
      </c>
    </row>
    <row r="32" spans="1:7" ht="14.1" customHeight="1">
      <c r="A32" s="26" t="s">
        <v>258</v>
      </c>
      <c r="B32" s="27">
        <f>'- 27 -'!B32</f>
        <v>46977</v>
      </c>
      <c r="C32" s="79">
        <f>'- 27 -'!C32</f>
        <v>0.19848175841224733</v>
      </c>
      <c r="D32" s="27">
        <f>'- 27 -'!D32</f>
        <v>22.776727272727271</v>
      </c>
      <c r="E32" s="27">
        <f>SUM('- 38 -'!B32,'- 38 -'!E32,'- 38 -'!H32,B32)</f>
        <v>604685</v>
      </c>
      <c r="F32" s="79">
        <f>E32/'- 3 -'!D32*100</f>
        <v>2.5548447556359446</v>
      </c>
      <c r="G32" s="27">
        <f>E32/'- 7 -'!E32</f>
        <v>293.18060606060607</v>
      </c>
    </row>
    <row r="33" spans="1:7" ht="14.1" customHeight="1">
      <c r="A33" s="330" t="s">
        <v>259</v>
      </c>
      <c r="B33" s="331">
        <f>'- 27 -'!B33</f>
        <v>25661</v>
      </c>
      <c r="C33" s="337">
        <f>'- 27 -'!C33</f>
        <v>0.10477861704475057</v>
      </c>
      <c r="D33" s="331">
        <f>'- 27 -'!D33</f>
        <v>12.594355828220859</v>
      </c>
      <c r="E33" s="331">
        <f>SUM('- 38 -'!B33,'- 38 -'!E33,'- 38 -'!H33,B33)</f>
        <v>621821</v>
      </c>
      <c r="F33" s="337">
        <f>E33/'- 3 -'!D33*100</f>
        <v>2.5390103436882367</v>
      </c>
      <c r="G33" s="331">
        <f>E33/'- 7 -'!E33</f>
        <v>305.1882208588957</v>
      </c>
    </row>
    <row r="34" spans="1:7" ht="14.1" customHeight="1">
      <c r="A34" s="26" t="s">
        <v>260</v>
      </c>
      <c r="B34" s="27">
        <f>'- 27 -'!B34</f>
        <v>18454</v>
      </c>
      <c r="C34" s="79">
        <f>'- 27 -'!C34</f>
        <v>8.1551102499845776E-2</v>
      </c>
      <c r="D34" s="27">
        <f>'- 27 -'!D34</f>
        <v>9.2580143480660215</v>
      </c>
      <c r="E34" s="27">
        <f>SUM('- 38 -'!B34,'- 38 -'!E34,'- 38 -'!H34,B34)</f>
        <v>421075</v>
      </c>
      <c r="F34" s="79">
        <f>E34/'- 3 -'!D34*100</f>
        <v>1.8607960596685031</v>
      </c>
      <c r="G34" s="27">
        <f>E34/'- 7 -'!E34</f>
        <v>211.24517132393518</v>
      </c>
    </row>
    <row r="35" spans="1:7" ht="14.1" customHeight="1">
      <c r="A35" s="330" t="s">
        <v>261</v>
      </c>
      <c r="B35" s="331">
        <f>'- 27 -'!B35</f>
        <v>966556</v>
      </c>
      <c r="C35" s="337">
        <f>'- 27 -'!C35</f>
        <v>0.60075995180450215</v>
      </c>
      <c r="D35" s="331">
        <f>'- 27 -'!D35</f>
        <v>61.30829976848181</v>
      </c>
      <c r="E35" s="331">
        <f>SUM('- 38 -'!B35,'- 38 -'!E35,'- 38 -'!H35,B35)</f>
        <v>2290038</v>
      </c>
      <c r="F35" s="337">
        <f>E35/'- 3 -'!D35*100</f>
        <v>1.4233661769317851</v>
      </c>
      <c r="G35" s="331">
        <f>E35/'- 7 -'!E35</f>
        <v>145.25628746313151</v>
      </c>
    </row>
    <row r="36" spans="1:7" ht="14.1" customHeight="1">
      <c r="A36" s="26" t="s">
        <v>262</v>
      </c>
      <c r="B36" s="27">
        <f>'- 27 -'!B36</f>
        <v>0</v>
      </c>
      <c r="C36" s="79">
        <f>'- 27 -'!C36</f>
        <v>0</v>
      </c>
      <c r="D36" s="27">
        <f>'- 27 -'!D36</f>
        <v>0</v>
      </c>
      <c r="E36" s="27">
        <f>SUM('- 38 -'!B36,'- 38 -'!E36,'- 38 -'!H36,B36)</f>
        <v>603387</v>
      </c>
      <c r="F36" s="79">
        <f>E36/'- 3 -'!D36*100</f>
        <v>2.9627622259416584</v>
      </c>
      <c r="G36" s="27">
        <f>E36/'- 7 -'!E36</f>
        <v>361.52606351108449</v>
      </c>
    </row>
    <row r="37" spans="1:7" ht="14.1" customHeight="1">
      <c r="A37" s="330" t="s">
        <v>263</v>
      </c>
      <c r="B37" s="331">
        <f>'- 27 -'!B37</f>
        <v>135959</v>
      </c>
      <c r="C37" s="337">
        <f>'- 27 -'!C37</f>
        <v>0.36249798999571775</v>
      </c>
      <c r="D37" s="331">
        <f>'- 27 -'!D37</f>
        <v>36.970496261046904</v>
      </c>
      <c r="E37" s="331">
        <f>SUM('- 38 -'!B37,'- 38 -'!E37,'- 38 -'!H37,B37)</f>
        <v>996905</v>
      </c>
      <c r="F37" s="337">
        <f>E37/'- 3 -'!D37*100</f>
        <v>2.6579782045813887</v>
      </c>
      <c r="G37" s="331">
        <f>E37/'- 7 -'!E37</f>
        <v>271.08225696804897</v>
      </c>
    </row>
    <row r="38" spans="1:7" ht="14.1" customHeight="1">
      <c r="A38" s="26" t="s">
        <v>264</v>
      </c>
      <c r="B38" s="27">
        <f>'- 27 -'!B38</f>
        <v>306734</v>
      </c>
      <c r="C38" s="79">
        <f>'- 27 -'!C38</f>
        <v>0.29875580102264065</v>
      </c>
      <c r="D38" s="27">
        <f>'- 27 -'!D38</f>
        <v>30.197487595494998</v>
      </c>
      <c r="E38" s="27">
        <f>SUM('- 38 -'!B38,'- 38 -'!E38,'- 38 -'!H38,B38)</f>
        <v>2155087</v>
      </c>
      <c r="F38" s="79">
        <f>E38/'- 3 -'!D38*100</f>
        <v>2.0990328524339641</v>
      </c>
      <c r="G38" s="27">
        <f>E38/'- 7 -'!E38</f>
        <v>212.1649799165157</v>
      </c>
    </row>
    <row r="39" spans="1:7" ht="14.1" customHeight="1">
      <c r="A39" s="330" t="s">
        <v>265</v>
      </c>
      <c r="B39" s="331">
        <f>'- 27 -'!B39</f>
        <v>27449</v>
      </c>
      <c r="C39" s="337">
        <f>'- 27 -'!C39</f>
        <v>0.14447204045743461</v>
      </c>
      <c r="D39" s="331">
        <f>'- 27 -'!D39</f>
        <v>17.273299351834371</v>
      </c>
      <c r="E39" s="331">
        <f>SUM('- 38 -'!B39,'- 38 -'!E39,'- 38 -'!H39,B39)</f>
        <v>531445</v>
      </c>
      <c r="F39" s="337">
        <f>E39/'- 3 -'!D39*100</f>
        <v>2.7971490233123735</v>
      </c>
      <c r="G39" s="331">
        <f>E39/'- 7 -'!E39</f>
        <v>334.43143917940972</v>
      </c>
    </row>
    <row r="40" spans="1:7" ht="14.1" customHeight="1">
      <c r="A40" s="26" t="s">
        <v>266</v>
      </c>
      <c r="B40" s="27">
        <f>'- 27 -'!B40</f>
        <v>184670</v>
      </c>
      <c r="C40" s="79">
        <f>'- 27 -'!C40</f>
        <v>0.20327241845899804</v>
      </c>
      <c r="D40" s="27">
        <f>'- 27 -'!D40</f>
        <v>22.523478472984511</v>
      </c>
      <c r="E40" s="27">
        <f>SUM('- 38 -'!B40,'- 38 -'!E40,'- 38 -'!H40,B40)</f>
        <v>2231334</v>
      </c>
      <c r="F40" s="79">
        <f>E40/'- 3 -'!D40*100</f>
        <v>2.4561036365938698</v>
      </c>
      <c r="G40" s="27">
        <f>E40/'- 7 -'!E40</f>
        <v>272.14709110867182</v>
      </c>
    </row>
    <row r="41" spans="1:7" ht="14.1" customHeight="1">
      <c r="A41" s="330" t="s">
        <v>267</v>
      </c>
      <c r="B41" s="331">
        <f>'- 27 -'!B41</f>
        <v>135077</v>
      </c>
      <c r="C41" s="337">
        <f>'- 27 -'!C41</f>
        <v>0.2446320960707587</v>
      </c>
      <c r="D41" s="331">
        <f>'- 27 -'!D41</f>
        <v>29.703573391973613</v>
      </c>
      <c r="E41" s="331">
        <f>SUM('- 38 -'!B41,'- 38 -'!E41,'- 38 -'!H41,B41)</f>
        <v>1175630</v>
      </c>
      <c r="F41" s="337">
        <f>E41/'- 3 -'!D41*100</f>
        <v>2.1291325029699064</v>
      </c>
      <c r="G41" s="331">
        <f>E41/'- 7 -'!E41</f>
        <v>258.52226498075868</v>
      </c>
    </row>
    <row r="42" spans="1:7" ht="14.1" customHeight="1">
      <c r="A42" s="26" t="s">
        <v>268</v>
      </c>
      <c r="B42" s="27">
        <f>'- 27 -'!B42</f>
        <v>29224</v>
      </c>
      <c r="C42" s="79">
        <f>'- 27 -'!C42</f>
        <v>0.15228112688450759</v>
      </c>
      <c r="D42" s="27">
        <f>'- 27 -'!D42</f>
        <v>19.964476021314386</v>
      </c>
      <c r="E42" s="27">
        <f>SUM('- 38 -'!B42,'- 38 -'!E42,'- 38 -'!H42,B42)</f>
        <v>680883</v>
      </c>
      <c r="F42" s="79">
        <f>E42/'- 3 -'!D42*100</f>
        <v>3.5479616245724128</v>
      </c>
      <c r="G42" s="27">
        <f>E42/'- 7 -'!E42</f>
        <v>465.14756114223258</v>
      </c>
    </row>
    <row r="43" spans="1:7" ht="14.1" customHeight="1">
      <c r="A43" s="330" t="s">
        <v>269</v>
      </c>
      <c r="B43" s="331">
        <f>'- 27 -'!B43</f>
        <v>20677</v>
      </c>
      <c r="C43" s="337">
        <f>'- 27 -'!C43</f>
        <v>0.18281980158521047</v>
      </c>
      <c r="D43" s="331">
        <f>'- 27 -'!D43</f>
        <v>21.255139802631579</v>
      </c>
      <c r="E43" s="331">
        <f>SUM('- 38 -'!B43,'- 38 -'!E43,'- 38 -'!H43,B43)</f>
        <v>267337</v>
      </c>
      <c r="F43" s="337">
        <f>E43/'- 3 -'!D43*100</f>
        <v>2.3637131738833199</v>
      </c>
      <c r="G43" s="331">
        <f>E43/'- 7 -'!E43</f>
        <v>274.81188322368422</v>
      </c>
    </row>
    <row r="44" spans="1:7" ht="14.1" customHeight="1">
      <c r="A44" s="26" t="s">
        <v>270</v>
      </c>
      <c r="B44" s="27">
        <f>'- 27 -'!B44</f>
        <v>0</v>
      </c>
      <c r="C44" s="79">
        <f>'- 27 -'!C44</f>
        <v>0</v>
      </c>
      <c r="D44" s="27">
        <f>'- 27 -'!D44</f>
        <v>0</v>
      </c>
      <c r="E44" s="27">
        <f>SUM('- 38 -'!B44,'- 38 -'!E44,'- 38 -'!H44,B44)</f>
        <v>340240</v>
      </c>
      <c r="F44" s="79">
        <f>E44/'- 3 -'!D44*100</f>
        <v>3.5152983772740467</v>
      </c>
      <c r="G44" s="27">
        <f>E44/'- 7 -'!E44</f>
        <v>475.52760307477291</v>
      </c>
    </row>
    <row r="45" spans="1:7" ht="14.1" customHeight="1">
      <c r="A45" s="330" t="s">
        <v>271</v>
      </c>
      <c r="B45" s="331">
        <f>'- 27 -'!B45</f>
        <v>43804</v>
      </c>
      <c r="C45" s="337">
        <f>'- 27 -'!C45</f>
        <v>0.28221162844111319</v>
      </c>
      <c r="D45" s="331">
        <f>'- 27 -'!D45</f>
        <v>26.435727217863608</v>
      </c>
      <c r="E45" s="331">
        <f>SUM('- 38 -'!B45,'- 38 -'!E45,'- 38 -'!H45,B45)</f>
        <v>359485</v>
      </c>
      <c r="F45" s="337">
        <f>E45/'- 3 -'!D45*100</f>
        <v>2.3160178807906489</v>
      </c>
      <c r="G45" s="331">
        <f>E45/'- 7 -'!E45</f>
        <v>216.94930597465299</v>
      </c>
    </row>
    <row r="46" spans="1:7" ht="14.1" customHeight="1">
      <c r="A46" s="26" t="s">
        <v>272</v>
      </c>
      <c r="B46" s="27">
        <f>'- 27 -'!B46</f>
        <v>1207622</v>
      </c>
      <c r="C46" s="79">
        <f>'- 27 -'!C46</f>
        <v>0.35935591309858678</v>
      </c>
      <c r="D46" s="27">
        <f>'- 27 -'!D46</f>
        <v>39.925743965457386</v>
      </c>
      <c r="E46" s="27">
        <f>SUM('- 38 -'!B46,'- 38 -'!E46,'- 38 -'!H46,B46)</f>
        <v>6903869</v>
      </c>
      <c r="F46" s="79">
        <f>E46/'- 3 -'!D46*100</f>
        <v>2.0544062201649416</v>
      </c>
      <c r="G46" s="27">
        <f>E46/'- 7 -'!E46</f>
        <v>228.25197459557572</v>
      </c>
    </row>
    <row r="47" spans="1:7" ht="5.0999999999999996" customHeight="1">
      <c r="A47" s="28"/>
      <c r="B47" s="29"/>
      <c r="C47"/>
      <c r="D47"/>
      <c r="E47"/>
      <c r="F47"/>
      <c r="G47"/>
    </row>
    <row r="48" spans="1:7" ht="14.1" customHeight="1">
      <c r="A48" s="332" t="s">
        <v>273</v>
      </c>
      <c r="B48" s="333">
        <f>SUM(B11:B46)</f>
        <v>5750021</v>
      </c>
      <c r="C48" s="340">
        <f>'- 27 -'!C48</f>
        <v>0.29821911600538309</v>
      </c>
      <c r="D48" s="333">
        <f>'- 27 -'!D48</f>
        <v>33.381733767770342</v>
      </c>
      <c r="E48" s="333">
        <f>SUM('- 38 -'!B48,'- 38 -'!E48,'- 38 -'!H48,B48)</f>
        <v>44822434</v>
      </c>
      <c r="F48" s="340">
        <f>E48/'- 3 -'!D48*100</f>
        <v>2.3246709263652474</v>
      </c>
      <c r="G48" s="333">
        <f>E48/'- 7 -'!E48</f>
        <v>260.21653809811431</v>
      </c>
    </row>
    <row r="49" spans="1:8" ht="5.0999999999999996" customHeight="1">
      <c r="A49" s="28" t="s">
        <v>18</v>
      </c>
      <c r="B49" s="29"/>
      <c r="C49"/>
      <c r="D49"/>
      <c r="E49"/>
      <c r="F49"/>
      <c r="G49"/>
    </row>
    <row r="50" spans="1:8" ht="14.1" customHeight="1">
      <c r="A50" s="26" t="s">
        <v>274</v>
      </c>
      <c r="B50" s="27">
        <f>'- 27 -'!B50</f>
        <v>12308</v>
      </c>
      <c r="C50" s="79">
        <f>'- 27 -'!C50</f>
        <v>0.38098952650257617</v>
      </c>
      <c r="D50" s="27">
        <f>'- 27 -'!D50</f>
        <v>68</v>
      </c>
      <c r="E50" s="27">
        <f>SUM('- 38 -'!B50,'- 38 -'!E50,'- 38 -'!H50,B50)</f>
        <v>89749</v>
      </c>
      <c r="F50" s="79">
        <f>E50/'- 3 -'!D50*100</f>
        <v>2.7781466537276334</v>
      </c>
      <c r="G50" s="27">
        <f>E50/'- 7 -'!E50</f>
        <v>495.85082872928177</v>
      </c>
    </row>
    <row r="51" spans="1:8" ht="14.1" customHeight="1">
      <c r="A51" s="330" t="s">
        <v>275</v>
      </c>
      <c r="B51" s="331">
        <f>'- 27 -'!B51</f>
        <v>527389</v>
      </c>
      <c r="C51" s="337">
        <f>'- 27 -'!C51</f>
        <v>3.4293992651802849</v>
      </c>
      <c r="D51" s="331">
        <f>'- 27 -'!D51</f>
        <v>820.83891050583657</v>
      </c>
      <c r="E51" s="331">
        <f>SUM('- 38 -'!B51,'- 38 -'!E51,'- 38 -'!H51,B51)</f>
        <v>867621</v>
      </c>
      <c r="F51" s="337">
        <f>E51/'- 3 -'!D51*100</f>
        <v>5.6417915805126464</v>
      </c>
      <c r="G51" s="331">
        <f>E51/'- 7 -'!E51</f>
        <v>1350.3828793774319</v>
      </c>
    </row>
    <row r="52" spans="1:8" ht="50.1" customHeight="1">
      <c r="A52" s="30"/>
      <c r="B52" s="30"/>
      <c r="C52" s="30"/>
      <c r="D52" s="30"/>
      <c r="E52" s="30"/>
      <c r="F52" s="30"/>
      <c r="G52" s="30"/>
      <c r="H52" s="30"/>
    </row>
    <row r="53" spans="1:8" ht="15" customHeight="1">
      <c r="A53" s="151" t="s">
        <v>631</v>
      </c>
    </row>
    <row r="54" spans="1:8" ht="12" customHeight="1">
      <c r="A54" s="151" t="s">
        <v>632</v>
      </c>
      <c r="B54" s="148"/>
      <c r="C54" s="148"/>
      <c r="D54" s="148"/>
    </row>
  </sheetData>
  <phoneticPr fontId="6" type="noConversion"/>
  <pageMargins left="0.5" right="0.5" top="0.6" bottom="0.2" header="0.3" footer="0.5"/>
  <pageSetup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sheetPr codeName="Sheet35">
    <pageSetUpPr fitToPage="1"/>
  </sheetPr>
  <dimension ref="A1:L55"/>
  <sheetViews>
    <sheetView showGridLines="0" showZeros="0" workbookViewId="0"/>
  </sheetViews>
  <sheetFormatPr defaultColWidth="14.83203125" defaultRowHeight="12"/>
  <cols>
    <col min="1" max="1" width="31.83203125" style="1" customWidth="1"/>
    <col min="2" max="2" width="15.83203125" style="1" customWidth="1"/>
    <col min="3" max="3" width="13.83203125" style="1" customWidth="1"/>
    <col min="4" max="5" width="14.83203125" style="1" customWidth="1"/>
    <col min="6" max="6" width="12.83203125" style="1" customWidth="1"/>
    <col min="7" max="7" width="16.83203125" style="1" customWidth="1"/>
    <col min="8" max="8" width="11.83203125" style="1" customWidth="1"/>
    <col min="9" max="10" width="14.83203125" style="1"/>
    <col min="11" max="11" width="19.5" style="1" customWidth="1"/>
    <col min="12" max="16384" width="14.83203125" style="1"/>
  </cols>
  <sheetData>
    <row r="1" spans="1:12" ht="6.95" customHeight="1">
      <c r="A1" s="6"/>
      <c r="J1" s="636">
        <v>100.00000000000003</v>
      </c>
    </row>
    <row r="2" spans="1:12" ht="15.95" customHeight="1">
      <c r="A2" s="233" t="str">
        <f>"  SUMMARY"&amp;REPLACE(REVYEAR,1,8,"")</f>
        <v xml:space="preserve">  SUMMARY OF OPERATING FUND REVENUE: 2011/2012 ACTUAL</v>
      </c>
      <c r="B2" s="48"/>
      <c r="C2" s="48"/>
      <c r="D2" s="48"/>
      <c r="E2" s="48"/>
      <c r="F2" s="48"/>
      <c r="G2" s="48"/>
      <c r="H2" s="48"/>
    </row>
    <row r="3" spans="1:12" ht="15.95" customHeight="1">
      <c r="A3" s="234"/>
    </row>
    <row r="4" spans="1:12" ht="15.95" customHeight="1">
      <c r="B4" s="7"/>
      <c r="C4" s="78"/>
      <c r="D4" s="78"/>
      <c r="E4" s="7"/>
      <c r="F4" s="7"/>
      <c r="G4" s="7"/>
      <c r="H4" s="7"/>
    </row>
    <row r="5" spans="1:12" ht="15.95" customHeight="1">
      <c r="B5" s="7"/>
      <c r="C5" s="7"/>
      <c r="D5" s="7"/>
      <c r="E5" s="7"/>
      <c r="F5" s="7"/>
      <c r="G5" s="7"/>
      <c r="H5" s="7"/>
    </row>
    <row r="6" spans="1:12" ht="15.95" customHeight="1">
      <c r="B6" s="235" t="s">
        <v>116</v>
      </c>
      <c r="C6" s="194"/>
      <c r="D6" s="194"/>
      <c r="E6" s="194"/>
      <c r="F6" s="194"/>
      <c r="G6" s="194"/>
      <c r="H6" s="195"/>
    </row>
    <row r="7" spans="1:12" ht="15.95" customHeight="1">
      <c r="B7" s="358" t="s">
        <v>124</v>
      </c>
      <c r="C7" s="361"/>
      <c r="D7" s="361"/>
      <c r="E7" s="352" t="s">
        <v>59</v>
      </c>
      <c r="F7" s="352" t="s">
        <v>18</v>
      </c>
      <c r="G7" s="352" t="s">
        <v>115</v>
      </c>
      <c r="H7" s="352" t="s">
        <v>18</v>
      </c>
    </row>
    <row r="8" spans="1:12" ht="15.95" customHeight="1">
      <c r="A8" s="40"/>
      <c r="B8" s="394"/>
      <c r="C8" s="436"/>
      <c r="D8" s="436"/>
      <c r="E8" s="409" t="s">
        <v>142</v>
      </c>
      <c r="F8" s="409" t="s">
        <v>143</v>
      </c>
      <c r="G8" s="409" t="s">
        <v>144</v>
      </c>
      <c r="H8" s="409" t="s">
        <v>18</v>
      </c>
    </row>
    <row r="9" spans="1:12" ht="15.95" customHeight="1">
      <c r="A9" s="93" t="s">
        <v>95</v>
      </c>
      <c r="B9" s="356" t="s">
        <v>413</v>
      </c>
      <c r="C9" s="356" t="s">
        <v>118</v>
      </c>
      <c r="D9" s="356" t="s">
        <v>119</v>
      </c>
      <c r="E9" s="356" t="s">
        <v>138</v>
      </c>
      <c r="F9" s="356" t="s">
        <v>156</v>
      </c>
      <c r="G9" s="356" t="s">
        <v>157</v>
      </c>
      <c r="H9" s="356" t="s">
        <v>59</v>
      </c>
      <c r="J9" s="637" t="s">
        <v>184</v>
      </c>
    </row>
    <row r="10" spans="1:12" ht="5.0999999999999996" customHeight="1">
      <c r="A10" s="5"/>
      <c r="B10" s="236"/>
      <c r="C10" s="236"/>
      <c r="D10" s="236"/>
      <c r="E10" s="236"/>
      <c r="F10" s="236"/>
      <c r="G10" s="236"/>
      <c r="H10" s="236"/>
    </row>
    <row r="11" spans="1:12" ht="14.1" customHeight="1">
      <c r="A11" s="330" t="s">
        <v>238</v>
      </c>
      <c r="B11" s="337">
        <f>'- 42 -'!I11</f>
        <v>63.442538487057789</v>
      </c>
      <c r="C11" s="337">
        <f>'- 43 -'!C11</f>
        <v>0</v>
      </c>
      <c r="D11" s="337">
        <f>'- 43 -'!E11</f>
        <v>35.187239074984127</v>
      </c>
      <c r="E11" s="337">
        <f>'- 43 -'!G11</f>
        <v>0.2022793904984832</v>
      </c>
      <c r="F11" s="337">
        <f>'- 43 -'!I11</f>
        <v>9.9655016389493117E-2</v>
      </c>
      <c r="G11" s="337">
        <f>'- 44 -'!C11</f>
        <v>0.28296423071494547</v>
      </c>
      <c r="H11" s="337">
        <f>'- 44 -'!E11</f>
        <v>0.78532380035516891</v>
      </c>
      <c r="J11" s="149">
        <f>SUM(B11:H11)</f>
        <v>100</v>
      </c>
      <c r="K11" s="636" t="s">
        <v>135</v>
      </c>
      <c r="L11" s="638">
        <f>B48</f>
        <v>66.069987391960353</v>
      </c>
    </row>
    <row r="12" spans="1:12" ht="14.1" customHeight="1">
      <c r="A12" s="26" t="s">
        <v>239</v>
      </c>
      <c r="B12" s="79">
        <f>'- 42 -'!I12</f>
        <v>66.966796140150493</v>
      </c>
      <c r="C12" s="79">
        <f>'- 43 -'!C12</f>
        <v>1.9491002906650279</v>
      </c>
      <c r="D12" s="79">
        <f>'- 43 -'!E12</f>
        <v>26.941294096201844</v>
      </c>
      <c r="E12" s="79">
        <f>'- 43 -'!G12</f>
        <v>1.5703613290515104</v>
      </c>
      <c r="F12" s="79">
        <f>'- 43 -'!I12</f>
        <v>1.3315435731333789</v>
      </c>
      <c r="G12" s="79">
        <f>'- 44 -'!C12</f>
        <v>0.61834268087096445</v>
      </c>
      <c r="H12" s="79">
        <f>'- 44 -'!E12</f>
        <v>0.62256188992678807</v>
      </c>
      <c r="J12" s="149">
        <f t="shared" ref="J12:J46" si="0">SUM(B12:H12)</f>
        <v>100</v>
      </c>
      <c r="K12" s="636" t="s">
        <v>118</v>
      </c>
      <c r="L12" s="638">
        <f>C48</f>
        <v>0.68460927970275376</v>
      </c>
    </row>
    <row r="13" spans="1:12" ht="14.1" customHeight="1">
      <c r="A13" s="330" t="s">
        <v>240</v>
      </c>
      <c r="B13" s="337">
        <f>'- 42 -'!I13</f>
        <v>62.491624640168531</v>
      </c>
      <c r="C13" s="337">
        <f>'- 43 -'!C13</f>
        <v>9.4808371098949601E-2</v>
      </c>
      <c r="D13" s="337">
        <f>'- 43 -'!E13</f>
        <v>35.385282232293051</v>
      </c>
      <c r="E13" s="337">
        <f>'- 43 -'!G13</f>
        <v>0.35123846792322916</v>
      </c>
      <c r="F13" s="337">
        <f>'- 43 -'!I13</f>
        <v>0.45126079494420795</v>
      </c>
      <c r="G13" s="337">
        <f>'- 44 -'!C13</f>
        <v>1.1025348838398386</v>
      </c>
      <c r="H13" s="337">
        <f>'- 44 -'!E13</f>
        <v>0.12325060973219507</v>
      </c>
      <c r="J13" s="149">
        <f t="shared" si="0"/>
        <v>100</v>
      </c>
      <c r="K13" s="636" t="s">
        <v>119</v>
      </c>
      <c r="L13" s="638">
        <f>D48</f>
        <v>28.058817808507751</v>
      </c>
    </row>
    <row r="14" spans="1:12" ht="14.1" customHeight="1">
      <c r="A14" s="26" t="s">
        <v>653</v>
      </c>
      <c r="B14" s="79">
        <f>'- 42 -'!I14</f>
        <v>76.916566489536407</v>
      </c>
      <c r="C14" s="79">
        <f>'- 43 -'!C14</f>
        <v>8.1447538839324887E-2</v>
      </c>
      <c r="D14" s="79">
        <f>'- 43 -'!E14</f>
        <v>21.159411103204491</v>
      </c>
      <c r="E14" s="79">
        <f>'- 43 -'!G14</f>
        <v>1.5521443938706474</v>
      </c>
      <c r="F14" s="79">
        <f>'- 43 -'!I14</f>
        <v>0</v>
      </c>
      <c r="G14" s="79">
        <f>'- 44 -'!C14</f>
        <v>0.14790843128843464</v>
      </c>
      <c r="H14" s="79">
        <f>'- 44 -'!E14</f>
        <v>0.14252204326069487</v>
      </c>
      <c r="J14" s="149">
        <f t="shared" si="0"/>
        <v>100</v>
      </c>
      <c r="K14" s="636" t="s">
        <v>163</v>
      </c>
      <c r="L14" s="638">
        <f>E48</f>
        <v>0.57051810616305954</v>
      </c>
    </row>
    <row r="15" spans="1:12" ht="14.1" customHeight="1">
      <c r="A15" s="330" t="s">
        <v>241</v>
      </c>
      <c r="B15" s="337">
        <f>'- 42 -'!I15</f>
        <v>68.022904078846224</v>
      </c>
      <c r="C15" s="337">
        <f>'- 43 -'!C15</f>
        <v>0</v>
      </c>
      <c r="D15" s="337">
        <f>'- 43 -'!E15</f>
        <v>29.933100925785176</v>
      </c>
      <c r="E15" s="337">
        <f>'- 43 -'!G15</f>
        <v>0.23719538383114711</v>
      </c>
      <c r="F15" s="337">
        <f>'- 43 -'!I15</f>
        <v>1.1647239852237594</v>
      </c>
      <c r="G15" s="337">
        <f>'- 44 -'!C15</f>
        <v>0.57036343412438495</v>
      </c>
      <c r="H15" s="337">
        <f>'- 44 -'!E15</f>
        <v>7.171219218930712E-2</v>
      </c>
      <c r="J15" s="149">
        <f t="shared" si="0"/>
        <v>100.00000000000001</v>
      </c>
      <c r="K15" s="636" t="s">
        <v>139</v>
      </c>
      <c r="L15" s="638">
        <f>F48</f>
        <v>3.206818647337935</v>
      </c>
    </row>
    <row r="16" spans="1:12" ht="14.1" customHeight="1">
      <c r="A16" s="26" t="s">
        <v>242</v>
      </c>
      <c r="B16" s="79">
        <f>'- 42 -'!I16</f>
        <v>74.595052594958418</v>
      </c>
      <c r="C16" s="79">
        <f>'- 43 -'!C16</f>
        <v>0.25298509569019129</v>
      </c>
      <c r="D16" s="79">
        <f>'- 43 -'!E16</f>
        <v>21.787091663233699</v>
      </c>
      <c r="E16" s="79">
        <f>'- 43 -'!G16</f>
        <v>1.3569099680995698</v>
      </c>
      <c r="F16" s="79">
        <f>'- 43 -'!I16</f>
        <v>0.15079684477819544</v>
      </c>
      <c r="G16" s="79">
        <f>'- 44 -'!C16</f>
        <v>1.5645133004085627</v>
      </c>
      <c r="H16" s="79">
        <f>'- 44 -'!E16</f>
        <v>0.29265053283137488</v>
      </c>
      <c r="J16" s="149">
        <f t="shared" si="0"/>
        <v>100.00000000000001</v>
      </c>
      <c r="K16" s="636" t="s">
        <v>115</v>
      </c>
      <c r="L16" s="638">
        <f>G48</f>
        <v>1.0906188967562263</v>
      </c>
    </row>
    <row r="17" spans="1:12" ht="14.1" customHeight="1">
      <c r="A17" s="330" t="s">
        <v>243</v>
      </c>
      <c r="B17" s="337">
        <f>'- 42 -'!I17</f>
        <v>58.783170426013179</v>
      </c>
      <c r="C17" s="337">
        <f>'- 43 -'!C17</f>
        <v>0</v>
      </c>
      <c r="D17" s="337">
        <f>'- 43 -'!E17</f>
        <v>35.841371984269657</v>
      </c>
      <c r="E17" s="337">
        <f>'- 43 -'!G17</f>
        <v>5.0802386112924272E-2</v>
      </c>
      <c r="F17" s="337">
        <f>'- 43 -'!I17</f>
        <v>5.1166900748430377</v>
      </c>
      <c r="G17" s="337">
        <f>'- 44 -'!C17</f>
        <v>0</v>
      </c>
      <c r="H17" s="337">
        <f>'- 44 -'!E17</f>
        <v>0.20796512876120277</v>
      </c>
      <c r="J17" s="149">
        <f t="shared" si="0"/>
        <v>99.999999999999986</v>
      </c>
      <c r="K17" s="639" t="s">
        <v>59</v>
      </c>
      <c r="L17" s="638">
        <f>H48</f>
        <v>0.31862986957192102</v>
      </c>
    </row>
    <row r="18" spans="1:12" ht="14.1" customHeight="1">
      <c r="A18" s="26" t="s">
        <v>244</v>
      </c>
      <c r="B18" s="79">
        <f>'- 42 -'!I18</f>
        <v>41.123807634150339</v>
      </c>
      <c r="C18" s="79">
        <f>'- 43 -'!C18</f>
        <v>10.48971085468219</v>
      </c>
      <c r="D18" s="79">
        <f>'- 43 -'!E18</f>
        <v>2.3988583716790064</v>
      </c>
      <c r="E18" s="79">
        <f>'- 43 -'!G18</f>
        <v>1.6908824298316961E-2</v>
      </c>
      <c r="F18" s="79">
        <f>'- 43 -'!I18</f>
        <v>42.005340951310743</v>
      </c>
      <c r="G18" s="79">
        <f>'- 44 -'!C18</f>
        <v>3.4817766533515599</v>
      </c>
      <c r="H18" s="79">
        <f>'- 44 -'!E18</f>
        <v>0.48359671052783892</v>
      </c>
      <c r="J18" s="149">
        <f t="shared" si="0"/>
        <v>99.999999999999986</v>
      </c>
      <c r="K18" s="636"/>
      <c r="L18" s="636"/>
    </row>
    <row r="19" spans="1:12" ht="14.1" customHeight="1">
      <c r="A19" s="330" t="s">
        <v>245</v>
      </c>
      <c r="B19" s="337">
        <f>'- 42 -'!I19</f>
        <v>68.912005360397771</v>
      </c>
      <c r="C19" s="337">
        <f>'- 43 -'!C19</f>
        <v>0</v>
      </c>
      <c r="D19" s="337">
        <f>'- 43 -'!E19</f>
        <v>29.258239745791524</v>
      </c>
      <c r="E19" s="337">
        <f>'- 43 -'!G19</f>
        <v>0.7275547508878567</v>
      </c>
      <c r="F19" s="337">
        <f>'- 43 -'!I19</f>
        <v>0</v>
      </c>
      <c r="G19" s="337">
        <f>'- 44 -'!C19</f>
        <v>0</v>
      </c>
      <c r="H19" s="337">
        <f>'- 44 -'!E19</f>
        <v>1.102200142922841</v>
      </c>
      <c r="J19" s="149">
        <f t="shared" si="0"/>
        <v>100</v>
      </c>
      <c r="K19" s="636"/>
      <c r="L19" s="638">
        <f>SUM(L11:L17)</f>
        <v>100.00000000000001</v>
      </c>
    </row>
    <row r="20" spans="1:12" ht="14.1" customHeight="1">
      <c r="A20" s="26" t="s">
        <v>246</v>
      </c>
      <c r="B20" s="79">
        <f>'- 42 -'!I20</f>
        <v>72.282265821755288</v>
      </c>
      <c r="C20" s="79">
        <f>'- 43 -'!C20</f>
        <v>0</v>
      </c>
      <c r="D20" s="79">
        <f>'- 43 -'!E20</f>
        <v>26.889151895015946</v>
      </c>
      <c r="E20" s="79">
        <f>'- 43 -'!G20</f>
        <v>0.13550327282009089</v>
      </c>
      <c r="F20" s="79">
        <f>'- 43 -'!I20</f>
        <v>0</v>
      </c>
      <c r="G20" s="79">
        <f>'- 44 -'!C20</f>
        <v>0.54845770327555921</v>
      </c>
      <c r="H20" s="79">
        <f>'- 44 -'!E20</f>
        <v>0.14462130713312282</v>
      </c>
      <c r="J20" s="149">
        <f t="shared" si="0"/>
        <v>100</v>
      </c>
      <c r="K20" s="636"/>
      <c r="L20" s="636"/>
    </row>
    <row r="21" spans="1:12" ht="14.1" customHeight="1">
      <c r="A21" s="330" t="s">
        <v>247</v>
      </c>
      <c r="B21" s="337">
        <f>'- 42 -'!I21</f>
        <v>69.589427407049584</v>
      </c>
      <c r="C21" s="337">
        <f>'- 43 -'!C21</f>
        <v>3.9893542998126551E-2</v>
      </c>
      <c r="D21" s="337">
        <f>'- 43 -'!E21</f>
        <v>28.950756523831288</v>
      </c>
      <c r="E21" s="337">
        <f>'- 43 -'!G21</f>
        <v>0.15809903865838942</v>
      </c>
      <c r="F21" s="337">
        <f>'- 43 -'!I21</f>
        <v>1.2370090852132263E-2</v>
      </c>
      <c r="G21" s="337">
        <f>'- 44 -'!C21</f>
        <v>0.86729180982469734</v>
      </c>
      <c r="H21" s="337">
        <f>'- 44 -'!E21</f>
        <v>0.38216158678577417</v>
      </c>
      <c r="J21" s="149">
        <f t="shared" si="0"/>
        <v>99.999999999999986</v>
      </c>
    </row>
    <row r="22" spans="1:12" ht="14.1" customHeight="1">
      <c r="A22" s="26" t="s">
        <v>248</v>
      </c>
      <c r="B22" s="79">
        <f>'- 42 -'!I22</f>
        <v>83.277748924894027</v>
      </c>
      <c r="C22" s="79">
        <f>'- 43 -'!C22</f>
        <v>0</v>
      </c>
      <c r="D22" s="79">
        <f>'- 43 -'!E22</f>
        <v>15.555491584727596</v>
      </c>
      <c r="E22" s="79">
        <f>'- 43 -'!G22</f>
        <v>0.12840673463753169</v>
      </c>
      <c r="F22" s="79">
        <f>'- 43 -'!I22</f>
        <v>4.8878273332057277E-2</v>
      </c>
      <c r="G22" s="79">
        <f>'- 44 -'!C22</f>
        <v>0.40520898729402532</v>
      </c>
      <c r="H22" s="79">
        <f>'- 44 -'!E22</f>
        <v>0.58426549511476511</v>
      </c>
      <c r="J22" s="149">
        <f t="shared" si="0"/>
        <v>100</v>
      </c>
    </row>
    <row r="23" spans="1:12" ht="14.1" customHeight="1">
      <c r="A23" s="330" t="s">
        <v>249</v>
      </c>
      <c r="B23" s="337">
        <f>'- 42 -'!I23</f>
        <v>70.800308754018573</v>
      </c>
      <c r="C23" s="337">
        <f>'- 43 -'!C23</f>
        <v>0</v>
      </c>
      <c r="D23" s="337">
        <f>'- 43 -'!E23</f>
        <v>19.194031669212624</v>
      </c>
      <c r="E23" s="337">
        <f>'- 43 -'!G23</f>
        <v>0.48812759573754011</v>
      </c>
      <c r="F23" s="337">
        <f>'- 43 -'!I23</f>
        <v>6.9610614141940639</v>
      </c>
      <c r="G23" s="337">
        <f>'- 44 -'!C23</f>
        <v>2.0687914517593025</v>
      </c>
      <c r="H23" s="337">
        <f>'- 44 -'!E23</f>
        <v>0.48767911507789485</v>
      </c>
      <c r="J23" s="149">
        <f t="shared" si="0"/>
        <v>99.999999999999986</v>
      </c>
    </row>
    <row r="24" spans="1:12" ht="14.1" customHeight="1">
      <c r="A24" s="26" t="s">
        <v>250</v>
      </c>
      <c r="B24" s="79">
        <f>'- 42 -'!I24</f>
        <v>66.68490263637824</v>
      </c>
      <c r="C24" s="79">
        <f>'- 43 -'!C24</f>
        <v>3.912193865463779E-2</v>
      </c>
      <c r="D24" s="79">
        <f>'- 43 -'!E24</f>
        <v>30.237088806244245</v>
      </c>
      <c r="E24" s="79">
        <f>'- 43 -'!G24</f>
        <v>0.33971333898313172</v>
      </c>
      <c r="F24" s="79">
        <f>'- 43 -'!I24</f>
        <v>1.0777931124399973</v>
      </c>
      <c r="G24" s="79">
        <f>'- 44 -'!C24</f>
        <v>1.1657836869227307</v>
      </c>
      <c r="H24" s="79">
        <f>'- 44 -'!E24</f>
        <v>0.45559648037702066</v>
      </c>
      <c r="J24" s="149">
        <f t="shared" si="0"/>
        <v>100</v>
      </c>
    </row>
    <row r="25" spans="1:12" ht="14.1" customHeight="1">
      <c r="A25" s="330" t="s">
        <v>251</v>
      </c>
      <c r="B25" s="337">
        <f>'- 42 -'!I25</f>
        <v>68.519292207351924</v>
      </c>
      <c r="C25" s="337">
        <f>'- 43 -'!C25</f>
        <v>0</v>
      </c>
      <c r="D25" s="337">
        <f>'- 43 -'!E25</f>
        <v>29.445599209363611</v>
      </c>
      <c r="E25" s="337">
        <f>'- 43 -'!G25</f>
        <v>0.29865878688605996</v>
      </c>
      <c r="F25" s="337">
        <f>'- 43 -'!I25</f>
        <v>0</v>
      </c>
      <c r="G25" s="337">
        <f>'- 44 -'!C25</f>
        <v>1.579775469120984</v>
      </c>
      <c r="H25" s="337">
        <f>'- 44 -'!E25</f>
        <v>0.15667432727742325</v>
      </c>
      <c r="J25" s="149">
        <f t="shared" si="0"/>
        <v>100.00000000000001</v>
      </c>
    </row>
    <row r="26" spans="1:12" ht="14.1" customHeight="1">
      <c r="A26" s="26" t="s">
        <v>252</v>
      </c>
      <c r="B26" s="79">
        <f>'- 42 -'!I26</f>
        <v>68.363458585733468</v>
      </c>
      <c r="C26" s="79">
        <f>'- 43 -'!C26</f>
        <v>1.2994893432595189</v>
      </c>
      <c r="D26" s="79">
        <f>'- 43 -'!E26</f>
        <v>25.47003822495585</v>
      </c>
      <c r="E26" s="79">
        <f>'- 43 -'!G26</f>
        <v>0.90436929255925302</v>
      </c>
      <c r="F26" s="79">
        <f>'- 43 -'!I26</f>
        <v>0.84302671318702249</v>
      </c>
      <c r="G26" s="79">
        <f>'- 44 -'!C26</f>
        <v>2.7806867586373181</v>
      </c>
      <c r="H26" s="79">
        <f>'- 44 -'!E26</f>
        <v>0.33893108166756319</v>
      </c>
      <c r="J26" s="149">
        <f t="shared" si="0"/>
        <v>100.00000000000001</v>
      </c>
    </row>
    <row r="27" spans="1:12" ht="14.1" customHeight="1">
      <c r="A27" s="330" t="s">
        <v>253</v>
      </c>
      <c r="B27" s="337">
        <f>'- 42 -'!I27</f>
        <v>78.718495971241481</v>
      </c>
      <c r="C27" s="337">
        <f>'- 43 -'!C27</f>
        <v>0.15638977772207363</v>
      </c>
      <c r="D27" s="337">
        <f>'- 43 -'!E27</f>
        <v>19.18680658529955</v>
      </c>
      <c r="E27" s="337">
        <f>'- 43 -'!G27</f>
        <v>0.50888770359419133</v>
      </c>
      <c r="F27" s="337">
        <f>'- 43 -'!I27</f>
        <v>0.51478486827241043</v>
      </c>
      <c r="G27" s="337">
        <f>'- 44 -'!C27</f>
        <v>0.73841224769543745</v>
      </c>
      <c r="H27" s="337">
        <f>'- 44 -'!E27</f>
        <v>0.17622284617486211</v>
      </c>
      <c r="J27" s="149">
        <f t="shared" si="0"/>
        <v>100.00000000000001</v>
      </c>
    </row>
    <row r="28" spans="1:12" ht="14.1" customHeight="1">
      <c r="A28" s="26" t="s">
        <v>254</v>
      </c>
      <c r="B28" s="79">
        <f>'- 42 -'!I28</f>
        <v>53.977336639445305</v>
      </c>
      <c r="C28" s="79">
        <f>'- 43 -'!C28</f>
        <v>6.9010892914761063E-2</v>
      </c>
      <c r="D28" s="79">
        <f>'- 43 -'!E28</f>
        <v>22.957483002358977</v>
      </c>
      <c r="E28" s="79">
        <f>'- 43 -'!G28</f>
        <v>5.7488976388272342E-2</v>
      </c>
      <c r="F28" s="79">
        <f>'- 43 -'!I28</f>
        <v>22.775934423008067</v>
      </c>
      <c r="G28" s="79">
        <f>'- 44 -'!C28</f>
        <v>3.6181873251360214E-2</v>
      </c>
      <c r="H28" s="79">
        <f>'- 44 -'!E28</f>
        <v>0.12656419263325805</v>
      </c>
      <c r="J28" s="149">
        <f t="shared" si="0"/>
        <v>100</v>
      </c>
    </row>
    <row r="29" spans="1:12" ht="14.1" customHeight="1">
      <c r="A29" s="330" t="s">
        <v>255</v>
      </c>
      <c r="B29" s="337">
        <f>'- 42 -'!I29</f>
        <v>58.984417062296821</v>
      </c>
      <c r="C29" s="337">
        <f>'- 43 -'!C29</f>
        <v>1.2370013861760449E-3</v>
      </c>
      <c r="D29" s="337">
        <f>'- 43 -'!E29</f>
        <v>37.979252861489279</v>
      </c>
      <c r="E29" s="337">
        <f>'- 43 -'!G29</f>
        <v>0.56001765283153937</v>
      </c>
      <c r="F29" s="337">
        <f>'- 43 -'!I29</f>
        <v>6.4196081343960334E-2</v>
      </c>
      <c r="G29" s="337">
        <f>'- 44 -'!C29</f>
        <v>1.84797316959265</v>
      </c>
      <c r="H29" s="337">
        <f>'- 44 -'!E29</f>
        <v>0.56290617105957663</v>
      </c>
      <c r="J29" s="149">
        <f t="shared" si="0"/>
        <v>100</v>
      </c>
    </row>
    <row r="30" spans="1:12" ht="14.1" customHeight="1">
      <c r="A30" s="26" t="s">
        <v>256</v>
      </c>
      <c r="B30" s="79">
        <f>'- 42 -'!I30</f>
        <v>67.934284324270777</v>
      </c>
      <c r="C30" s="79">
        <f>'- 43 -'!C30</f>
        <v>0</v>
      </c>
      <c r="D30" s="79">
        <f>'- 43 -'!E30</f>
        <v>31.425297472728602</v>
      </c>
      <c r="E30" s="79">
        <f>'- 43 -'!G30</f>
        <v>0.24992481522715376</v>
      </c>
      <c r="F30" s="79">
        <f>'- 43 -'!I30</f>
        <v>0</v>
      </c>
      <c r="G30" s="79">
        <f>'- 44 -'!C30</f>
        <v>1.4399891314747018E-2</v>
      </c>
      <c r="H30" s="79">
        <f>'- 44 -'!E30</f>
        <v>0.37609349645871992</v>
      </c>
      <c r="J30" s="149">
        <f t="shared" si="0"/>
        <v>100.00000000000001</v>
      </c>
    </row>
    <row r="31" spans="1:12" ht="14.1" customHeight="1">
      <c r="A31" s="330" t="s">
        <v>257</v>
      </c>
      <c r="B31" s="337">
        <f>'- 42 -'!I31</f>
        <v>64.475727328322307</v>
      </c>
      <c r="C31" s="337">
        <f>'- 43 -'!C31</f>
        <v>2.3011569290103621E-2</v>
      </c>
      <c r="D31" s="337">
        <f>'- 43 -'!E31</f>
        <v>32.602395682361575</v>
      </c>
      <c r="E31" s="337">
        <f>'- 43 -'!G31</f>
        <v>0.59350736067955734</v>
      </c>
      <c r="F31" s="337">
        <f>'- 43 -'!I31</f>
        <v>2.2168259544366653</v>
      </c>
      <c r="G31" s="337">
        <f>'- 44 -'!C31</f>
        <v>1.9692798450466811E-2</v>
      </c>
      <c r="H31" s="337">
        <f>'- 44 -'!E31</f>
        <v>6.883930645932948E-2</v>
      </c>
      <c r="J31" s="149">
        <f t="shared" si="0"/>
        <v>100</v>
      </c>
    </row>
    <row r="32" spans="1:12" ht="14.1" customHeight="1">
      <c r="A32" s="26" t="s">
        <v>258</v>
      </c>
      <c r="B32" s="79">
        <f>'- 42 -'!I32</f>
        <v>67.209291228200314</v>
      </c>
      <c r="C32" s="79">
        <f>'- 43 -'!C32</f>
        <v>6.4844965182758868E-2</v>
      </c>
      <c r="D32" s="79">
        <f>'- 43 -'!E32</f>
        <v>31.889427763697626</v>
      </c>
      <c r="E32" s="79">
        <f>'- 43 -'!G32</f>
        <v>0.25603175318932886</v>
      </c>
      <c r="F32" s="79">
        <f>'- 43 -'!I32</f>
        <v>0</v>
      </c>
      <c r="G32" s="79">
        <f>'- 44 -'!C32</f>
        <v>0.31692545910411779</v>
      </c>
      <c r="H32" s="79">
        <f>'- 44 -'!E32</f>
        <v>0.26347883062584543</v>
      </c>
      <c r="J32" s="149">
        <f t="shared" si="0"/>
        <v>99.999999999999986</v>
      </c>
    </row>
    <row r="33" spans="1:10" ht="14.1" customHeight="1">
      <c r="A33" s="330" t="s">
        <v>259</v>
      </c>
      <c r="B33" s="337">
        <f>'- 42 -'!I33</f>
        <v>65.51568727827717</v>
      </c>
      <c r="C33" s="337">
        <f>'- 43 -'!C33</f>
        <v>6.0208975382347228E-2</v>
      </c>
      <c r="D33" s="337">
        <f>'- 43 -'!E33</f>
        <v>32.334743121223816</v>
      </c>
      <c r="E33" s="337">
        <f>'- 43 -'!G33</f>
        <v>6.451506999503348E-2</v>
      </c>
      <c r="F33" s="337">
        <f>'- 43 -'!I33</f>
        <v>1.3608824134591415</v>
      </c>
      <c r="G33" s="337">
        <f>'- 44 -'!C33</f>
        <v>0.26278629516675239</v>
      </c>
      <c r="H33" s="337">
        <f>'- 44 -'!E33</f>
        <v>0.4011768464957437</v>
      </c>
      <c r="J33" s="149">
        <f t="shared" si="0"/>
        <v>100.00000000000001</v>
      </c>
    </row>
    <row r="34" spans="1:10" ht="14.1" customHeight="1">
      <c r="A34" s="26" t="s">
        <v>260</v>
      </c>
      <c r="B34" s="79">
        <f>'- 42 -'!I34</f>
        <v>62.164403933717004</v>
      </c>
      <c r="C34" s="79">
        <f>'- 43 -'!C34</f>
        <v>8.8791543710192142E-2</v>
      </c>
      <c r="D34" s="79">
        <f>'- 43 -'!E34</f>
        <v>33.83519047682632</v>
      </c>
      <c r="E34" s="79">
        <f>'- 43 -'!G34</f>
        <v>2.9735298634014766</v>
      </c>
      <c r="F34" s="79">
        <f>'- 43 -'!I34</f>
        <v>1.7738279633066723E-2</v>
      </c>
      <c r="G34" s="79">
        <f>'- 44 -'!C34</f>
        <v>0.72287557917506784</v>
      </c>
      <c r="H34" s="79">
        <f>'- 44 -'!E34</f>
        <v>0.19747032353687358</v>
      </c>
      <c r="J34" s="149">
        <f t="shared" si="0"/>
        <v>100</v>
      </c>
    </row>
    <row r="35" spans="1:10" ht="14.1" customHeight="1">
      <c r="A35" s="330" t="s">
        <v>261</v>
      </c>
      <c r="B35" s="337">
        <f>'- 42 -'!I35</f>
        <v>70.646401749269316</v>
      </c>
      <c r="C35" s="337">
        <f>'- 43 -'!C35</f>
        <v>0</v>
      </c>
      <c r="D35" s="337">
        <f>'- 43 -'!E35</f>
        <v>26.807422232584376</v>
      </c>
      <c r="E35" s="337">
        <f>'- 43 -'!G35</f>
        <v>0.51620444220194894</v>
      </c>
      <c r="F35" s="337">
        <f>'- 43 -'!I35</f>
        <v>5.0744314407931437E-2</v>
      </c>
      <c r="G35" s="337">
        <f>'- 44 -'!C35</f>
        <v>1.8146858665994721</v>
      </c>
      <c r="H35" s="337">
        <f>'- 44 -'!E35</f>
        <v>0.16454139493695699</v>
      </c>
      <c r="J35" s="149">
        <f t="shared" si="0"/>
        <v>100.00000000000001</v>
      </c>
    </row>
    <row r="36" spans="1:10" ht="14.1" customHeight="1">
      <c r="A36" s="26" t="s">
        <v>262</v>
      </c>
      <c r="B36" s="79">
        <f>'- 42 -'!I36</f>
        <v>61.604144161115705</v>
      </c>
      <c r="C36" s="79">
        <f>'- 43 -'!C36</f>
        <v>0.38436200258439768</v>
      </c>
      <c r="D36" s="79">
        <f>'- 43 -'!E36</f>
        <v>32.175842799155802</v>
      </c>
      <c r="E36" s="79">
        <f>'- 43 -'!G36</f>
        <v>0.33661742672879424</v>
      </c>
      <c r="F36" s="79">
        <f>'- 43 -'!I36</f>
        <v>4.9445278028793362</v>
      </c>
      <c r="G36" s="79">
        <f>'- 44 -'!C36</f>
        <v>0.22063871857440151</v>
      </c>
      <c r="H36" s="79">
        <f>'- 44 -'!E36</f>
        <v>0.33386708896156075</v>
      </c>
      <c r="J36" s="149">
        <f t="shared" si="0"/>
        <v>100</v>
      </c>
    </row>
    <row r="37" spans="1:10" ht="14.1" customHeight="1">
      <c r="A37" s="330" t="s">
        <v>263</v>
      </c>
      <c r="B37" s="337">
        <f>'- 42 -'!I37</f>
        <v>75.603883567951371</v>
      </c>
      <c r="C37" s="337">
        <f>'- 43 -'!C37</f>
        <v>7.1013022776720863E-2</v>
      </c>
      <c r="D37" s="337">
        <f>'- 43 -'!E37</f>
        <v>23.465986313431159</v>
      </c>
      <c r="E37" s="337">
        <f>'- 43 -'!G37</f>
        <v>0.55683042900698798</v>
      </c>
      <c r="F37" s="337">
        <f>'- 43 -'!I37</f>
        <v>0.10059209691203258</v>
      </c>
      <c r="G37" s="337">
        <f>'- 44 -'!C37</f>
        <v>8.1816825715355271E-2</v>
      </c>
      <c r="H37" s="337">
        <f>'- 44 -'!E37</f>
        <v>0.11987774420637225</v>
      </c>
      <c r="J37" s="149">
        <f t="shared" si="0"/>
        <v>100.00000000000001</v>
      </c>
    </row>
    <row r="38" spans="1:10" ht="14.1" customHeight="1">
      <c r="A38" s="26" t="s">
        <v>264</v>
      </c>
      <c r="B38" s="79">
        <f>'- 42 -'!I38</f>
        <v>72.365949802074908</v>
      </c>
      <c r="C38" s="79">
        <f>'- 43 -'!C38</f>
        <v>9.9581556159870927E-3</v>
      </c>
      <c r="D38" s="79">
        <f>'- 43 -'!E38</f>
        <v>25.299737006967671</v>
      </c>
      <c r="E38" s="79">
        <f>'- 43 -'!G38</f>
        <v>0.99380068898395213</v>
      </c>
      <c r="F38" s="79">
        <f>'- 43 -'!I38</f>
        <v>0.31989076572168407</v>
      </c>
      <c r="G38" s="79">
        <f>'- 44 -'!C38</f>
        <v>0.91406864764330442</v>
      </c>
      <c r="H38" s="79">
        <f>'- 44 -'!E38</f>
        <v>9.6594932992492277E-2</v>
      </c>
      <c r="J38" s="149">
        <f t="shared" si="0"/>
        <v>100</v>
      </c>
    </row>
    <row r="39" spans="1:10" ht="14.1" customHeight="1">
      <c r="A39" s="330" t="s">
        <v>265</v>
      </c>
      <c r="B39" s="337">
        <f>'- 42 -'!I39</f>
        <v>60.729483736625525</v>
      </c>
      <c r="C39" s="337">
        <f>'- 43 -'!C39</f>
        <v>4.3178458276372407E-2</v>
      </c>
      <c r="D39" s="337">
        <f>'- 43 -'!E39</f>
        <v>38.305026091204851</v>
      </c>
      <c r="E39" s="337">
        <f>'- 43 -'!G39</f>
        <v>0.50865881018541059</v>
      </c>
      <c r="F39" s="337">
        <f>'- 43 -'!I39</f>
        <v>0</v>
      </c>
      <c r="G39" s="337">
        <f>'- 44 -'!C39</f>
        <v>3.7117516194223474E-2</v>
      </c>
      <c r="H39" s="337">
        <f>'- 44 -'!E39</f>
        <v>0.37653538751362048</v>
      </c>
      <c r="J39" s="149">
        <f t="shared" si="0"/>
        <v>100.00000000000001</v>
      </c>
    </row>
    <row r="40" spans="1:10" ht="14.1" customHeight="1">
      <c r="A40" s="26" t="s">
        <v>266</v>
      </c>
      <c r="B40" s="79">
        <f>'- 42 -'!I40</f>
        <v>61.221861219456045</v>
      </c>
      <c r="C40" s="79">
        <f>'- 43 -'!C40</f>
        <v>2.4716876971101207E-3</v>
      </c>
      <c r="D40" s="79">
        <f>'- 43 -'!E40</f>
        <v>34.139397822211421</v>
      </c>
      <c r="E40" s="79">
        <f>'- 43 -'!G40</f>
        <v>0.83891912582070427</v>
      </c>
      <c r="F40" s="79">
        <f>'- 43 -'!I40</f>
        <v>0.12165874274773145</v>
      </c>
      <c r="G40" s="79">
        <f>'- 44 -'!C40</f>
        <v>2.680663313438965</v>
      </c>
      <c r="H40" s="79">
        <f>'- 44 -'!E40</f>
        <v>0.99502808862802672</v>
      </c>
      <c r="J40" s="149">
        <f t="shared" si="0"/>
        <v>100.00000000000001</v>
      </c>
    </row>
    <row r="41" spans="1:10" ht="14.1" customHeight="1">
      <c r="A41" s="330" t="s">
        <v>267</v>
      </c>
      <c r="B41" s="337">
        <f>'- 42 -'!I41</f>
        <v>63.316944787711208</v>
      </c>
      <c r="C41" s="337">
        <f>'- 43 -'!C41</f>
        <v>5.8407600266834813E-3</v>
      </c>
      <c r="D41" s="337">
        <f>'- 43 -'!E41</f>
        <v>34.771172380252153</v>
      </c>
      <c r="E41" s="337">
        <f>'- 43 -'!G41</f>
        <v>0.50724649533952326</v>
      </c>
      <c r="F41" s="337">
        <f>'- 43 -'!I41</f>
        <v>0.78985204407517939</v>
      </c>
      <c r="G41" s="337">
        <f>'- 44 -'!C41</f>
        <v>0.14158901931662699</v>
      </c>
      <c r="H41" s="337">
        <f>'- 44 -'!E41</f>
        <v>0.46735451327863059</v>
      </c>
      <c r="J41" s="149">
        <f t="shared" si="0"/>
        <v>100.00000000000001</v>
      </c>
    </row>
    <row r="42" spans="1:10" ht="14.1" customHeight="1">
      <c r="A42" s="26" t="s">
        <v>268</v>
      </c>
      <c r="B42" s="79">
        <f>'- 42 -'!I42</f>
        <v>73.222542426737633</v>
      </c>
      <c r="C42" s="79">
        <f>'- 43 -'!C42</f>
        <v>0</v>
      </c>
      <c r="D42" s="79">
        <f>'- 43 -'!E42</f>
        <v>23.93761433492622</v>
      </c>
      <c r="E42" s="79">
        <f>'- 43 -'!G42</f>
        <v>0.14350027308297722</v>
      </c>
      <c r="F42" s="79">
        <f>'- 43 -'!I42</f>
        <v>0.89089919330534473</v>
      </c>
      <c r="G42" s="79">
        <f>'- 44 -'!C42</f>
        <v>1.0989985592544618</v>
      </c>
      <c r="H42" s="79">
        <f>'- 44 -'!E42</f>
        <v>0.70644521269336225</v>
      </c>
      <c r="J42" s="149">
        <f t="shared" si="0"/>
        <v>100.00000000000001</v>
      </c>
    </row>
    <row r="43" spans="1:10" ht="14.1" customHeight="1">
      <c r="A43" s="330" t="s">
        <v>269</v>
      </c>
      <c r="B43" s="337">
        <f>'- 42 -'!I43</f>
        <v>64.298445812897555</v>
      </c>
      <c r="C43" s="337">
        <f>'- 43 -'!C43</f>
        <v>1.468159731365807E-3</v>
      </c>
      <c r="D43" s="337">
        <f>'- 43 -'!E43</f>
        <v>34.729309958985723</v>
      </c>
      <c r="E43" s="337">
        <f>'- 43 -'!G43</f>
        <v>0.30339138957414796</v>
      </c>
      <c r="F43" s="337">
        <f>'- 43 -'!I43</f>
        <v>3.0797408468939382E-2</v>
      </c>
      <c r="G43" s="337">
        <f>'- 44 -'!C43</f>
        <v>0.27828840410952338</v>
      </c>
      <c r="H43" s="337">
        <f>'- 44 -'!E43</f>
        <v>0.35829886623274199</v>
      </c>
      <c r="J43" s="149">
        <f t="shared" si="0"/>
        <v>99.999999999999986</v>
      </c>
    </row>
    <row r="44" spans="1:10" ht="14.1" customHeight="1">
      <c r="A44" s="26" t="s">
        <v>270</v>
      </c>
      <c r="B44" s="79">
        <f>'- 42 -'!I44</f>
        <v>77.928538512285272</v>
      </c>
      <c r="C44" s="79">
        <f>'- 43 -'!C44</f>
        <v>0</v>
      </c>
      <c r="D44" s="79">
        <f>'- 43 -'!E44</f>
        <v>21.747992103052603</v>
      </c>
      <c r="E44" s="79">
        <f>'- 43 -'!G44</f>
        <v>0.1144003325236332</v>
      </c>
      <c r="F44" s="79">
        <f>'- 43 -'!I44</f>
        <v>0</v>
      </c>
      <c r="G44" s="79">
        <f>'- 44 -'!C44</f>
        <v>0.11512389018232967</v>
      </c>
      <c r="H44" s="79">
        <f>'- 44 -'!E44</f>
        <v>9.3945161956159637E-2</v>
      </c>
      <c r="J44" s="149">
        <f t="shared" si="0"/>
        <v>99.999999999999986</v>
      </c>
    </row>
    <row r="45" spans="1:10" ht="14.1" customHeight="1">
      <c r="A45" s="330" t="s">
        <v>271</v>
      </c>
      <c r="B45" s="337">
        <f>'- 42 -'!I45</f>
        <v>67.772155264200848</v>
      </c>
      <c r="C45" s="337">
        <f>'- 43 -'!C45</f>
        <v>0.15562200971798945</v>
      </c>
      <c r="D45" s="337">
        <f>'- 43 -'!E45</f>
        <v>29.717231602971307</v>
      </c>
      <c r="E45" s="337">
        <f>'- 43 -'!G45</f>
        <v>0.26649306310481191</v>
      </c>
      <c r="F45" s="337">
        <f>'- 43 -'!I45</f>
        <v>0</v>
      </c>
      <c r="G45" s="337">
        <f>'- 44 -'!C45</f>
        <v>1.934851453412167</v>
      </c>
      <c r="H45" s="337">
        <f>'- 44 -'!E45</f>
        <v>0.15364660659287688</v>
      </c>
      <c r="J45" s="149">
        <f t="shared" si="0"/>
        <v>100</v>
      </c>
    </row>
    <row r="46" spans="1:10" ht="14.1" customHeight="1">
      <c r="A46" s="26" t="s">
        <v>272</v>
      </c>
      <c r="B46" s="79">
        <f>'- 42 -'!I46</f>
        <v>67.432260270463857</v>
      </c>
      <c r="C46" s="79">
        <f>'- 43 -'!C46</f>
        <v>0</v>
      </c>
      <c r="D46" s="79">
        <f>'- 43 -'!E46</f>
        <v>30.803356238736363</v>
      </c>
      <c r="E46" s="79">
        <f>'- 43 -'!G46</f>
        <v>0.65859060277988735</v>
      </c>
      <c r="F46" s="79">
        <f>'- 43 -'!I46</f>
        <v>0.69106841593449986</v>
      </c>
      <c r="G46" s="79">
        <f>'- 44 -'!C46</f>
        <v>0.23149430867701457</v>
      </c>
      <c r="H46" s="79">
        <f>'- 44 -'!E46</f>
        <v>0.18323016340839021</v>
      </c>
      <c r="J46" s="149">
        <f t="shared" si="0"/>
        <v>100</v>
      </c>
    </row>
    <row r="47" spans="1:10" ht="5.0999999999999996" customHeight="1">
      <c r="A47" s="28"/>
      <c r="B47"/>
      <c r="C47"/>
      <c r="D47"/>
      <c r="E47"/>
      <c r="F47"/>
      <c r="G47"/>
      <c r="H47"/>
      <c r="J47" s="149"/>
    </row>
    <row r="48" spans="1:10" ht="14.1" customHeight="1">
      <c r="A48" s="332" t="s">
        <v>273</v>
      </c>
      <c r="B48" s="340">
        <f>'- 42 -'!I48</f>
        <v>66.069987391960353</v>
      </c>
      <c r="C48" s="340">
        <f>'- 43 -'!C48</f>
        <v>0.68460927970275376</v>
      </c>
      <c r="D48" s="340">
        <f>'- 43 -'!E48</f>
        <v>28.058817808507751</v>
      </c>
      <c r="E48" s="340">
        <f>'- 43 -'!G48</f>
        <v>0.57051810616305954</v>
      </c>
      <c r="F48" s="340">
        <f>'- 43 -'!I48</f>
        <v>3.206818647337935</v>
      </c>
      <c r="G48" s="340">
        <f>'- 44 -'!C48</f>
        <v>1.0906188967562263</v>
      </c>
      <c r="H48" s="340">
        <f>'- 44 -'!E48</f>
        <v>0.31862986957192102</v>
      </c>
      <c r="J48" s="149">
        <f>SUM(B48:H48)</f>
        <v>100.00000000000001</v>
      </c>
    </row>
    <row r="49" spans="1:10" ht="5.0999999999999996" customHeight="1">
      <c r="A49" s="28" t="s">
        <v>18</v>
      </c>
      <c r="B49"/>
      <c r="C49"/>
      <c r="D49"/>
      <c r="E49"/>
      <c r="F49"/>
      <c r="G49"/>
      <c r="H49"/>
      <c r="J49" s="149"/>
    </row>
    <row r="50" spans="1:10" ht="14.1" customHeight="1">
      <c r="A50" s="26" t="s">
        <v>274</v>
      </c>
      <c r="B50" s="79">
        <f>'- 42 -'!I50</f>
        <v>43.993827040630691</v>
      </c>
      <c r="C50" s="79">
        <f>'- 43 -'!C50</f>
        <v>0</v>
      </c>
      <c r="D50" s="79">
        <f>'- 43 -'!E50</f>
        <v>54.957069092133771</v>
      </c>
      <c r="E50" s="79">
        <f>'- 43 -'!G50</f>
        <v>0.91040964295707427</v>
      </c>
      <c r="F50" s="79">
        <f>'- 43 -'!I50</f>
        <v>0</v>
      </c>
      <c r="G50" s="79">
        <f>'- 44 -'!C50</f>
        <v>0</v>
      </c>
      <c r="H50" s="79">
        <f>'- 44 -'!E50</f>
        <v>0.13869422427846057</v>
      </c>
      <c r="J50" s="149">
        <f>SUM(B50:H50)</f>
        <v>100</v>
      </c>
    </row>
    <row r="51" spans="1:10" ht="14.1" customHeight="1">
      <c r="A51" s="330" t="s">
        <v>275</v>
      </c>
      <c r="B51" s="337">
        <f>'- 42 -'!I51</f>
        <v>53.414686760043338</v>
      </c>
      <c r="C51" s="337">
        <f>'- 43 -'!C51</f>
        <v>0</v>
      </c>
      <c r="D51" s="337">
        <f>'- 43 -'!E51</f>
        <v>0</v>
      </c>
      <c r="E51" s="337">
        <f>'- 43 -'!G51</f>
        <v>12.557515952963842</v>
      </c>
      <c r="F51" s="337">
        <f>'- 43 -'!I51</f>
        <v>0</v>
      </c>
      <c r="G51" s="337">
        <f>'- 44 -'!C51</f>
        <v>32.756008280825675</v>
      </c>
      <c r="H51" s="337">
        <f>'- 44 -'!E51</f>
        <v>1.2717890061671415</v>
      </c>
      <c r="J51" s="149"/>
    </row>
    <row r="52" spans="1:10" ht="50.1" customHeight="1">
      <c r="A52" s="30"/>
      <c r="B52" s="30"/>
      <c r="C52" s="30"/>
      <c r="D52" s="30"/>
      <c r="E52" s="30"/>
      <c r="F52" s="30"/>
      <c r="G52" s="30"/>
      <c r="H52" s="30"/>
    </row>
    <row r="53" spans="1:10" ht="15" customHeight="1">
      <c r="A53" s="45" t="s">
        <v>633</v>
      </c>
    </row>
    <row r="54" spans="1:10">
      <c r="A54" s="151" t="e">
        <f>"       includes teachers' retirement allowances, capital support and the education property tax credit, is "&amp;ROUND(#REF!*100,1)&amp;"% in "&amp;Data!B5&amp;". See page i for more"</f>
        <v>#REF!</v>
      </c>
    </row>
    <row r="55" spans="1:10">
      <c r="A55" s="1" t="s">
        <v>598</v>
      </c>
    </row>
  </sheetData>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7.xml><?xml version="1.0" encoding="utf-8"?>
<worksheet xmlns="http://schemas.openxmlformats.org/spreadsheetml/2006/main" xmlns:r="http://schemas.openxmlformats.org/officeDocument/2006/relationships">
  <sheetPr codeName="Sheet36">
    <pageSetUpPr fitToPage="1"/>
  </sheetPr>
  <dimension ref="A1:I62"/>
  <sheetViews>
    <sheetView showGridLines="0" showZeros="0" topLeftCell="A17" workbookViewId="0">
      <selection activeCell="D33" sqref="D33"/>
    </sheetView>
  </sheetViews>
  <sheetFormatPr defaultColWidth="15.83203125" defaultRowHeight="12"/>
  <cols>
    <col min="1" max="1" width="26.83203125" style="1" customWidth="1"/>
    <col min="2" max="2" width="13.83203125" style="1" customWidth="1"/>
    <col min="3" max="3" width="15.83203125" style="1"/>
    <col min="4" max="4" width="12.5" style="1" customWidth="1"/>
    <col min="5" max="5" width="13" style="1" customWidth="1"/>
    <col min="6" max="6" width="15.5" style="1" customWidth="1"/>
    <col min="7" max="7" width="14.83203125" style="1" customWidth="1"/>
    <col min="8" max="8" width="15" style="1" bestFit="1" customWidth="1"/>
    <col min="9" max="9" width="15.1640625" style="1" customWidth="1"/>
    <col min="10" max="16384" width="15.83203125" style="1"/>
  </cols>
  <sheetData>
    <row r="1" spans="1:9" ht="15.95" customHeight="1">
      <c r="A1" s="242"/>
      <c r="B1" s="248" t="str">
        <f>"ANALYSIS OF OPERATING FUND REVENUE: "&amp;FALLYR&amp;"/"&amp;SPRINGYR&amp;" ACTUAL"</f>
        <v>ANALYSIS OF OPERATING FUND REVENUE: 2011/2012 ACTUAL</v>
      </c>
      <c r="C1" s="48"/>
      <c r="D1" s="48"/>
      <c r="E1" s="48"/>
      <c r="F1" s="48"/>
      <c r="G1" s="48"/>
      <c r="H1" s="244"/>
      <c r="I1" s="244" t="s">
        <v>17</v>
      </c>
    </row>
    <row r="2" spans="1:9" ht="15.95" customHeight="1">
      <c r="A2" s="234"/>
    </row>
    <row r="3" spans="1:9" ht="15.95" customHeight="1">
      <c r="B3" s="349" t="s">
        <v>112</v>
      </c>
      <c r="C3" s="464"/>
      <c r="D3" s="464"/>
      <c r="E3" s="464"/>
      <c r="F3" s="464"/>
      <c r="G3" s="464"/>
      <c r="H3" s="465"/>
      <c r="I3" s="465"/>
    </row>
    <row r="4" spans="1:9" ht="8.1" customHeight="1"/>
    <row r="5" spans="1:9" ht="15.95" customHeight="1">
      <c r="B5" s="440" t="s">
        <v>91</v>
      </c>
      <c r="C5" s="472"/>
      <c r="D5" s="472"/>
      <c r="E5" s="472"/>
      <c r="F5" s="465"/>
    </row>
    <row r="6" spans="1:9" ht="15.95" customHeight="1">
      <c r="B6" s="466"/>
      <c r="C6" s="466"/>
      <c r="D6" s="572"/>
      <c r="E6" s="467"/>
      <c r="F6" s="467"/>
      <c r="G6" s="466"/>
      <c r="H6" s="466"/>
      <c r="I6" s="249" t="s">
        <v>97</v>
      </c>
    </row>
    <row r="7" spans="1:9" ht="15.95" customHeight="1">
      <c r="B7" s="468" t="s">
        <v>228</v>
      </c>
      <c r="C7" s="470" t="s">
        <v>91</v>
      </c>
      <c r="D7" s="468" t="s">
        <v>518</v>
      </c>
      <c r="E7" s="469"/>
      <c r="F7" s="469"/>
      <c r="G7" s="468" t="s">
        <v>59</v>
      </c>
      <c r="H7" s="468" t="s">
        <v>69</v>
      </c>
      <c r="I7" s="251" t="s">
        <v>123</v>
      </c>
    </row>
    <row r="8" spans="1:9" ht="15.95" customHeight="1">
      <c r="A8" s="75"/>
      <c r="B8" s="468" t="s">
        <v>227</v>
      </c>
      <c r="C8" s="470" t="s">
        <v>416</v>
      </c>
      <c r="D8" s="468" t="s">
        <v>519</v>
      </c>
      <c r="E8" s="470" t="s">
        <v>59</v>
      </c>
      <c r="F8" s="469"/>
      <c r="G8" s="468" t="s">
        <v>135</v>
      </c>
      <c r="H8" s="468" t="s">
        <v>135</v>
      </c>
      <c r="I8" s="251" t="s">
        <v>136</v>
      </c>
    </row>
    <row r="9" spans="1:9" ht="15.95" customHeight="1">
      <c r="A9" s="42" t="s">
        <v>95</v>
      </c>
      <c r="B9" s="471" t="s">
        <v>417</v>
      </c>
      <c r="C9" s="566" t="s">
        <v>418</v>
      </c>
      <c r="D9" s="471" t="s">
        <v>672</v>
      </c>
      <c r="E9" s="471" t="s">
        <v>419</v>
      </c>
      <c r="F9" s="471" t="s">
        <v>69</v>
      </c>
      <c r="G9" s="471" t="s">
        <v>420</v>
      </c>
      <c r="H9" s="471" t="s">
        <v>141</v>
      </c>
      <c r="I9" s="471" t="s">
        <v>520</v>
      </c>
    </row>
    <row r="10" spans="1:9" ht="5.0999999999999996" customHeight="1">
      <c r="A10" s="5"/>
      <c r="B10" s="236"/>
      <c r="C10" s="236"/>
      <c r="D10" s="236"/>
      <c r="E10" s="236"/>
      <c r="F10" s="236"/>
      <c r="G10" s="236"/>
      <c r="H10" s="236"/>
    </row>
    <row r="11" spans="1:9" ht="14.1" customHeight="1">
      <c r="A11" s="330" t="s">
        <v>238</v>
      </c>
      <c r="B11" s="331">
        <f>'- 62 -'!$F11</f>
        <v>7562442</v>
      </c>
      <c r="C11" s="331">
        <v>1469047</v>
      </c>
      <c r="D11" s="331">
        <v>504331</v>
      </c>
      <c r="E11" s="331">
        <v>249691</v>
      </c>
      <c r="F11" s="331">
        <f>SUM(B11:E11)</f>
        <v>9785511</v>
      </c>
      <c r="G11" s="331">
        <v>0</v>
      </c>
      <c r="H11" s="331">
        <f>SUM(F11:G11)</f>
        <v>9785511</v>
      </c>
      <c r="I11" s="337">
        <f>H11/'- 44 -'!$I11*100</f>
        <v>63.442538487057789</v>
      </c>
    </row>
    <row r="12" spans="1:9" ht="14.1" customHeight="1">
      <c r="A12" s="26" t="s">
        <v>239</v>
      </c>
      <c r="B12" s="27">
        <f>'- 62 -'!$F12</f>
        <v>14190235</v>
      </c>
      <c r="C12" s="27">
        <v>2223125</v>
      </c>
      <c r="D12" s="27">
        <v>2711802</v>
      </c>
      <c r="E12" s="27">
        <v>774135</v>
      </c>
      <c r="F12" s="27">
        <f t="shared" ref="F12:F46" si="0">SUM(B12:E12)</f>
        <v>19899297</v>
      </c>
      <c r="G12" s="27">
        <v>464330</v>
      </c>
      <c r="H12" s="27">
        <f t="shared" ref="H12:H46" si="1">SUM(F12:G12)</f>
        <v>20363627</v>
      </c>
      <c r="I12" s="79">
        <f>H12/'- 44 -'!$I12*100</f>
        <v>66.966796140150493</v>
      </c>
    </row>
    <row r="13" spans="1:9" ht="14.1" customHeight="1">
      <c r="A13" s="330" t="s">
        <v>240</v>
      </c>
      <c r="B13" s="331">
        <f>'- 62 -'!$F13</f>
        <v>35360890</v>
      </c>
      <c r="C13" s="331">
        <v>7339578</v>
      </c>
      <c r="D13" s="331">
        <v>1834940</v>
      </c>
      <c r="E13" s="331">
        <v>1296965</v>
      </c>
      <c r="F13" s="331">
        <f t="shared" si="0"/>
        <v>45832373</v>
      </c>
      <c r="G13" s="331">
        <v>0</v>
      </c>
      <c r="H13" s="331">
        <f t="shared" si="1"/>
        <v>45832373</v>
      </c>
      <c r="I13" s="337">
        <f>H13/'- 44 -'!$I13*100</f>
        <v>62.491624640168531</v>
      </c>
    </row>
    <row r="14" spans="1:9" ht="14.1" customHeight="1">
      <c r="A14" s="26" t="s">
        <v>653</v>
      </c>
      <c r="B14" s="27">
        <f>'- 62 -'!$F14</f>
        <v>30217561</v>
      </c>
      <c r="C14" s="27">
        <v>5647256</v>
      </c>
      <c r="D14" s="27">
        <v>1920638</v>
      </c>
      <c r="E14" s="27">
        <v>14862112</v>
      </c>
      <c r="F14" s="27">
        <f t="shared" si="0"/>
        <v>52647567</v>
      </c>
      <c r="G14" s="27">
        <v>816020</v>
      </c>
      <c r="H14" s="27">
        <f t="shared" si="1"/>
        <v>53463587</v>
      </c>
      <c r="I14" s="79">
        <f>H14/'- 44 -'!$I14*100</f>
        <v>76.916566489536407</v>
      </c>
    </row>
    <row r="15" spans="1:9" ht="14.1" customHeight="1">
      <c r="A15" s="330" t="s">
        <v>241</v>
      </c>
      <c r="B15" s="331">
        <f>'- 62 -'!$F15</f>
        <v>8165854</v>
      </c>
      <c r="C15" s="331">
        <v>2323751</v>
      </c>
      <c r="D15" s="331">
        <v>1595317</v>
      </c>
      <c r="E15" s="331">
        <v>443878</v>
      </c>
      <c r="F15" s="331">
        <f t="shared" si="0"/>
        <v>12528800</v>
      </c>
      <c r="G15" s="331">
        <v>385766</v>
      </c>
      <c r="H15" s="331">
        <f t="shared" si="1"/>
        <v>12914566</v>
      </c>
      <c r="I15" s="337">
        <f>H15/'- 44 -'!$I15*100</f>
        <v>68.022904078846224</v>
      </c>
    </row>
    <row r="16" spans="1:9" ht="14.1" customHeight="1">
      <c r="A16" s="26" t="s">
        <v>242</v>
      </c>
      <c r="B16" s="27">
        <f>'- 62 -'!$F16</f>
        <v>7393486</v>
      </c>
      <c r="C16" s="27">
        <v>830349</v>
      </c>
      <c r="D16" s="27">
        <v>752713</v>
      </c>
      <c r="E16" s="27">
        <v>335097</v>
      </c>
      <c r="F16" s="27">
        <f t="shared" si="0"/>
        <v>9311645</v>
      </c>
      <c r="G16" s="27">
        <v>97026</v>
      </c>
      <c r="H16" s="27">
        <f t="shared" si="1"/>
        <v>9408671</v>
      </c>
      <c r="I16" s="79">
        <f>H16/'- 44 -'!$I16*100</f>
        <v>74.595052594958418</v>
      </c>
    </row>
    <row r="17" spans="1:9" ht="14.1" customHeight="1">
      <c r="A17" s="330" t="s">
        <v>243</v>
      </c>
      <c r="B17" s="331">
        <f>'- 62 -'!$F17</f>
        <v>7418368</v>
      </c>
      <c r="C17" s="331">
        <v>1252244</v>
      </c>
      <c r="D17" s="331">
        <v>487785</v>
      </c>
      <c r="E17" s="331">
        <v>373765</v>
      </c>
      <c r="F17" s="331">
        <f t="shared" si="0"/>
        <v>9532162</v>
      </c>
      <c r="G17" s="331">
        <v>245288</v>
      </c>
      <c r="H17" s="331">
        <f t="shared" si="1"/>
        <v>9777450</v>
      </c>
      <c r="I17" s="337">
        <f>H17/'- 44 -'!$I17*100</f>
        <v>58.783170426013179</v>
      </c>
    </row>
    <row r="18" spans="1:9" ht="14.1" customHeight="1">
      <c r="A18" s="26" t="s">
        <v>244</v>
      </c>
      <c r="B18" s="27">
        <f>'- 62 -'!$F18</f>
        <v>35499407</v>
      </c>
      <c r="C18" s="27">
        <v>461515</v>
      </c>
      <c r="D18" s="27">
        <v>318474</v>
      </c>
      <c r="E18" s="27">
        <v>9472922</v>
      </c>
      <c r="F18" s="27">
        <f t="shared" si="0"/>
        <v>45752318</v>
      </c>
      <c r="G18" s="27">
        <v>1673466</v>
      </c>
      <c r="H18" s="27">
        <f t="shared" si="1"/>
        <v>47425784</v>
      </c>
      <c r="I18" s="79">
        <f>H18/'- 44 -'!$I18*100</f>
        <v>41.123807634150339</v>
      </c>
    </row>
    <row r="19" spans="1:9" ht="14.1" customHeight="1">
      <c r="A19" s="330" t="s">
        <v>245</v>
      </c>
      <c r="B19" s="331">
        <f>'- 62 -'!$F19</f>
        <v>22325823</v>
      </c>
      <c r="C19" s="331">
        <v>2984769</v>
      </c>
      <c r="D19" s="331">
        <v>646173</v>
      </c>
      <c r="E19" s="331">
        <v>1022958</v>
      </c>
      <c r="F19" s="331">
        <f t="shared" si="0"/>
        <v>26979723</v>
      </c>
      <c r="G19" s="331">
        <v>19437</v>
      </c>
      <c r="H19" s="331">
        <f t="shared" si="1"/>
        <v>26999160</v>
      </c>
      <c r="I19" s="337">
        <f>H19/'- 44 -'!$I19*100</f>
        <v>68.912005360397771</v>
      </c>
    </row>
    <row r="20" spans="1:9" ht="14.1" customHeight="1">
      <c r="A20" s="26" t="s">
        <v>246</v>
      </c>
      <c r="B20" s="27">
        <f>'- 62 -'!$F20</f>
        <v>39172720</v>
      </c>
      <c r="C20" s="27">
        <v>5569637</v>
      </c>
      <c r="D20" s="27">
        <v>1495512</v>
      </c>
      <c r="E20" s="27">
        <v>1058969</v>
      </c>
      <c r="F20" s="27">
        <f t="shared" si="0"/>
        <v>47296838</v>
      </c>
      <c r="G20" s="27">
        <v>45569</v>
      </c>
      <c r="H20" s="27">
        <f t="shared" si="1"/>
        <v>47342407</v>
      </c>
      <c r="I20" s="79">
        <f>H20/'- 44 -'!$I20*100</f>
        <v>72.282265821755288</v>
      </c>
    </row>
    <row r="21" spans="1:9" ht="14.1" customHeight="1">
      <c r="A21" s="330" t="s">
        <v>247</v>
      </c>
      <c r="B21" s="331">
        <f>'- 62 -'!$F21</f>
        <v>17094572</v>
      </c>
      <c r="C21" s="331">
        <v>3436539</v>
      </c>
      <c r="D21" s="331">
        <v>1289551</v>
      </c>
      <c r="E21" s="331">
        <v>640342</v>
      </c>
      <c r="F21" s="331">
        <f t="shared" si="0"/>
        <v>22461004</v>
      </c>
      <c r="G21" s="331">
        <v>41475</v>
      </c>
      <c r="H21" s="331">
        <f t="shared" si="1"/>
        <v>22502479</v>
      </c>
      <c r="I21" s="337">
        <f>H21/'- 44 -'!$I21*100</f>
        <v>69.589427407049584</v>
      </c>
    </row>
    <row r="22" spans="1:9" ht="14.1" customHeight="1">
      <c r="A22" s="26" t="s">
        <v>248</v>
      </c>
      <c r="B22" s="27">
        <f>'- 62 -'!$F22</f>
        <v>12390374</v>
      </c>
      <c r="C22" s="27">
        <v>1099454</v>
      </c>
      <c r="D22" s="27">
        <v>309407</v>
      </c>
      <c r="E22" s="27">
        <v>1061669</v>
      </c>
      <c r="F22" s="27">
        <f t="shared" si="0"/>
        <v>14860904</v>
      </c>
      <c r="G22" s="27">
        <v>558291</v>
      </c>
      <c r="H22" s="27">
        <f t="shared" si="1"/>
        <v>15419195</v>
      </c>
      <c r="I22" s="79">
        <f>H22/'- 44 -'!$I22*100</f>
        <v>83.277748924894027</v>
      </c>
    </row>
    <row r="23" spans="1:9" ht="14.1" customHeight="1">
      <c r="A23" s="330" t="s">
        <v>249</v>
      </c>
      <c r="B23" s="331">
        <f>'- 62 -'!$F23</f>
        <v>8983385</v>
      </c>
      <c r="C23" s="331">
        <v>1027194</v>
      </c>
      <c r="D23" s="331">
        <v>440073</v>
      </c>
      <c r="E23" s="331">
        <v>588596</v>
      </c>
      <c r="F23" s="331">
        <f t="shared" si="0"/>
        <v>11039248</v>
      </c>
      <c r="G23" s="331">
        <v>327178</v>
      </c>
      <c r="H23" s="331">
        <f t="shared" si="1"/>
        <v>11366426</v>
      </c>
      <c r="I23" s="337">
        <f>H23/'- 44 -'!$I23*100</f>
        <v>70.800308754018573</v>
      </c>
    </row>
    <row r="24" spans="1:9" ht="14.1" customHeight="1">
      <c r="A24" s="26" t="s">
        <v>250</v>
      </c>
      <c r="B24" s="27">
        <f>'- 62 -'!$F24</f>
        <v>24007890</v>
      </c>
      <c r="C24" s="27">
        <v>5496463</v>
      </c>
      <c r="D24" s="27">
        <v>2692903</v>
      </c>
      <c r="E24" s="27">
        <v>865977</v>
      </c>
      <c r="F24" s="27">
        <f t="shared" si="0"/>
        <v>33063233</v>
      </c>
      <c r="G24" s="27">
        <v>488929</v>
      </c>
      <c r="H24" s="27">
        <f t="shared" si="1"/>
        <v>33552162</v>
      </c>
      <c r="I24" s="79">
        <f>H24/'- 44 -'!$I24*100</f>
        <v>66.68490263637824</v>
      </c>
    </row>
    <row r="25" spans="1:9" ht="14.1" customHeight="1">
      <c r="A25" s="330" t="s">
        <v>251</v>
      </c>
      <c r="B25" s="331">
        <f>'- 62 -'!$F25</f>
        <v>71590854</v>
      </c>
      <c r="C25" s="331">
        <v>20874263</v>
      </c>
      <c r="D25" s="331">
        <v>5822654</v>
      </c>
      <c r="E25" s="331">
        <v>3930650</v>
      </c>
      <c r="F25" s="331">
        <f t="shared" si="0"/>
        <v>102218421</v>
      </c>
      <c r="G25" s="331">
        <v>332888</v>
      </c>
      <c r="H25" s="331">
        <f t="shared" si="1"/>
        <v>102551309</v>
      </c>
      <c r="I25" s="337">
        <f>H25/'- 44 -'!$I25*100</f>
        <v>68.519292207351924</v>
      </c>
    </row>
    <row r="26" spans="1:9" ht="14.1" customHeight="1">
      <c r="A26" s="26" t="s">
        <v>252</v>
      </c>
      <c r="B26" s="27">
        <f>'- 62 -'!$F26</f>
        <v>20386513</v>
      </c>
      <c r="C26" s="27">
        <v>3466056</v>
      </c>
      <c r="D26" s="27">
        <v>690360</v>
      </c>
      <c r="E26" s="27">
        <v>713933</v>
      </c>
      <c r="F26" s="27">
        <f t="shared" si="0"/>
        <v>25256862</v>
      </c>
      <c r="G26" s="27">
        <v>0</v>
      </c>
      <c r="H26" s="27">
        <f t="shared" si="1"/>
        <v>25256862</v>
      </c>
      <c r="I26" s="79">
        <f>H26/'- 44 -'!$I26*100</f>
        <v>68.363458585733468</v>
      </c>
    </row>
    <row r="27" spans="1:9" ht="14.1" customHeight="1">
      <c r="A27" s="330" t="s">
        <v>253</v>
      </c>
      <c r="B27" s="331">
        <f>'- 62 -'!$F27</f>
        <v>26609893</v>
      </c>
      <c r="C27" s="331">
        <v>1741927</v>
      </c>
      <c r="D27" s="331">
        <v>1065349</v>
      </c>
      <c r="E27" s="331">
        <v>698758</v>
      </c>
      <c r="F27" s="331">
        <f t="shared" si="0"/>
        <v>30115927</v>
      </c>
      <c r="G27" s="331">
        <v>25060</v>
      </c>
      <c r="H27" s="331">
        <f t="shared" si="1"/>
        <v>30140987</v>
      </c>
      <c r="I27" s="337">
        <f>H27/'- 44 -'!$I27*100</f>
        <v>78.718495971241481</v>
      </c>
    </row>
    <row r="28" spans="1:9" ht="14.1" customHeight="1">
      <c r="A28" s="26" t="s">
        <v>254</v>
      </c>
      <c r="B28" s="27">
        <f>'- 62 -'!$F28</f>
        <v>10728551</v>
      </c>
      <c r="C28" s="27">
        <v>1424790</v>
      </c>
      <c r="D28" s="27">
        <v>775681</v>
      </c>
      <c r="E28" s="27">
        <v>497481</v>
      </c>
      <c r="F28" s="27">
        <f t="shared" si="0"/>
        <v>13426503</v>
      </c>
      <c r="G28" s="27">
        <v>0</v>
      </c>
      <c r="H28" s="27">
        <f t="shared" si="1"/>
        <v>13426503</v>
      </c>
      <c r="I28" s="79">
        <f>H28/'- 44 -'!$I28*100</f>
        <v>53.977336639445305</v>
      </c>
    </row>
    <row r="29" spans="1:9" ht="14.1" customHeight="1">
      <c r="A29" s="330" t="s">
        <v>255</v>
      </c>
      <c r="B29" s="331">
        <f>'- 62 -'!$F29</f>
        <v>53959132</v>
      </c>
      <c r="C29" s="331">
        <v>19660997</v>
      </c>
      <c r="D29" s="331">
        <v>4824936</v>
      </c>
      <c r="E29" s="331">
        <v>2432426</v>
      </c>
      <c r="F29" s="331">
        <f t="shared" si="0"/>
        <v>80877491</v>
      </c>
      <c r="G29" s="331">
        <v>231952</v>
      </c>
      <c r="H29" s="331">
        <f t="shared" si="1"/>
        <v>81109443</v>
      </c>
      <c r="I29" s="337">
        <f>H29/'- 44 -'!$I29*100</f>
        <v>58.984417062296821</v>
      </c>
    </row>
    <row r="30" spans="1:9" ht="14.1" customHeight="1">
      <c r="A30" s="26" t="s">
        <v>256</v>
      </c>
      <c r="B30" s="27">
        <f>'- 62 -'!$F30</f>
        <v>7546246</v>
      </c>
      <c r="C30" s="27">
        <v>904687</v>
      </c>
      <c r="D30" s="27">
        <v>332215</v>
      </c>
      <c r="E30" s="27">
        <v>227648</v>
      </c>
      <c r="F30" s="27">
        <f t="shared" si="0"/>
        <v>9010796</v>
      </c>
      <c r="G30" s="27">
        <v>0</v>
      </c>
      <c r="H30" s="27">
        <f t="shared" si="1"/>
        <v>9010796</v>
      </c>
      <c r="I30" s="79">
        <f>H30/'- 44 -'!$I30*100</f>
        <v>67.934284324270777</v>
      </c>
    </row>
    <row r="31" spans="1:9" ht="14.1" customHeight="1">
      <c r="A31" s="330" t="s">
        <v>257</v>
      </c>
      <c r="B31" s="331">
        <f>'- 62 -'!$F31</f>
        <v>17018237</v>
      </c>
      <c r="C31" s="331">
        <v>2993605</v>
      </c>
      <c r="D31" s="331">
        <v>521501</v>
      </c>
      <c r="E31" s="331">
        <v>584450</v>
      </c>
      <c r="F31" s="331">
        <f t="shared" si="0"/>
        <v>21117793</v>
      </c>
      <c r="G31" s="331">
        <v>0</v>
      </c>
      <c r="H31" s="331">
        <f t="shared" si="1"/>
        <v>21117793</v>
      </c>
      <c r="I31" s="337">
        <f>H31/'- 44 -'!$I31*100</f>
        <v>64.475727328322307</v>
      </c>
    </row>
    <row r="32" spans="1:9" ht="14.1" customHeight="1">
      <c r="A32" s="26" t="s">
        <v>258</v>
      </c>
      <c r="B32" s="27">
        <f>'- 62 -'!$F32</f>
        <v>12233706</v>
      </c>
      <c r="C32" s="27">
        <v>2218918</v>
      </c>
      <c r="D32" s="27">
        <v>1109889</v>
      </c>
      <c r="E32" s="27">
        <v>476436</v>
      </c>
      <c r="F32" s="27">
        <f t="shared" si="0"/>
        <v>16038949</v>
      </c>
      <c r="G32" s="27">
        <v>341284</v>
      </c>
      <c r="H32" s="27">
        <f t="shared" si="1"/>
        <v>16380233</v>
      </c>
      <c r="I32" s="79">
        <f>H32/'- 44 -'!$I32*100</f>
        <v>67.209291228200314</v>
      </c>
    </row>
    <row r="33" spans="1:9" ht="14.1" customHeight="1">
      <c r="A33" s="330" t="s">
        <v>259</v>
      </c>
      <c r="B33" s="331">
        <f>'- 62 -'!$F33</f>
        <v>14154335</v>
      </c>
      <c r="C33" s="331">
        <v>1789016</v>
      </c>
      <c r="D33" s="331">
        <v>815131</v>
      </c>
      <c r="E33" s="331">
        <v>396004</v>
      </c>
      <c r="F33" s="331">
        <f t="shared" si="0"/>
        <v>17154486</v>
      </c>
      <c r="G33" s="331">
        <v>7630</v>
      </c>
      <c r="H33" s="331">
        <f t="shared" si="1"/>
        <v>17162116</v>
      </c>
      <c r="I33" s="337">
        <f>H33/'- 44 -'!$I33*100</f>
        <v>65.51568727827717</v>
      </c>
    </row>
    <row r="34" spans="1:9" ht="14.1" customHeight="1">
      <c r="A34" s="26" t="s">
        <v>260</v>
      </c>
      <c r="B34" s="27">
        <f>'- 62 -'!$F34</f>
        <v>11691401</v>
      </c>
      <c r="C34" s="27">
        <v>1953527</v>
      </c>
      <c r="D34" s="27">
        <v>688305</v>
      </c>
      <c r="E34" s="27">
        <v>556942</v>
      </c>
      <c r="F34" s="27">
        <f t="shared" si="0"/>
        <v>14890175</v>
      </c>
      <c r="G34" s="27">
        <v>7599</v>
      </c>
      <c r="H34" s="27">
        <f t="shared" si="1"/>
        <v>14897774</v>
      </c>
      <c r="I34" s="79">
        <f>H34/'- 44 -'!$I34*100</f>
        <v>62.164403933717004</v>
      </c>
    </row>
    <row r="35" spans="1:9" ht="14.1" customHeight="1">
      <c r="A35" s="330" t="s">
        <v>261</v>
      </c>
      <c r="B35" s="331">
        <f>'- 62 -'!$F35</f>
        <v>89376140</v>
      </c>
      <c r="C35" s="331">
        <v>23409896</v>
      </c>
      <c r="D35" s="331">
        <v>1473669</v>
      </c>
      <c r="E35" s="331">
        <v>3729310</v>
      </c>
      <c r="F35" s="331">
        <f t="shared" si="0"/>
        <v>117989015</v>
      </c>
      <c r="G35" s="331">
        <v>1648583</v>
      </c>
      <c r="H35" s="331">
        <f t="shared" si="1"/>
        <v>119637598</v>
      </c>
      <c r="I35" s="337">
        <f>H35/'- 44 -'!$I35*100</f>
        <v>70.646401749269316</v>
      </c>
    </row>
    <row r="36" spans="1:9" ht="14.1" customHeight="1">
      <c r="A36" s="26" t="s">
        <v>262</v>
      </c>
      <c r="B36" s="27">
        <f>'- 62 -'!$F36</f>
        <v>10195989</v>
      </c>
      <c r="C36" s="27">
        <v>1942985</v>
      </c>
      <c r="D36" s="27">
        <v>761506</v>
      </c>
      <c r="E36" s="27">
        <v>336863</v>
      </c>
      <c r="F36" s="27">
        <f t="shared" si="0"/>
        <v>13237343</v>
      </c>
      <c r="G36" s="27">
        <v>157113</v>
      </c>
      <c r="H36" s="27">
        <f t="shared" si="1"/>
        <v>13394456</v>
      </c>
      <c r="I36" s="79">
        <f>H36/'- 44 -'!$I36*100</f>
        <v>61.604144161115705</v>
      </c>
    </row>
    <row r="37" spans="1:9" ht="14.1" customHeight="1">
      <c r="A37" s="330" t="s">
        <v>263</v>
      </c>
      <c r="B37" s="331">
        <f>'- 62 -'!$F37</f>
        <v>22680925</v>
      </c>
      <c r="C37" s="331">
        <v>4226030</v>
      </c>
      <c r="D37" s="331">
        <v>2016542</v>
      </c>
      <c r="E37" s="331">
        <v>682819</v>
      </c>
      <c r="F37" s="331">
        <f t="shared" si="0"/>
        <v>29606316</v>
      </c>
      <c r="G37" s="331">
        <v>316685</v>
      </c>
      <c r="H37" s="331">
        <f t="shared" si="1"/>
        <v>29923001</v>
      </c>
      <c r="I37" s="337">
        <f>H37/'- 44 -'!$I37*100</f>
        <v>75.603883567951371</v>
      </c>
    </row>
    <row r="38" spans="1:9" ht="14.1" customHeight="1">
      <c r="A38" s="26" t="s">
        <v>264</v>
      </c>
      <c r="B38" s="27">
        <f>'- 62 -'!$F38</f>
        <v>58146978</v>
      </c>
      <c r="C38" s="27">
        <v>12000881</v>
      </c>
      <c r="D38" s="27">
        <v>5356764</v>
      </c>
      <c r="E38" s="27">
        <v>2713478</v>
      </c>
      <c r="F38" s="27">
        <f t="shared" si="0"/>
        <v>78218101</v>
      </c>
      <c r="G38" s="27">
        <v>868696</v>
      </c>
      <c r="H38" s="27">
        <f t="shared" si="1"/>
        <v>79086797</v>
      </c>
      <c r="I38" s="79">
        <f>H38/'- 44 -'!$I38*100</f>
        <v>72.365949802074908</v>
      </c>
    </row>
    <row r="39" spans="1:9" ht="14.1" customHeight="1">
      <c r="A39" s="330" t="s">
        <v>265</v>
      </c>
      <c r="B39" s="331">
        <f>'- 62 -'!$F39</f>
        <v>9161078</v>
      </c>
      <c r="C39" s="331">
        <v>1505400</v>
      </c>
      <c r="D39" s="331">
        <v>758457</v>
      </c>
      <c r="E39" s="331">
        <v>297529</v>
      </c>
      <c r="F39" s="331">
        <f t="shared" si="0"/>
        <v>11722464</v>
      </c>
      <c r="G39" s="331">
        <v>151010</v>
      </c>
      <c r="H39" s="331">
        <f t="shared" si="1"/>
        <v>11873474</v>
      </c>
      <c r="I39" s="337">
        <f>H39/'- 44 -'!$I39*100</f>
        <v>60.729483736625525</v>
      </c>
    </row>
    <row r="40" spans="1:9" ht="14.1" customHeight="1">
      <c r="A40" s="26" t="s">
        <v>266</v>
      </c>
      <c r="B40" s="27">
        <f>'- 62 -'!$F40</f>
        <v>38831241</v>
      </c>
      <c r="C40" s="27">
        <v>12766013</v>
      </c>
      <c r="D40" s="27">
        <v>3455722</v>
      </c>
      <c r="E40" s="27">
        <v>2015386</v>
      </c>
      <c r="F40" s="27">
        <f t="shared" si="0"/>
        <v>57068362</v>
      </c>
      <c r="G40" s="27">
        <v>0</v>
      </c>
      <c r="H40" s="27">
        <f t="shared" si="1"/>
        <v>57068362</v>
      </c>
      <c r="I40" s="79">
        <f>H40/'- 44 -'!$I40*100</f>
        <v>61.221861219456045</v>
      </c>
    </row>
    <row r="41" spans="1:9" ht="14.1" customHeight="1">
      <c r="A41" s="330" t="s">
        <v>267</v>
      </c>
      <c r="B41" s="331">
        <f>'- 62 -'!$F41</f>
        <v>25577077</v>
      </c>
      <c r="C41" s="331">
        <v>6331836</v>
      </c>
      <c r="D41" s="331">
        <v>2940360</v>
      </c>
      <c r="E41" s="331">
        <v>1317982</v>
      </c>
      <c r="F41" s="331">
        <f t="shared" si="0"/>
        <v>36167255</v>
      </c>
      <c r="G41" s="331">
        <v>994088</v>
      </c>
      <c r="H41" s="331">
        <f t="shared" si="1"/>
        <v>37161343</v>
      </c>
      <c r="I41" s="337">
        <f>H41/'- 44 -'!$I41*100</f>
        <v>63.316944787711208</v>
      </c>
    </row>
    <row r="42" spans="1:9" ht="14.1" customHeight="1">
      <c r="A42" s="26" t="s">
        <v>268</v>
      </c>
      <c r="B42" s="27">
        <f>'- 62 -'!$F42</f>
        <v>11563179</v>
      </c>
      <c r="C42" s="27">
        <v>1571498</v>
      </c>
      <c r="D42" s="27">
        <v>1056497</v>
      </c>
      <c r="E42" s="27">
        <v>433433</v>
      </c>
      <c r="F42" s="27">
        <f t="shared" si="0"/>
        <v>14624607</v>
      </c>
      <c r="G42" s="27">
        <v>38243</v>
      </c>
      <c r="H42" s="27">
        <f t="shared" si="1"/>
        <v>14662850</v>
      </c>
      <c r="I42" s="79">
        <f>H42/'- 44 -'!$I42*100</f>
        <v>73.222542426737633</v>
      </c>
    </row>
    <row r="43" spans="1:9" ht="14.1" customHeight="1">
      <c r="A43" s="330" t="s">
        <v>269</v>
      </c>
      <c r="B43" s="331">
        <f>'- 62 -'!$F43</f>
        <v>6030176</v>
      </c>
      <c r="C43" s="331">
        <v>1151190</v>
      </c>
      <c r="D43" s="331">
        <v>0</v>
      </c>
      <c r="E43" s="331">
        <v>200865</v>
      </c>
      <c r="F43" s="331">
        <f t="shared" si="0"/>
        <v>7382231</v>
      </c>
      <c r="G43" s="331">
        <v>194350</v>
      </c>
      <c r="H43" s="331">
        <f t="shared" si="1"/>
        <v>7576581</v>
      </c>
      <c r="I43" s="337">
        <f>H43/'- 44 -'!$I43*100</f>
        <v>64.298445812897555</v>
      </c>
    </row>
    <row r="44" spans="1:9" ht="14.1" customHeight="1">
      <c r="A44" s="26" t="s">
        <v>270</v>
      </c>
      <c r="B44" s="27">
        <f>'- 62 -'!$F44</f>
        <v>6630261</v>
      </c>
      <c r="C44" s="27">
        <v>651425</v>
      </c>
      <c r="D44" s="27">
        <v>458174</v>
      </c>
      <c r="E44" s="27">
        <v>230081</v>
      </c>
      <c r="F44" s="27">
        <f t="shared" si="0"/>
        <v>7969941</v>
      </c>
      <c r="G44" s="27">
        <v>0</v>
      </c>
      <c r="H44" s="27">
        <f t="shared" si="1"/>
        <v>7969941</v>
      </c>
      <c r="I44" s="79">
        <f>H44/'- 44 -'!$I44*100</f>
        <v>77.928538512285272</v>
      </c>
    </row>
    <row r="45" spans="1:9" ht="14.1" customHeight="1">
      <c r="A45" s="330" t="s">
        <v>271</v>
      </c>
      <c r="B45" s="331">
        <f>'- 62 -'!$F45</f>
        <v>8422798</v>
      </c>
      <c r="C45" s="331">
        <v>1831839</v>
      </c>
      <c r="D45" s="331">
        <v>0</v>
      </c>
      <c r="E45" s="331">
        <v>269880</v>
      </c>
      <c r="F45" s="331">
        <f t="shared" si="0"/>
        <v>10524517</v>
      </c>
      <c r="G45" s="331">
        <v>385431</v>
      </c>
      <c r="H45" s="331">
        <f t="shared" si="1"/>
        <v>10909948</v>
      </c>
      <c r="I45" s="337">
        <f>H45/'- 44 -'!$I45*100</f>
        <v>67.772155264200848</v>
      </c>
    </row>
    <row r="46" spans="1:9" ht="14.1" customHeight="1">
      <c r="A46" s="26" t="s">
        <v>272</v>
      </c>
      <c r="B46" s="27">
        <f>'- 62 -'!$F46</f>
        <v>175625119</v>
      </c>
      <c r="C46" s="27">
        <v>29782689</v>
      </c>
      <c r="D46" s="27">
        <v>9495027</v>
      </c>
      <c r="E46" s="27">
        <v>13099965</v>
      </c>
      <c r="F46" s="27">
        <f t="shared" si="0"/>
        <v>228002800</v>
      </c>
      <c r="G46" s="27">
        <v>3985608</v>
      </c>
      <c r="H46" s="27">
        <f t="shared" si="1"/>
        <v>231988408</v>
      </c>
      <c r="I46" s="79">
        <f>H46/'- 44 -'!$I46*100</f>
        <v>67.432260270463857</v>
      </c>
    </row>
    <row r="47" spans="1:9" ht="5.0999999999999996" customHeight="1">
      <c r="A47" s="28"/>
      <c r="B47" s="29"/>
      <c r="C47" s="29"/>
      <c r="D47" s="29"/>
      <c r="E47" s="29"/>
      <c r="F47" s="29"/>
      <c r="G47" s="29"/>
      <c r="H47" s="29"/>
      <c r="I47"/>
    </row>
    <row r="48" spans="1:9" ht="14.1" customHeight="1">
      <c r="A48" s="332" t="s">
        <v>273</v>
      </c>
      <c r="B48" s="333">
        <f t="shared" ref="B48:H48" si="2">SUM(B11:B46)</f>
        <v>977942836</v>
      </c>
      <c r="C48" s="333">
        <f t="shared" si="2"/>
        <v>195360389</v>
      </c>
      <c r="D48" s="333">
        <f>SUM(D11:D46)</f>
        <v>61418358</v>
      </c>
      <c r="E48" s="333">
        <f t="shared" si="2"/>
        <v>68889395</v>
      </c>
      <c r="F48" s="333">
        <f t="shared" si="2"/>
        <v>1303610978</v>
      </c>
      <c r="G48" s="333">
        <f t="shared" si="2"/>
        <v>14848995</v>
      </c>
      <c r="H48" s="333">
        <f t="shared" si="2"/>
        <v>1318459973</v>
      </c>
      <c r="I48" s="340">
        <f>H48/'- 44 -'!$I48*100</f>
        <v>66.069987391960353</v>
      </c>
    </row>
    <row r="49" spans="1:9" ht="5.0999999999999996" customHeight="1">
      <c r="A49" s="28" t="s">
        <v>18</v>
      </c>
      <c r="B49" s="29"/>
      <c r="C49" s="29"/>
      <c r="D49" s="29"/>
      <c r="E49" s="29"/>
      <c r="F49" s="29"/>
      <c r="G49" s="29"/>
      <c r="H49" s="29"/>
      <c r="I49"/>
    </row>
    <row r="50" spans="1:9" ht="14.1" customHeight="1">
      <c r="A50" s="26" t="s">
        <v>274</v>
      </c>
      <c r="B50" s="27">
        <f>'- 62 -'!$F50</f>
        <v>931141</v>
      </c>
      <c r="C50" s="27">
        <v>374421</v>
      </c>
      <c r="D50" s="27">
        <v>24000</v>
      </c>
      <c r="E50" s="27">
        <v>52479</v>
      </c>
      <c r="F50" s="27">
        <f>SUM(B50:E50)</f>
        <v>1382041</v>
      </c>
      <c r="G50" s="27">
        <v>0</v>
      </c>
      <c r="H50" s="27">
        <f>SUM(F50:G50)</f>
        <v>1382041</v>
      </c>
      <c r="I50" s="79">
        <f>H50/'- 44 -'!$I50*100</f>
        <v>43.993827040630691</v>
      </c>
    </row>
    <row r="51" spans="1:9" ht="14.1" customHeight="1">
      <c r="A51" s="330" t="s">
        <v>421</v>
      </c>
      <c r="B51" s="331">
        <f>'- 62 -'!$F51</f>
        <v>22569</v>
      </c>
      <c r="C51" s="331">
        <v>0</v>
      </c>
      <c r="D51" s="331">
        <v>0</v>
      </c>
      <c r="E51" s="331">
        <v>0</v>
      </c>
      <c r="F51" s="331">
        <f>SUM(B51:E51)</f>
        <v>22569</v>
      </c>
      <c r="G51" s="331">
        <v>6365913</v>
      </c>
      <c r="H51" s="331">
        <f>SUM(F51:G51)</f>
        <v>6388482</v>
      </c>
      <c r="I51" s="337">
        <f>H51/'- 44 -'!$I51*100</f>
        <v>53.414686760043338</v>
      </c>
    </row>
    <row r="52" spans="1:9" ht="50.1" customHeight="1">
      <c r="A52" s="30"/>
      <c r="B52" s="30"/>
      <c r="C52" s="30"/>
      <c r="D52" s="30"/>
      <c r="E52" s="30"/>
      <c r="F52" s="30"/>
      <c r="G52" s="30"/>
      <c r="H52" s="30"/>
      <c r="I52" s="30"/>
    </row>
    <row r="53" spans="1:9" ht="15" customHeight="1">
      <c r="A53" s="45" t="s">
        <v>634</v>
      </c>
      <c r="C53" s="45"/>
      <c r="D53" s="45"/>
      <c r="E53" s="253"/>
      <c r="F53" s="253"/>
      <c r="G53" s="253"/>
      <c r="H53" s="253"/>
    </row>
    <row r="54" spans="1:9" ht="12" customHeight="1">
      <c r="A54" s="45" t="s">
        <v>661</v>
      </c>
      <c r="C54" s="45"/>
      <c r="D54" s="45"/>
      <c r="E54" s="253"/>
      <c r="F54" s="253"/>
      <c r="G54" s="253"/>
      <c r="H54" s="253"/>
    </row>
    <row r="55" spans="1:9" ht="12" customHeight="1">
      <c r="A55" s="45" t="s">
        <v>662</v>
      </c>
      <c r="C55" s="45"/>
      <c r="D55" s="45"/>
      <c r="E55" s="253"/>
      <c r="F55" s="253"/>
      <c r="G55" s="253"/>
      <c r="H55" s="253"/>
    </row>
    <row r="56" spans="1:9" ht="12" customHeight="1">
      <c r="A56" s="45" t="s">
        <v>663</v>
      </c>
    </row>
    <row r="57" spans="1:9" ht="12" customHeight="1">
      <c r="A57" s="1" t="s">
        <v>747</v>
      </c>
    </row>
    <row r="58" spans="1:9" ht="12" customHeight="1">
      <c r="A58" s="1" t="s">
        <v>748</v>
      </c>
    </row>
    <row r="59" spans="1:9" ht="12" customHeight="1">
      <c r="A59" s="1" t="s">
        <v>746</v>
      </c>
    </row>
    <row r="60" spans="1:9" ht="12" customHeight="1">
      <c r="A60" s="1" t="s">
        <v>738</v>
      </c>
    </row>
    <row r="61" spans="1:9">
      <c r="A61" s="1" t="s">
        <v>635</v>
      </c>
    </row>
    <row r="62" spans="1:9">
      <c r="A62" s="1" t="s">
        <v>762</v>
      </c>
    </row>
  </sheetData>
  <phoneticPr fontId="6" type="noConversion"/>
  <pageMargins left="0.5" right="0.5" top="0.6" bottom="0.2" header="0.3" footer="0.5"/>
  <pageSetup scale="82" orientation="portrait" r:id="rId1"/>
  <headerFooter alignWithMargins="0">
    <oddHeader>&amp;C&amp;"Arial,Regular"&amp;12&amp;A</oddHeader>
  </headerFooter>
</worksheet>
</file>

<file path=xl/worksheets/sheet38.xml><?xml version="1.0" encoding="utf-8"?>
<worksheet xmlns="http://schemas.openxmlformats.org/spreadsheetml/2006/main" xmlns:r="http://schemas.openxmlformats.org/officeDocument/2006/relationships">
  <sheetPr codeName="Sheet37">
    <pageSetUpPr fitToPage="1"/>
  </sheetPr>
  <dimension ref="A1:I54"/>
  <sheetViews>
    <sheetView showGridLines="0" showZeros="0" workbookViewId="0"/>
  </sheetViews>
  <sheetFormatPr defaultColWidth="15.83203125" defaultRowHeight="12"/>
  <cols>
    <col min="1" max="1" width="34.83203125" style="1" customWidth="1"/>
    <col min="2" max="2" width="15.83203125" style="1" customWidth="1"/>
    <col min="3" max="3" width="8.83203125" style="1" customWidth="1"/>
    <col min="4" max="4" width="15.83203125" style="1"/>
    <col min="5" max="5" width="8.83203125" style="1" customWidth="1"/>
    <col min="6" max="6" width="15.83203125" style="1"/>
    <col min="7" max="7" width="8.83203125" style="1" customWidth="1"/>
    <col min="8" max="8" width="14.83203125" style="1" customWidth="1"/>
    <col min="9" max="9" width="8.83203125" style="1" customWidth="1"/>
    <col min="10" max="16384" width="15.83203125" style="1"/>
  </cols>
  <sheetData>
    <row r="1" spans="1:9" ht="6.95" customHeight="1">
      <c r="A1" s="6"/>
    </row>
    <row r="2" spans="1:9" ht="15.95" customHeight="1">
      <c r="A2" s="242"/>
      <c r="B2" s="233" t="str">
        <f>REVYEAR</f>
        <v>ANALYSIS OF OPERATING FUND REVENUE: 2011/2012 ACTUAL</v>
      </c>
      <c r="C2" s="48"/>
      <c r="D2" s="48"/>
      <c r="E2" s="48"/>
      <c r="F2" s="48"/>
      <c r="G2" s="246"/>
      <c r="H2" s="247"/>
      <c r="I2" s="244" t="s">
        <v>19</v>
      </c>
    </row>
    <row r="3" spans="1:9" ht="15.95" customHeight="1">
      <c r="A3" s="234"/>
    </row>
    <row r="4" spans="1:9" ht="15.95" customHeight="1">
      <c r="B4" s="7"/>
      <c r="C4" s="7"/>
      <c r="D4" s="7"/>
      <c r="E4" s="7"/>
      <c r="F4" s="7"/>
      <c r="G4" s="7"/>
      <c r="H4" s="7"/>
      <c r="I4" s="50"/>
    </row>
    <row r="5" spans="1:9" ht="15.95" customHeight="1">
      <c r="B5" s="7"/>
      <c r="C5" s="7"/>
      <c r="D5" s="7"/>
      <c r="E5" s="7"/>
      <c r="F5" s="7"/>
      <c r="G5" s="7"/>
      <c r="H5" s="7"/>
      <c r="I5" s="7"/>
    </row>
    <row r="6" spans="1:9" ht="15.95" customHeight="1">
      <c r="B6" s="7"/>
      <c r="C6" s="7"/>
      <c r="D6" s="7"/>
      <c r="E6" s="7"/>
      <c r="F6" s="7"/>
      <c r="G6" s="7"/>
      <c r="H6" s="7"/>
      <c r="I6" s="7"/>
    </row>
    <row r="7" spans="1:9" ht="15.95" customHeight="1">
      <c r="B7" s="358" t="s">
        <v>118</v>
      </c>
      <c r="C7" s="359"/>
      <c r="D7" s="361" t="s">
        <v>119</v>
      </c>
      <c r="E7" s="359"/>
      <c r="F7" s="361" t="s">
        <v>120</v>
      </c>
      <c r="G7" s="359"/>
      <c r="H7" s="360"/>
      <c r="I7" s="359"/>
    </row>
    <row r="8" spans="1:9" ht="15.95" customHeight="1">
      <c r="A8" s="75"/>
      <c r="B8" s="345" t="s">
        <v>137</v>
      </c>
      <c r="C8" s="346"/>
      <c r="D8" s="345" t="s">
        <v>506</v>
      </c>
      <c r="E8" s="346"/>
      <c r="F8" s="345" t="s">
        <v>138</v>
      </c>
      <c r="G8" s="346"/>
      <c r="H8" s="345" t="s">
        <v>139</v>
      </c>
      <c r="I8" s="346"/>
    </row>
    <row r="9" spans="1:9" ht="15.95" customHeight="1">
      <c r="A9" s="42" t="s">
        <v>95</v>
      </c>
      <c r="B9" s="193" t="s">
        <v>141</v>
      </c>
      <c r="C9" s="235" t="s">
        <v>97</v>
      </c>
      <c r="D9" s="235" t="s">
        <v>141</v>
      </c>
      <c r="E9" s="235" t="s">
        <v>97</v>
      </c>
      <c r="F9" s="235" t="s">
        <v>141</v>
      </c>
      <c r="G9" s="235" t="s">
        <v>97</v>
      </c>
      <c r="H9" s="245" t="s">
        <v>141</v>
      </c>
      <c r="I9" s="245" t="s">
        <v>97</v>
      </c>
    </row>
    <row r="10" spans="1:9" ht="5.0999999999999996" customHeight="1">
      <c r="A10" s="5"/>
      <c r="B10" s="236"/>
      <c r="C10" s="236"/>
      <c r="D10" s="236"/>
      <c r="E10" s="236"/>
      <c r="F10" s="236"/>
      <c r="G10" s="236"/>
      <c r="H10" s="236"/>
      <c r="I10" s="236"/>
    </row>
    <row r="11" spans="1:9" ht="14.1" customHeight="1">
      <c r="A11" s="330" t="s">
        <v>238</v>
      </c>
      <c r="B11" s="331">
        <v>0</v>
      </c>
      <c r="C11" s="337">
        <f>B11/'- 44 -'!$I11*100</f>
        <v>0</v>
      </c>
      <c r="D11" s="331">
        <v>5427354</v>
      </c>
      <c r="E11" s="337">
        <f>D11/'- 44 -'!$I11*100</f>
        <v>35.187239074984127</v>
      </c>
      <c r="F11" s="331">
        <v>31200</v>
      </c>
      <c r="G11" s="337">
        <f>F11/'- 44 -'!$I11*100</f>
        <v>0.2022793904984832</v>
      </c>
      <c r="H11" s="331">
        <v>15371</v>
      </c>
      <c r="I11" s="337">
        <f>H11/'- 44 -'!$I11*100</f>
        <v>9.9655016389493117E-2</v>
      </c>
    </row>
    <row r="12" spans="1:9" ht="14.1" customHeight="1">
      <c r="A12" s="26" t="s">
        <v>239</v>
      </c>
      <c r="B12" s="27">
        <v>592693</v>
      </c>
      <c r="C12" s="79">
        <f>B12/'- 44 -'!$I12*100</f>
        <v>1.9491002906650279</v>
      </c>
      <c r="D12" s="27">
        <v>8192455</v>
      </c>
      <c r="E12" s="79">
        <f>D12/'- 44 -'!$I12*100</f>
        <v>26.941294096201844</v>
      </c>
      <c r="F12" s="27">
        <v>477524</v>
      </c>
      <c r="G12" s="79">
        <f>F12/'- 44 -'!$I12*100</f>
        <v>1.5703613290515104</v>
      </c>
      <c r="H12" s="27">
        <v>404903</v>
      </c>
      <c r="I12" s="79">
        <f>H12/'- 44 -'!$I12*100</f>
        <v>1.3315435731333789</v>
      </c>
    </row>
    <row r="13" spans="1:9" ht="14.1" customHeight="1">
      <c r="A13" s="330" t="s">
        <v>240</v>
      </c>
      <c r="B13" s="331">
        <v>69534</v>
      </c>
      <c r="C13" s="337">
        <f>B13/'- 44 -'!$I13*100</f>
        <v>9.4808371098949601E-2</v>
      </c>
      <c r="D13" s="331">
        <v>25952141</v>
      </c>
      <c r="E13" s="337">
        <f>D13/'- 44 -'!$I13*100</f>
        <v>35.385282232293051</v>
      </c>
      <c r="F13" s="331">
        <v>257604</v>
      </c>
      <c r="G13" s="337">
        <f>F13/'- 44 -'!$I13*100</f>
        <v>0.35123846792322916</v>
      </c>
      <c r="H13" s="331">
        <v>330962</v>
      </c>
      <c r="I13" s="337">
        <f>H13/'- 44 -'!$I13*100</f>
        <v>0.45126079494420795</v>
      </c>
    </row>
    <row r="14" spans="1:9" ht="14.1" customHeight="1">
      <c r="A14" s="26" t="s">
        <v>653</v>
      </c>
      <c r="B14" s="27">
        <v>56613</v>
      </c>
      <c r="C14" s="79">
        <f>B14/'- 44 -'!$I14*100</f>
        <v>8.1447538839324887E-2</v>
      </c>
      <c r="D14" s="27">
        <v>14707599</v>
      </c>
      <c r="E14" s="79">
        <f>D14/'- 44 -'!$I14*100</f>
        <v>21.159411103204491</v>
      </c>
      <c r="F14" s="27">
        <v>1078873</v>
      </c>
      <c r="G14" s="79">
        <f>F14/'- 44 -'!$I14*100</f>
        <v>1.5521443938706474</v>
      </c>
      <c r="H14" s="27">
        <v>0</v>
      </c>
      <c r="I14" s="79">
        <f>H14/'- 44 -'!$I14*100</f>
        <v>0</v>
      </c>
    </row>
    <row r="15" spans="1:9" ht="14.1" customHeight="1">
      <c r="A15" s="330" t="s">
        <v>241</v>
      </c>
      <c r="B15" s="331">
        <v>0</v>
      </c>
      <c r="C15" s="337">
        <f>B15/'- 44 -'!$I15*100</f>
        <v>0</v>
      </c>
      <c r="D15" s="331">
        <v>5682983</v>
      </c>
      <c r="E15" s="337">
        <f>D15/'- 44 -'!$I15*100</f>
        <v>29.933100925785176</v>
      </c>
      <c r="F15" s="331">
        <v>45033</v>
      </c>
      <c r="G15" s="337">
        <f>F15/'- 44 -'!$I15*100</f>
        <v>0.23719538383114711</v>
      </c>
      <c r="H15" s="331">
        <v>221130</v>
      </c>
      <c r="I15" s="337">
        <f>H15/'- 44 -'!$I15*100</f>
        <v>1.1647239852237594</v>
      </c>
    </row>
    <row r="16" spans="1:9" ht="14.1" customHeight="1">
      <c r="A16" s="26" t="s">
        <v>242</v>
      </c>
      <c r="B16" s="27">
        <v>31909</v>
      </c>
      <c r="C16" s="79">
        <f>B16/'- 44 -'!$I16*100</f>
        <v>0.25298509569019129</v>
      </c>
      <c r="D16" s="27">
        <v>2748005</v>
      </c>
      <c r="E16" s="79">
        <f>D16/'- 44 -'!$I16*100</f>
        <v>21.787091663233699</v>
      </c>
      <c r="F16" s="27">
        <v>171147</v>
      </c>
      <c r="G16" s="79">
        <f>F16/'- 44 -'!$I16*100</f>
        <v>1.3569099680995698</v>
      </c>
      <c r="H16" s="27">
        <v>19020</v>
      </c>
      <c r="I16" s="79">
        <f>H16/'- 44 -'!$I16*100</f>
        <v>0.15079684477819544</v>
      </c>
    </row>
    <row r="17" spans="1:9" ht="14.1" customHeight="1">
      <c r="A17" s="330" t="s">
        <v>243</v>
      </c>
      <c r="B17" s="331">
        <v>0</v>
      </c>
      <c r="C17" s="337">
        <f>B17/'- 44 -'!$I17*100</f>
        <v>0</v>
      </c>
      <c r="D17" s="331">
        <v>5961523</v>
      </c>
      <c r="E17" s="337">
        <f>D17/'- 44 -'!$I17*100</f>
        <v>35.841371984269657</v>
      </c>
      <c r="F17" s="331">
        <v>8450</v>
      </c>
      <c r="G17" s="337">
        <f>F17/'- 44 -'!$I17*100</f>
        <v>5.0802386112924272E-2</v>
      </c>
      <c r="H17" s="331">
        <v>851063</v>
      </c>
      <c r="I17" s="337">
        <f>H17/'- 44 -'!$I17*100</f>
        <v>5.1166900748430377</v>
      </c>
    </row>
    <row r="18" spans="1:9" ht="14.1" customHeight="1">
      <c r="A18" s="26" t="s">
        <v>244</v>
      </c>
      <c r="B18" s="27">
        <v>12097196</v>
      </c>
      <c r="C18" s="79">
        <f>B18/'- 44 -'!$I18*100</f>
        <v>10.48971085468219</v>
      </c>
      <c r="D18" s="27">
        <v>2766469</v>
      </c>
      <c r="E18" s="79">
        <f>D18/'- 44 -'!$I18*100</f>
        <v>2.3988583716790064</v>
      </c>
      <c r="F18" s="27">
        <v>19500</v>
      </c>
      <c r="G18" s="79">
        <f>F18/'- 44 -'!$I18*100</f>
        <v>1.6908824298316961E-2</v>
      </c>
      <c r="H18" s="27">
        <v>48442407</v>
      </c>
      <c r="I18" s="79">
        <f>H18/'- 44 -'!$I18*100</f>
        <v>42.005340951310743</v>
      </c>
    </row>
    <row r="19" spans="1:9" ht="14.1" customHeight="1">
      <c r="A19" s="330" t="s">
        <v>245</v>
      </c>
      <c r="B19" s="331">
        <v>0</v>
      </c>
      <c r="C19" s="337">
        <f>B19/'- 44 -'!$I19*100</f>
        <v>0</v>
      </c>
      <c r="D19" s="331">
        <v>11463139</v>
      </c>
      <c r="E19" s="337">
        <f>D19/'- 44 -'!$I19*100</f>
        <v>29.258239745791524</v>
      </c>
      <c r="F19" s="331">
        <v>285050</v>
      </c>
      <c r="G19" s="337">
        <f>F19/'- 44 -'!$I19*100</f>
        <v>0.7275547508878567</v>
      </c>
      <c r="H19" s="331">
        <v>0</v>
      </c>
      <c r="I19" s="337">
        <f>H19/'- 44 -'!$I19*100</f>
        <v>0</v>
      </c>
    </row>
    <row r="20" spans="1:9" ht="14.1" customHeight="1">
      <c r="A20" s="26" t="s">
        <v>246</v>
      </c>
      <c r="B20" s="27">
        <v>0</v>
      </c>
      <c r="C20" s="79">
        <f>B20/'- 44 -'!$I20*100</f>
        <v>0</v>
      </c>
      <c r="D20" s="27">
        <v>17611473</v>
      </c>
      <c r="E20" s="79">
        <f>D20/'- 44 -'!$I20*100</f>
        <v>26.889151895015946</v>
      </c>
      <c r="F20" s="27">
        <v>88750</v>
      </c>
      <c r="G20" s="79">
        <f>F20/'- 44 -'!$I20*100</f>
        <v>0.13550327282009089</v>
      </c>
      <c r="H20" s="27">
        <v>0</v>
      </c>
      <c r="I20" s="79">
        <f>H20/'- 44 -'!$I20*100</f>
        <v>0</v>
      </c>
    </row>
    <row r="21" spans="1:9" ht="14.1" customHeight="1">
      <c r="A21" s="330" t="s">
        <v>247</v>
      </c>
      <c r="B21" s="331">
        <v>12900</v>
      </c>
      <c r="C21" s="337">
        <f>B21/'- 44 -'!$I21*100</f>
        <v>3.9893542998126551E-2</v>
      </c>
      <c r="D21" s="331">
        <v>9361534</v>
      </c>
      <c r="E21" s="337">
        <f>D21/'- 44 -'!$I21*100</f>
        <v>28.950756523831288</v>
      </c>
      <c r="F21" s="331">
        <v>51123</v>
      </c>
      <c r="G21" s="337">
        <f>F21/'- 44 -'!$I21*100</f>
        <v>0.15809903865838942</v>
      </c>
      <c r="H21" s="331">
        <v>4000</v>
      </c>
      <c r="I21" s="337">
        <f>H21/'- 44 -'!$I21*100</f>
        <v>1.2370090852132263E-2</v>
      </c>
    </row>
    <row r="22" spans="1:9" ht="14.1" customHeight="1">
      <c r="A22" s="26" t="s">
        <v>248</v>
      </c>
      <c r="B22" s="27">
        <v>0</v>
      </c>
      <c r="C22" s="79">
        <f>B22/'- 44 -'!$I22*100</f>
        <v>0</v>
      </c>
      <c r="D22" s="27">
        <v>2880159</v>
      </c>
      <c r="E22" s="79">
        <f>D22/'- 44 -'!$I22*100</f>
        <v>15.555491584727596</v>
      </c>
      <c r="F22" s="27">
        <v>23775</v>
      </c>
      <c r="G22" s="79">
        <f>F22/'- 44 -'!$I22*100</f>
        <v>0.12840673463753169</v>
      </c>
      <c r="H22" s="27">
        <v>9050</v>
      </c>
      <c r="I22" s="79">
        <f>H22/'- 44 -'!$I22*100</f>
        <v>4.8878273332057277E-2</v>
      </c>
    </row>
    <row r="23" spans="1:9" ht="14.1" customHeight="1">
      <c r="A23" s="330" t="s">
        <v>249</v>
      </c>
      <c r="B23" s="331">
        <v>0</v>
      </c>
      <c r="C23" s="337">
        <f>B23/'- 44 -'!$I23*100</f>
        <v>0</v>
      </c>
      <c r="D23" s="331">
        <v>3081449</v>
      </c>
      <c r="E23" s="337">
        <f>D23/'- 44 -'!$I23*100</f>
        <v>19.194031669212624</v>
      </c>
      <c r="F23" s="331">
        <v>78365</v>
      </c>
      <c r="G23" s="337">
        <f>F23/'- 44 -'!$I23*100</f>
        <v>0.48812759573754011</v>
      </c>
      <c r="H23" s="331">
        <v>1117543</v>
      </c>
      <c r="I23" s="337">
        <f>H23/'- 44 -'!$I23*100</f>
        <v>6.9610614141940639</v>
      </c>
    </row>
    <row r="24" spans="1:9" ht="14.1" customHeight="1">
      <c r="A24" s="26" t="s">
        <v>250</v>
      </c>
      <c r="B24" s="27">
        <v>19684</v>
      </c>
      <c r="C24" s="79">
        <f>B24/'- 44 -'!$I24*100</f>
        <v>3.912193865463779E-2</v>
      </c>
      <c r="D24" s="27">
        <v>15213634</v>
      </c>
      <c r="E24" s="79">
        <f>D24/'- 44 -'!$I24*100</f>
        <v>30.237088806244245</v>
      </c>
      <c r="F24" s="27">
        <v>170925</v>
      </c>
      <c r="G24" s="79">
        <f>F24/'- 44 -'!$I24*100</f>
        <v>0.33971333898313172</v>
      </c>
      <c r="H24" s="27">
        <v>542286</v>
      </c>
      <c r="I24" s="79">
        <f>H24/'- 44 -'!$I24*100</f>
        <v>1.0777931124399973</v>
      </c>
    </row>
    <row r="25" spans="1:9" ht="14.1" customHeight="1">
      <c r="A25" s="330" t="s">
        <v>251</v>
      </c>
      <c r="B25" s="331">
        <v>0</v>
      </c>
      <c r="C25" s="337">
        <f>B25/'- 44 -'!$I25*100</f>
        <v>0</v>
      </c>
      <c r="D25" s="331">
        <v>44070577</v>
      </c>
      <c r="E25" s="337">
        <f>D25/'- 44 -'!$I25*100</f>
        <v>29.445599209363611</v>
      </c>
      <c r="F25" s="331">
        <v>446996</v>
      </c>
      <c r="G25" s="337">
        <f>F25/'- 44 -'!$I25*100</f>
        <v>0.29865878688605996</v>
      </c>
      <c r="H25" s="331">
        <v>0</v>
      </c>
      <c r="I25" s="337">
        <f>H25/'- 44 -'!$I25*100</f>
        <v>0</v>
      </c>
    </row>
    <row r="26" spans="1:9" ht="14.1" customHeight="1">
      <c r="A26" s="26" t="s">
        <v>252</v>
      </c>
      <c r="B26" s="27">
        <v>480096</v>
      </c>
      <c r="C26" s="79">
        <f>B26/'- 44 -'!$I26*100</f>
        <v>1.2994893432595189</v>
      </c>
      <c r="D26" s="27">
        <v>9409899</v>
      </c>
      <c r="E26" s="79">
        <f>D26/'- 44 -'!$I26*100</f>
        <v>25.47003822495585</v>
      </c>
      <c r="F26" s="27">
        <v>334119</v>
      </c>
      <c r="G26" s="79">
        <f>F26/'- 44 -'!$I26*100</f>
        <v>0.90436929255925302</v>
      </c>
      <c r="H26" s="27">
        <v>311456</v>
      </c>
      <c r="I26" s="79">
        <f>H26/'- 44 -'!$I26*100</f>
        <v>0.84302671318702249</v>
      </c>
    </row>
    <row r="27" spans="1:9" ht="14.1" customHeight="1">
      <c r="A27" s="330" t="s">
        <v>253</v>
      </c>
      <c r="B27" s="331">
        <v>59881</v>
      </c>
      <c r="C27" s="337">
        <f>B27/'- 44 -'!$I27*100</f>
        <v>0.15638977772207363</v>
      </c>
      <c r="D27" s="331">
        <v>7346549</v>
      </c>
      <c r="E27" s="337">
        <f>D27/'- 44 -'!$I27*100</f>
        <v>19.18680658529955</v>
      </c>
      <c r="F27" s="331">
        <v>194851</v>
      </c>
      <c r="G27" s="337">
        <f>F27/'- 44 -'!$I27*100</f>
        <v>0.50888770359419133</v>
      </c>
      <c r="H27" s="331">
        <v>197109</v>
      </c>
      <c r="I27" s="337">
        <f>H27/'- 44 -'!$I27*100</f>
        <v>0.51478486827241043</v>
      </c>
    </row>
    <row r="28" spans="1:9" ht="14.1" customHeight="1">
      <c r="A28" s="26" t="s">
        <v>254</v>
      </c>
      <c r="B28" s="27">
        <v>17166</v>
      </c>
      <c r="C28" s="79">
        <f>B28/'- 44 -'!$I28*100</f>
        <v>6.9010892914761063E-2</v>
      </c>
      <c r="D28" s="27">
        <v>5710521</v>
      </c>
      <c r="E28" s="79">
        <f>D28/'- 44 -'!$I28*100</f>
        <v>22.957483002358977</v>
      </c>
      <c r="F28" s="27">
        <v>14300</v>
      </c>
      <c r="G28" s="79">
        <f>F28/'- 44 -'!$I28*100</f>
        <v>5.7488976388272342E-2</v>
      </c>
      <c r="H28" s="27">
        <v>5665362</v>
      </c>
      <c r="I28" s="79">
        <f>H28/'- 44 -'!$I28*100</f>
        <v>22.775934423008067</v>
      </c>
    </row>
    <row r="29" spans="1:9" ht="14.1" customHeight="1">
      <c r="A29" s="330" t="s">
        <v>255</v>
      </c>
      <c r="B29" s="331">
        <v>1701</v>
      </c>
      <c r="C29" s="337">
        <f>B29/'- 44 -'!$I29*100</f>
        <v>1.2370013861760449E-3</v>
      </c>
      <c r="D29" s="331">
        <v>52225252</v>
      </c>
      <c r="E29" s="337">
        <f>D29/'- 44 -'!$I29*100</f>
        <v>37.979252861489279</v>
      </c>
      <c r="F29" s="331">
        <v>770080</v>
      </c>
      <c r="G29" s="337">
        <f>F29/'- 44 -'!$I29*100</f>
        <v>0.56001765283153937</v>
      </c>
      <c r="H29" s="331">
        <v>88276</v>
      </c>
      <c r="I29" s="337">
        <f>H29/'- 44 -'!$I29*100</f>
        <v>6.4196081343960334E-2</v>
      </c>
    </row>
    <row r="30" spans="1:9" ht="14.1" customHeight="1">
      <c r="A30" s="26" t="s">
        <v>256</v>
      </c>
      <c r="B30" s="27">
        <v>0</v>
      </c>
      <c r="C30" s="79">
        <f>B30/'- 44 -'!$I30*100</f>
        <v>0</v>
      </c>
      <c r="D30" s="27">
        <v>4168248</v>
      </c>
      <c r="E30" s="79">
        <f>D30/'- 44 -'!$I30*100</f>
        <v>31.425297472728602</v>
      </c>
      <c r="F30" s="27">
        <v>33150</v>
      </c>
      <c r="G30" s="79">
        <f>F30/'- 44 -'!$I30*100</f>
        <v>0.24992481522715376</v>
      </c>
      <c r="H30" s="27">
        <v>0</v>
      </c>
      <c r="I30" s="79">
        <f>H30/'- 44 -'!$I30*100</f>
        <v>0</v>
      </c>
    </row>
    <row r="31" spans="1:9" ht="14.1" customHeight="1">
      <c r="A31" s="330" t="s">
        <v>257</v>
      </c>
      <c r="B31" s="331">
        <v>7537</v>
      </c>
      <c r="C31" s="337">
        <f>B31/'- 44 -'!$I31*100</f>
        <v>2.3011569290103621E-2</v>
      </c>
      <c r="D31" s="331">
        <v>10678292</v>
      </c>
      <c r="E31" s="337">
        <f>D31/'- 44 -'!$I31*100</f>
        <v>32.602395682361575</v>
      </c>
      <c r="F31" s="331">
        <v>194392</v>
      </c>
      <c r="G31" s="337">
        <f>F31/'- 44 -'!$I31*100</f>
        <v>0.59350736067955734</v>
      </c>
      <c r="H31" s="331">
        <v>726079</v>
      </c>
      <c r="I31" s="337">
        <f>H31/'- 44 -'!$I31*100</f>
        <v>2.2168259544366653</v>
      </c>
    </row>
    <row r="32" spans="1:9" ht="14.1" customHeight="1">
      <c r="A32" s="26" t="s">
        <v>258</v>
      </c>
      <c r="B32" s="27">
        <v>15804</v>
      </c>
      <c r="C32" s="79">
        <f>B32/'- 44 -'!$I32*100</f>
        <v>6.4844965182758868E-2</v>
      </c>
      <c r="D32" s="27">
        <v>7772084</v>
      </c>
      <c r="E32" s="79">
        <f>D32/'- 44 -'!$I32*100</f>
        <v>31.889427763697626</v>
      </c>
      <c r="F32" s="27">
        <v>62400</v>
      </c>
      <c r="G32" s="79">
        <f>F32/'- 44 -'!$I32*100</f>
        <v>0.25603175318932886</v>
      </c>
      <c r="H32" s="27">
        <v>0</v>
      </c>
      <c r="I32" s="79">
        <f>H32/'- 44 -'!$I32*100</f>
        <v>0</v>
      </c>
    </row>
    <row r="33" spans="1:9" ht="14.1" customHeight="1">
      <c r="A33" s="330" t="s">
        <v>259</v>
      </c>
      <c r="B33" s="331">
        <v>15772</v>
      </c>
      <c r="C33" s="337">
        <f>B33/'- 44 -'!$I33*100</f>
        <v>6.0208975382347228E-2</v>
      </c>
      <c r="D33" s="331">
        <v>8470225</v>
      </c>
      <c r="E33" s="337">
        <f>D33/'- 44 -'!$I33*100</f>
        <v>32.334743121223816</v>
      </c>
      <c r="F33" s="331">
        <v>16900</v>
      </c>
      <c r="G33" s="337">
        <f>F33/'- 44 -'!$I33*100</f>
        <v>6.451506999503348E-2</v>
      </c>
      <c r="H33" s="331">
        <v>356489</v>
      </c>
      <c r="I33" s="337">
        <f>H33/'- 44 -'!$I33*100</f>
        <v>1.3608824134591415</v>
      </c>
    </row>
    <row r="34" spans="1:9" ht="14.1" customHeight="1">
      <c r="A34" s="26" t="s">
        <v>260</v>
      </c>
      <c r="B34" s="27">
        <v>21279</v>
      </c>
      <c r="C34" s="79">
        <f>B34/'- 44 -'!$I34*100</f>
        <v>8.8791543710192142E-2</v>
      </c>
      <c r="D34" s="27">
        <v>8108644</v>
      </c>
      <c r="E34" s="79">
        <f>D34/'- 44 -'!$I34*100</f>
        <v>33.83519047682632</v>
      </c>
      <c r="F34" s="27">
        <v>712610</v>
      </c>
      <c r="G34" s="79">
        <f>F34/'- 44 -'!$I34*100</f>
        <v>2.9735298634014766</v>
      </c>
      <c r="H34" s="27">
        <v>4251</v>
      </c>
      <c r="I34" s="79">
        <f>H34/'- 44 -'!$I34*100</f>
        <v>1.7738279633066723E-2</v>
      </c>
    </row>
    <row r="35" spans="1:9" ht="14.1" customHeight="1">
      <c r="A35" s="330" t="s">
        <v>261</v>
      </c>
      <c r="B35" s="331">
        <v>0</v>
      </c>
      <c r="C35" s="337">
        <f>B35/'- 44 -'!$I35*100</f>
        <v>0</v>
      </c>
      <c r="D35" s="331">
        <v>45397579</v>
      </c>
      <c r="E35" s="337">
        <f>D35/'- 44 -'!$I35*100</f>
        <v>26.807422232584376</v>
      </c>
      <c r="F35" s="331">
        <v>874177</v>
      </c>
      <c r="G35" s="337">
        <f>F35/'- 44 -'!$I35*100</f>
        <v>0.51620444220194894</v>
      </c>
      <c r="H35" s="331">
        <v>85934</v>
      </c>
      <c r="I35" s="337">
        <f>H35/'- 44 -'!$I35*100</f>
        <v>5.0744314407931437E-2</v>
      </c>
    </row>
    <row r="36" spans="1:9" ht="14.1" customHeight="1">
      <c r="A36" s="26" t="s">
        <v>262</v>
      </c>
      <c r="B36" s="27">
        <v>83571</v>
      </c>
      <c r="C36" s="79">
        <f>B36/'- 44 -'!$I36*100</f>
        <v>0.38436200258439768</v>
      </c>
      <c r="D36" s="27">
        <v>6995924</v>
      </c>
      <c r="E36" s="79">
        <f>D36/'- 44 -'!$I36*100</f>
        <v>32.175842799155802</v>
      </c>
      <c r="F36" s="27">
        <v>73190</v>
      </c>
      <c r="G36" s="79">
        <f>F36/'- 44 -'!$I36*100</f>
        <v>0.33661742672879424</v>
      </c>
      <c r="H36" s="27">
        <v>1075078</v>
      </c>
      <c r="I36" s="79">
        <f>H36/'- 44 -'!$I36*100</f>
        <v>4.9445278028793362</v>
      </c>
    </row>
    <row r="37" spans="1:9" ht="14.1" customHeight="1">
      <c r="A37" s="330" t="s">
        <v>263</v>
      </c>
      <c r="B37" s="331">
        <v>28106</v>
      </c>
      <c r="C37" s="337">
        <f>B37/'- 44 -'!$I37*100</f>
        <v>7.1013022776720863E-2</v>
      </c>
      <c r="D37" s="331">
        <v>9287522</v>
      </c>
      <c r="E37" s="337">
        <f>D37/'- 44 -'!$I37*100</f>
        <v>23.465986313431159</v>
      </c>
      <c r="F37" s="331">
        <v>220386</v>
      </c>
      <c r="G37" s="337">
        <f>F37/'- 44 -'!$I37*100</f>
        <v>0.55683042900698798</v>
      </c>
      <c r="H37" s="331">
        <v>39813</v>
      </c>
      <c r="I37" s="337">
        <f>H37/'- 44 -'!$I37*100</f>
        <v>0.10059209691203258</v>
      </c>
    </row>
    <row r="38" spans="1:9" ht="14.1" customHeight="1">
      <c r="A38" s="26" t="s">
        <v>264</v>
      </c>
      <c r="B38" s="27">
        <v>10883</v>
      </c>
      <c r="C38" s="79">
        <f>B38/'- 44 -'!$I38*100</f>
        <v>9.9581556159870927E-3</v>
      </c>
      <c r="D38" s="27">
        <v>27649401</v>
      </c>
      <c r="E38" s="79">
        <f>D38/'- 44 -'!$I38*100</f>
        <v>25.299737006967671</v>
      </c>
      <c r="F38" s="27">
        <v>1086098</v>
      </c>
      <c r="G38" s="79">
        <f>F38/'- 44 -'!$I38*100</f>
        <v>0.99380068898395213</v>
      </c>
      <c r="H38" s="27">
        <v>349600</v>
      </c>
      <c r="I38" s="79">
        <f>H38/'- 44 -'!$I38*100</f>
        <v>0.31989076572168407</v>
      </c>
    </row>
    <row r="39" spans="1:9" ht="14.1" customHeight="1">
      <c r="A39" s="330" t="s">
        <v>265</v>
      </c>
      <c r="B39" s="331">
        <v>8442</v>
      </c>
      <c r="C39" s="337">
        <f>B39/'- 44 -'!$I39*100</f>
        <v>4.3178458276372407E-2</v>
      </c>
      <c r="D39" s="331">
        <v>7489175</v>
      </c>
      <c r="E39" s="337">
        <f>D39/'- 44 -'!$I39*100</f>
        <v>38.305026091204851</v>
      </c>
      <c r="F39" s="331">
        <v>99450</v>
      </c>
      <c r="G39" s="337">
        <f>F39/'- 44 -'!$I39*100</f>
        <v>0.50865881018541059</v>
      </c>
      <c r="H39" s="331">
        <v>0</v>
      </c>
      <c r="I39" s="337">
        <f>H39/'- 44 -'!$I39*100</f>
        <v>0</v>
      </c>
    </row>
    <row r="40" spans="1:9" ht="14.1" customHeight="1">
      <c r="A40" s="26" t="s">
        <v>266</v>
      </c>
      <c r="B40" s="27">
        <v>2304</v>
      </c>
      <c r="C40" s="79">
        <f>B40/'- 44 -'!$I40*100</f>
        <v>2.4716876971101207E-3</v>
      </c>
      <c r="D40" s="27">
        <v>31823265</v>
      </c>
      <c r="E40" s="79">
        <f>D40/'- 44 -'!$I40*100</f>
        <v>34.139397822211421</v>
      </c>
      <c r="F40" s="27">
        <v>782004</v>
      </c>
      <c r="G40" s="79">
        <f>F40/'- 44 -'!$I40*100</f>
        <v>0.83891912582070427</v>
      </c>
      <c r="H40" s="27">
        <v>113405</v>
      </c>
      <c r="I40" s="79">
        <f>H40/'- 44 -'!$I40*100</f>
        <v>0.12165874274773145</v>
      </c>
    </row>
    <row r="41" spans="1:9" ht="14.1" customHeight="1">
      <c r="A41" s="330" t="s">
        <v>267</v>
      </c>
      <c r="B41" s="331">
        <v>3428</v>
      </c>
      <c r="C41" s="337">
        <f>B41/'- 44 -'!$I41*100</f>
        <v>5.8407600266834813E-3</v>
      </c>
      <c r="D41" s="331">
        <v>20407546</v>
      </c>
      <c r="E41" s="337">
        <f>D41/'- 44 -'!$I41*100</f>
        <v>34.771172380252153</v>
      </c>
      <c r="F41" s="331">
        <v>297708</v>
      </c>
      <c r="G41" s="337">
        <f>F41/'- 44 -'!$I41*100</f>
        <v>0.50724649533952326</v>
      </c>
      <c r="H41" s="331">
        <v>463572</v>
      </c>
      <c r="I41" s="337">
        <f>H41/'- 44 -'!$I41*100</f>
        <v>0.78985204407517939</v>
      </c>
    </row>
    <row r="42" spans="1:9" ht="14.1" customHeight="1">
      <c r="A42" s="26" t="s">
        <v>268</v>
      </c>
      <c r="B42" s="27">
        <v>0</v>
      </c>
      <c r="C42" s="79">
        <f>B42/'- 44 -'!$I42*100</f>
        <v>0</v>
      </c>
      <c r="D42" s="27">
        <v>4793519</v>
      </c>
      <c r="E42" s="79">
        <f>D42/'- 44 -'!$I42*100</f>
        <v>23.93761433492622</v>
      </c>
      <c r="F42" s="27">
        <v>28736</v>
      </c>
      <c r="G42" s="79">
        <f>F42/'- 44 -'!$I42*100</f>
        <v>0.14350027308297722</v>
      </c>
      <c r="H42" s="27">
        <v>178403</v>
      </c>
      <c r="I42" s="79">
        <f>H42/'- 44 -'!$I42*100</f>
        <v>0.89089919330534473</v>
      </c>
    </row>
    <row r="43" spans="1:9" ht="14.1" customHeight="1">
      <c r="A43" s="330" t="s">
        <v>269</v>
      </c>
      <c r="B43" s="331">
        <v>173</v>
      </c>
      <c r="C43" s="337">
        <f>B43/'- 44 -'!$I43*100</f>
        <v>1.468159731365807E-3</v>
      </c>
      <c r="D43" s="331">
        <v>4092314</v>
      </c>
      <c r="E43" s="337">
        <f>D43/'- 44 -'!$I43*100</f>
        <v>34.729309958985723</v>
      </c>
      <c r="F43" s="331">
        <v>35750</v>
      </c>
      <c r="G43" s="337">
        <f>F43/'- 44 -'!$I43*100</f>
        <v>0.30339138957414796</v>
      </c>
      <c r="H43" s="331">
        <v>3629</v>
      </c>
      <c r="I43" s="337">
        <f>H43/'- 44 -'!$I43*100</f>
        <v>3.0797408468939382E-2</v>
      </c>
    </row>
    <row r="44" spans="1:9" ht="14.1" customHeight="1">
      <c r="A44" s="26" t="s">
        <v>270</v>
      </c>
      <c r="B44" s="27">
        <v>0</v>
      </c>
      <c r="C44" s="79">
        <f>B44/'- 44 -'!$I44*100</f>
        <v>0</v>
      </c>
      <c r="D44" s="27">
        <v>2224220</v>
      </c>
      <c r="E44" s="79">
        <f>D44/'- 44 -'!$I44*100</f>
        <v>21.747992103052603</v>
      </c>
      <c r="F44" s="27">
        <v>11700</v>
      </c>
      <c r="G44" s="79">
        <f>F44/'- 44 -'!$I44*100</f>
        <v>0.1144003325236332</v>
      </c>
      <c r="H44" s="27">
        <v>0</v>
      </c>
      <c r="I44" s="79">
        <f>H44/'- 44 -'!$I44*100</f>
        <v>0</v>
      </c>
    </row>
    <row r="45" spans="1:9" ht="14.1" customHeight="1">
      <c r="A45" s="330" t="s">
        <v>271</v>
      </c>
      <c r="B45" s="331">
        <v>25052</v>
      </c>
      <c r="C45" s="337">
        <f>B45/'- 44 -'!$I45*100</f>
        <v>0.15562200971798945</v>
      </c>
      <c r="D45" s="331">
        <v>4783874</v>
      </c>
      <c r="E45" s="337">
        <f>D45/'- 44 -'!$I45*100</f>
        <v>29.717231602971307</v>
      </c>
      <c r="F45" s="331">
        <v>42900</v>
      </c>
      <c r="G45" s="337">
        <f>F45/'- 44 -'!$I45*100</f>
        <v>0.26649306310481191</v>
      </c>
      <c r="H45" s="331">
        <v>0</v>
      </c>
      <c r="I45" s="337">
        <f>H45/'- 44 -'!$I45*100</f>
        <v>0</v>
      </c>
    </row>
    <row r="46" spans="1:9" ht="14.1" customHeight="1">
      <c r="A46" s="26" t="s">
        <v>272</v>
      </c>
      <c r="B46" s="27">
        <v>0</v>
      </c>
      <c r="C46" s="79">
        <f>B46/'- 44 -'!$I46*100</f>
        <v>0</v>
      </c>
      <c r="D46" s="27">
        <v>105973336</v>
      </c>
      <c r="E46" s="79">
        <f>D46/'- 44 -'!$I46*100</f>
        <v>30.803356238736363</v>
      </c>
      <c r="F46" s="27">
        <v>2265761</v>
      </c>
      <c r="G46" s="79">
        <f>F46/'- 44 -'!$I46*100</f>
        <v>0.65859060277988735</v>
      </c>
      <c r="H46" s="27">
        <v>2377495</v>
      </c>
      <c r="I46" s="79">
        <f>H46/'- 44 -'!$I46*100</f>
        <v>0.69106841593449986</v>
      </c>
    </row>
    <row r="47" spans="1:9" ht="5.0999999999999996" customHeight="1">
      <c r="A47" s="28"/>
      <c r="B47" s="29"/>
      <c r="C47"/>
      <c r="D47" s="29"/>
      <c r="E47"/>
      <c r="F47" s="29"/>
      <c r="G47"/>
      <c r="H47" s="29"/>
      <c r="I47"/>
    </row>
    <row r="48" spans="1:9" ht="14.1" customHeight="1">
      <c r="A48" s="332" t="s">
        <v>273</v>
      </c>
      <c r="B48" s="333">
        <f>SUM(B11:B46)</f>
        <v>13661724</v>
      </c>
      <c r="C48" s="340">
        <f>B48/'- 44 -'!$I48*100</f>
        <v>0.68460927970275376</v>
      </c>
      <c r="D48" s="333">
        <f>SUM(D11:D46)</f>
        <v>559927883</v>
      </c>
      <c r="E48" s="340">
        <f>D48/'- 44 -'!$I48*100</f>
        <v>28.058817808507751</v>
      </c>
      <c r="F48" s="333">
        <f>SUM(F11:F46)</f>
        <v>11384977</v>
      </c>
      <c r="G48" s="340">
        <f>F48/'- 44 -'!$I48*100</f>
        <v>0.57051810616305954</v>
      </c>
      <c r="H48" s="333">
        <f>SUM(H11:H46)</f>
        <v>63993686</v>
      </c>
      <c r="I48" s="340">
        <f>H48/'- 44 -'!$I48*100</f>
        <v>3.206818647337935</v>
      </c>
    </row>
    <row r="49" spans="1:9" ht="5.0999999999999996" customHeight="1">
      <c r="A49" s="28" t="s">
        <v>18</v>
      </c>
      <c r="B49" s="29"/>
      <c r="C49"/>
      <c r="D49" s="29"/>
      <c r="E49"/>
      <c r="F49" s="29"/>
      <c r="G49"/>
      <c r="H49" s="29"/>
      <c r="I49"/>
    </row>
    <row r="50" spans="1:9" ht="14.1" customHeight="1">
      <c r="A50" s="26" t="s">
        <v>274</v>
      </c>
      <c r="B50" s="27">
        <v>0</v>
      </c>
      <c r="C50" s="79">
        <f>B50/'- 44 -'!$I50*100</f>
        <v>0</v>
      </c>
      <c r="D50" s="27">
        <v>1726445</v>
      </c>
      <c r="E50" s="79">
        <f>D50/'- 44 -'!$I50*100</f>
        <v>54.957069092133771</v>
      </c>
      <c r="F50" s="27">
        <v>28600</v>
      </c>
      <c r="G50" s="79">
        <f>F50/'- 44 -'!$I50*100</f>
        <v>0.91040964295707427</v>
      </c>
      <c r="H50" s="27">
        <v>0</v>
      </c>
      <c r="I50" s="79">
        <f>H50/'- 44 -'!$I50*100</f>
        <v>0</v>
      </c>
    </row>
    <row r="51" spans="1:9" ht="14.1" customHeight="1">
      <c r="A51" s="330" t="s">
        <v>275</v>
      </c>
      <c r="B51" s="331">
        <v>0</v>
      </c>
      <c r="C51" s="337">
        <f>B51/'- 44 -'!$I51*100</f>
        <v>0</v>
      </c>
      <c r="D51" s="331">
        <v>0</v>
      </c>
      <c r="E51" s="337">
        <f>D51/'- 44 -'!$I51*100</f>
        <v>0</v>
      </c>
      <c r="F51" s="331">
        <v>1501899</v>
      </c>
      <c r="G51" s="337">
        <f>F51/'- 44 -'!$I51*100</f>
        <v>12.557515952963842</v>
      </c>
      <c r="H51" s="331">
        <v>0</v>
      </c>
      <c r="I51" s="337">
        <f>H51/'- 44 -'!$I51*100</f>
        <v>0</v>
      </c>
    </row>
    <row r="52" spans="1:9" ht="50.1" customHeight="1">
      <c r="A52" s="30"/>
      <c r="B52" s="30"/>
      <c r="C52" s="30"/>
      <c r="D52" s="30"/>
      <c r="E52" s="30"/>
      <c r="F52" s="30"/>
      <c r="G52" s="30"/>
      <c r="H52" s="30"/>
      <c r="I52" s="30"/>
    </row>
    <row r="53" spans="1:9" ht="15" customHeight="1">
      <c r="A53" s="1" t="str">
        <f>"(1)  Municipal Government revenue is net of  "&amp;TEXT('- 42 -'!C48,"$0,000,000")&amp; " in Education Property Tax Credit (EPTC) revenue paid directly to school divisions. See"</f>
        <v>(1)  Municipal Government revenue is net of  $195,360,389 in Education Property Tax Credit (EPTC) revenue paid directly to school divisions. See</v>
      </c>
    </row>
    <row r="54" spans="1:9">
      <c r="A54" s="151" t="s">
        <v>602</v>
      </c>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sheetPr codeName="Sheet38">
    <pageSetUpPr fitToPage="1"/>
  </sheetPr>
  <dimension ref="A1:I52"/>
  <sheetViews>
    <sheetView showGridLines="0" showZeros="0" workbookViewId="0"/>
  </sheetViews>
  <sheetFormatPr defaultColWidth="15.83203125" defaultRowHeight="12"/>
  <cols>
    <col min="1" max="1" width="35.83203125" style="1" customWidth="1"/>
    <col min="2" max="2" width="15.83203125" style="1"/>
    <col min="3" max="3" width="8.83203125" style="1" customWidth="1"/>
    <col min="4" max="4" width="13.83203125" style="1" customWidth="1"/>
    <col min="5" max="5" width="8.83203125" style="1" customWidth="1"/>
    <col min="6" max="6" width="15.83203125" style="1"/>
    <col min="7" max="7" width="8.83203125" style="1" customWidth="1"/>
    <col min="8" max="8" width="4.83203125" style="1" customWidth="1"/>
    <col min="9" max="9" width="19.83203125" style="1" customWidth="1"/>
    <col min="10" max="16384" width="15.83203125" style="1"/>
  </cols>
  <sheetData>
    <row r="1" spans="1:9" ht="6.95" customHeight="1">
      <c r="A1" s="6"/>
    </row>
    <row r="2" spans="1:9" ht="15.95" customHeight="1">
      <c r="A2" s="242"/>
      <c r="B2" s="233" t="str">
        <f>REVYEAR</f>
        <v>ANALYSIS OF OPERATING FUND REVENUE: 2011/2012 ACTUAL</v>
      </c>
      <c r="C2" s="48"/>
      <c r="D2" s="48"/>
      <c r="E2" s="48"/>
      <c r="F2" s="48"/>
      <c r="G2" s="243"/>
      <c r="H2" s="49"/>
      <c r="I2" s="244" t="s">
        <v>20</v>
      </c>
    </row>
    <row r="3" spans="1:9" ht="15.95" customHeight="1">
      <c r="A3" s="234"/>
    </row>
    <row r="4" spans="1:9" ht="15.95" customHeight="1">
      <c r="B4" s="50"/>
      <c r="C4" s="7"/>
      <c r="D4" s="7"/>
      <c r="E4" s="7"/>
      <c r="F4" s="7"/>
      <c r="G4" s="7"/>
      <c r="H4" s="7"/>
      <c r="I4" s="7"/>
    </row>
    <row r="5" spans="1:9" ht="15.95" customHeight="1">
      <c r="B5" s="7"/>
      <c r="C5" s="7"/>
      <c r="D5" s="7"/>
      <c r="E5" s="7"/>
      <c r="F5" s="7"/>
      <c r="G5" s="7"/>
      <c r="H5" s="7"/>
      <c r="I5" s="7"/>
    </row>
    <row r="6" spans="1:9" ht="15.95" customHeight="1">
      <c r="B6" s="358" t="s">
        <v>115</v>
      </c>
      <c r="C6" s="359"/>
      <c r="D6" s="360"/>
      <c r="E6" s="360"/>
      <c r="F6" s="358" t="s">
        <v>69</v>
      </c>
      <c r="G6" s="359"/>
      <c r="H6" s="7"/>
      <c r="I6" s="417" t="s">
        <v>69</v>
      </c>
    </row>
    <row r="7" spans="1:9" ht="15.95" customHeight="1">
      <c r="B7" s="394" t="s">
        <v>121</v>
      </c>
      <c r="C7" s="395"/>
      <c r="D7" s="437"/>
      <c r="E7" s="437"/>
      <c r="F7" s="394" t="s">
        <v>122</v>
      </c>
      <c r="G7" s="395"/>
      <c r="H7" s="7"/>
      <c r="I7" s="418" t="s">
        <v>123</v>
      </c>
    </row>
    <row r="8" spans="1:9" ht="15.95" customHeight="1">
      <c r="A8" s="75"/>
      <c r="B8" s="345" t="s">
        <v>140</v>
      </c>
      <c r="C8" s="346"/>
      <c r="D8" s="345" t="s">
        <v>59</v>
      </c>
      <c r="E8" s="345"/>
      <c r="F8" s="344" t="s">
        <v>141</v>
      </c>
      <c r="G8" s="346"/>
      <c r="H8" s="7"/>
      <c r="I8" s="347" t="s">
        <v>136</v>
      </c>
    </row>
    <row r="9" spans="1:9" ht="15.95" customHeight="1">
      <c r="A9" s="42" t="s">
        <v>95</v>
      </c>
      <c r="B9" s="193" t="s">
        <v>141</v>
      </c>
      <c r="C9" s="235" t="s">
        <v>97</v>
      </c>
      <c r="D9" s="245" t="s">
        <v>141</v>
      </c>
      <c r="E9" s="245" t="s">
        <v>97</v>
      </c>
      <c r="F9" s="235" t="s">
        <v>141</v>
      </c>
      <c r="G9" s="245" t="s">
        <v>97</v>
      </c>
      <c r="H9" s="7"/>
      <c r="I9" s="245" t="s">
        <v>141</v>
      </c>
    </row>
    <row r="10" spans="1:9" ht="5.0999999999999996" customHeight="1">
      <c r="A10" s="5"/>
      <c r="B10" s="236"/>
      <c r="C10" s="236"/>
      <c r="D10" s="236"/>
      <c r="E10" s="236"/>
      <c r="F10" s="236"/>
      <c r="G10" s="6"/>
      <c r="H10" s="6"/>
      <c r="I10" s="236"/>
    </row>
    <row r="11" spans="1:9" ht="14.1" customHeight="1">
      <c r="A11" s="330" t="s">
        <v>238</v>
      </c>
      <c r="B11" s="331">
        <v>43645</v>
      </c>
      <c r="C11" s="337">
        <f>B11/I11*100</f>
        <v>0.28296423071494547</v>
      </c>
      <c r="D11" s="331">
        <v>121130</v>
      </c>
      <c r="E11" s="337">
        <f>D11/I11*100</f>
        <v>0.78532380035516891</v>
      </c>
      <c r="F11" s="331">
        <f>SUM('- 43 -'!$B11,'- 43 -'!$D11,'- 43 -'!$F11,'- 43 -'!$H11,B11,D11)</f>
        <v>5638700</v>
      </c>
      <c r="G11" s="337">
        <f>F11/I11*100</f>
        <v>36.557461512942218</v>
      </c>
      <c r="I11" s="331">
        <f>SUM('- 42 -'!$H11,F11)</f>
        <v>15424211</v>
      </c>
    </row>
    <row r="12" spans="1:9" ht="14.1" customHeight="1">
      <c r="A12" s="26" t="s">
        <v>239</v>
      </c>
      <c r="B12" s="27">
        <v>188029</v>
      </c>
      <c r="C12" s="79">
        <f t="shared" ref="C12:C46" si="0">B12/I12*100</f>
        <v>0.61834268087096445</v>
      </c>
      <c r="D12" s="27">
        <v>189312</v>
      </c>
      <c r="E12" s="79">
        <f t="shared" ref="E12:E46" si="1">D12/I12*100</f>
        <v>0.62256188992678807</v>
      </c>
      <c r="F12" s="27">
        <f>SUM('- 43 -'!$B12,'- 43 -'!$D12,'- 43 -'!$F12,'- 43 -'!$H12,B12,D12)</f>
        <v>10044916</v>
      </c>
      <c r="G12" s="79">
        <f t="shared" ref="G12:G46" si="2">F12/I12*100</f>
        <v>33.033203859849522</v>
      </c>
      <c r="I12" s="27">
        <f>SUM('- 42 -'!$H12,F12)</f>
        <v>30408543</v>
      </c>
    </row>
    <row r="13" spans="1:9" ht="14.1" customHeight="1">
      <c r="A13" s="330" t="s">
        <v>240</v>
      </c>
      <c r="B13" s="331">
        <v>808617</v>
      </c>
      <c r="C13" s="337">
        <f t="shared" si="0"/>
        <v>1.1025348838398386</v>
      </c>
      <c r="D13" s="331">
        <v>90394</v>
      </c>
      <c r="E13" s="337">
        <f t="shared" si="1"/>
        <v>0.12325060973219507</v>
      </c>
      <c r="F13" s="331">
        <f>SUM('- 43 -'!$B13,'- 43 -'!$D13,'- 43 -'!$F13,'- 43 -'!$H13,B13,D13)</f>
        <v>27509252</v>
      </c>
      <c r="G13" s="337">
        <f t="shared" si="2"/>
        <v>37.508375359831476</v>
      </c>
      <c r="I13" s="331">
        <f>SUM('- 42 -'!$H13,F13)</f>
        <v>73341625</v>
      </c>
    </row>
    <row r="14" spans="1:9" ht="14.1" customHeight="1">
      <c r="A14" s="26" t="s">
        <v>653</v>
      </c>
      <c r="B14" s="27">
        <v>102809</v>
      </c>
      <c r="C14" s="79">
        <f t="shared" si="0"/>
        <v>0.14790843128843464</v>
      </c>
      <c r="D14" s="27">
        <v>99065</v>
      </c>
      <c r="E14" s="79">
        <f t="shared" si="1"/>
        <v>0.14252204326069487</v>
      </c>
      <c r="F14" s="27">
        <f>SUM('- 43 -'!$B14,'- 43 -'!$D14,'- 43 -'!$F14,'- 43 -'!$H14,B14,D14)</f>
        <v>16044959</v>
      </c>
      <c r="G14" s="79">
        <f t="shared" si="2"/>
        <v>23.083433510463593</v>
      </c>
      <c r="I14" s="27">
        <f>SUM('- 42 -'!$H14,F14)</f>
        <v>69508546</v>
      </c>
    </row>
    <row r="15" spans="1:9" ht="14.1" customHeight="1">
      <c r="A15" s="330" t="s">
        <v>241</v>
      </c>
      <c r="B15" s="331">
        <v>108287</v>
      </c>
      <c r="C15" s="337">
        <f t="shared" si="0"/>
        <v>0.57036343412438495</v>
      </c>
      <c r="D15" s="331">
        <v>13615</v>
      </c>
      <c r="E15" s="337">
        <f t="shared" si="1"/>
        <v>7.171219218930712E-2</v>
      </c>
      <c r="F15" s="331">
        <f>SUM('- 43 -'!$B15,'- 43 -'!$D15,'- 43 -'!$F15,'- 43 -'!$H15,B15,D15)</f>
        <v>6071048</v>
      </c>
      <c r="G15" s="337">
        <f t="shared" si="2"/>
        <v>31.977095921153776</v>
      </c>
      <c r="I15" s="331">
        <f>SUM('- 42 -'!$H15,F15)</f>
        <v>18985614</v>
      </c>
    </row>
    <row r="16" spans="1:9" ht="14.1" customHeight="1">
      <c r="A16" s="26" t="s">
        <v>242</v>
      </c>
      <c r="B16" s="27">
        <v>197332</v>
      </c>
      <c r="C16" s="79">
        <f t="shared" si="0"/>
        <v>1.5645133004085627</v>
      </c>
      <c r="D16" s="27">
        <v>36912</v>
      </c>
      <c r="E16" s="79">
        <f t="shared" si="1"/>
        <v>0.29265053283137488</v>
      </c>
      <c r="F16" s="27">
        <f>SUM('- 43 -'!$B16,'- 43 -'!$D16,'- 43 -'!$F16,'- 43 -'!$H16,B16,D16)</f>
        <v>3204325</v>
      </c>
      <c r="G16" s="79">
        <f t="shared" si="2"/>
        <v>25.404947405041593</v>
      </c>
      <c r="I16" s="27">
        <f>SUM('- 42 -'!$H16,F16)</f>
        <v>12612996</v>
      </c>
    </row>
    <row r="17" spans="1:9" ht="14.1" customHeight="1">
      <c r="A17" s="330" t="s">
        <v>243</v>
      </c>
      <c r="B17" s="331">
        <v>0</v>
      </c>
      <c r="C17" s="337">
        <f t="shared" si="0"/>
        <v>0</v>
      </c>
      <c r="D17" s="331">
        <v>34591</v>
      </c>
      <c r="E17" s="337">
        <f t="shared" si="1"/>
        <v>0.20796512876120277</v>
      </c>
      <c r="F17" s="331">
        <f>SUM('- 43 -'!$B17,'- 43 -'!$D17,'- 43 -'!$F17,'- 43 -'!$H17,B17,D17)</f>
        <v>6855627</v>
      </c>
      <c r="G17" s="337">
        <f t="shared" si="2"/>
        <v>41.216829573986821</v>
      </c>
      <c r="I17" s="331">
        <f>SUM('- 42 -'!$H17,F17)</f>
        <v>16633077</v>
      </c>
    </row>
    <row r="18" spans="1:9" ht="14.1" customHeight="1">
      <c r="A18" s="26" t="s">
        <v>244</v>
      </c>
      <c r="B18" s="27">
        <v>4015338</v>
      </c>
      <c r="C18" s="79">
        <f t="shared" si="0"/>
        <v>3.4817766533515599</v>
      </c>
      <c r="D18" s="27">
        <v>557705</v>
      </c>
      <c r="E18" s="79">
        <f t="shared" si="1"/>
        <v>0.48359671052783892</v>
      </c>
      <c r="F18" s="27">
        <f>SUM('- 43 -'!$B18,'- 43 -'!$D18,'- 43 -'!$F18,'- 43 -'!$H18,B18,D18)</f>
        <v>67898615</v>
      </c>
      <c r="G18" s="79">
        <f t="shared" si="2"/>
        <v>58.876192365849654</v>
      </c>
      <c r="I18" s="27">
        <f>SUM('- 42 -'!$H18,F18)</f>
        <v>115324399</v>
      </c>
    </row>
    <row r="19" spans="1:9" ht="14.1" customHeight="1">
      <c r="A19" s="330" t="s">
        <v>245</v>
      </c>
      <c r="B19" s="331">
        <v>0</v>
      </c>
      <c r="C19" s="337">
        <f t="shared" si="0"/>
        <v>0</v>
      </c>
      <c r="D19" s="331">
        <v>431833</v>
      </c>
      <c r="E19" s="337">
        <f t="shared" si="1"/>
        <v>1.102200142922841</v>
      </c>
      <c r="F19" s="331">
        <f>SUM('- 43 -'!$B19,'- 43 -'!$D19,'- 43 -'!$F19,'- 43 -'!$H19,B19,D19)</f>
        <v>12180022</v>
      </c>
      <c r="G19" s="337">
        <f t="shared" si="2"/>
        <v>31.087994639602222</v>
      </c>
      <c r="I19" s="331">
        <f>SUM('- 42 -'!$H19,F19)</f>
        <v>39179182</v>
      </c>
    </row>
    <row r="20" spans="1:9" ht="14.1" customHeight="1">
      <c r="A20" s="26" t="s">
        <v>246</v>
      </c>
      <c r="B20" s="27">
        <v>359221</v>
      </c>
      <c r="C20" s="79">
        <f t="shared" si="0"/>
        <v>0.54845770327555921</v>
      </c>
      <c r="D20" s="27">
        <v>94722</v>
      </c>
      <c r="E20" s="79">
        <f t="shared" si="1"/>
        <v>0.14462130713312282</v>
      </c>
      <c r="F20" s="27">
        <f>SUM('- 43 -'!$B20,'- 43 -'!$D20,'- 43 -'!$F20,'- 43 -'!$H20,B20,D20)</f>
        <v>18154166</v>
      </c>
      <c r="G20" s="79">
        <f t="shared" si="2"/>
        <v>27.717734178244712</v>
      </c>
      <c r="I20" s="27">
        <f>SUM('- 42 -'!$H20,F20)</f>
        <v>65496573</v>
      </c>
    </row>
    <row r="21" spans="1:9" ht="14.1" customHeight="1">
      <c r="A21" s="330" t="s">
        <v>247</v>
      </c>
      <c r="B21" s="331">
        <v>280448</v>
      </c>
      <c r="C21" s="337">
        <f t="shared" si="0"/>
        <v>0.86729180982469734</v>
      </c>
      <c r="D21" s="331">
        <v>123576</v>
      </c>
      <c r="E21" s="337">
        <f t="shared" si="1"/>
        <v>0.38216158678577417</v>
      </c>
      <c r="F21" s="331">
        <f>SUM('- 43 -'!$B21,'- 43 -'!$D21,'- 43 -'!$F21,'- 43 -'!$H21,B21,D21)</f>
        <v>9833581</v>
      </c>
      <c r="G21" s="337">
        <f t="shared" si="2"/>
        <v>30.410572592950409</v>
      </c>
      <c r="I21" s="331">
        <f>SUM('- 42 -'!$H21,F21)</f>
        <v>32336060</v>
      </c>
    </row>
    <row r="22" spans="1:9" ht="14.1" customHeight="1">
      <c r="A22" s="26" t="s">
        <v>248</v>
      </c>
      <c r="B22" s="27">
        <v>75026</v>
      </c>
      <c r="C22" s="79">
        <f t="shared" si="0"/>
        <v>0.40520898729402532</v>
      </c>
      <c r="D22" s="27">
        <v>108179</v>
      </c>
      <c r="E22" s="79">
        <f t="shared" si="1"/>
        <v>0.58426549511476511</v>
      </c>
      <c r="F22" s="27">
        <f>SUM('- 43 -'!$B22,'- 43 -'!$D22,'- 43 -'!$F22,'- 43 -'!$H22,B22,D22)</f>
        <v>3096189</v>
      </c>
      <c r="G22" s="79">
        <f t="shared" si="2"/>
        <v>16.722251075105977</v>
      </c>
      <c r="I22" s="27">
        <f>SUM('- 42 -'!$H22,F22)</f>
        <v>18515384</v>
      </c>
    </row>
    <row r="23" spans="1:9" ht="14.1" customHeight="1">
      <c r="A23" s="330" t="s">
        <v>249</v>
      </c>
      <c r="B23" s="331">
        <v>332128</v>
      </c>
      <c r="C23" s="337">
        <f t="shared" si="0"/>
        <v>2.0687914517593025</v>
      </c>
      <c r="D23" s="331">
        <v>78293</v>
      </c>
      <c r="E23" s="337">
        <f t="shared" si="1"/>
        <v>0.48767911507789485</v>
      </c>
      <c r="F23" s="331">
        <f>SUM('- 43 -'!$B23,'- 43 -'!$D23,'- 43 -'!$F23,'- 43 -'!$H23,B23,D23)</f>
        <v>4687778</v>
      </c>
      <c r="G23" s="337">
        <f t="shared" si="2"/>
        <v>29.199691245981423</v>
      </c>
      <c r="I23" s="331">
        <f>SUM('- 42 -'!$H23,F23)</f>
        <v>16054204</v>
      </c>
    </row>
    <row r="24" spans="1:9" ht="14.1" customHeight="1">
      <c r="A24" s="26" t="s">
        <v>250</v>
      </c>
      <c r="B24" s="27">
        <v>586558</v>
      </c>
      <c r="C24" s="79">
        <f t="shared" si="0"/>
        <v>1.1657836869227307</v>
      </c>
      <c r="D24" s="27">
        <v>229231</v>
      </c>
      <c r="E24" s="79">
        <f t="shared" si="1"/>
        <v>0.45559648037702066</v>
      </c>
      <c r="F24" s="27">
        <f>SUM('- 43 -'!$B24,'- 43 -'!$D24,'- 43 -'!$F24,'- 43 -'!$H24,B24,D24)</f>
        <v>16762318</v>
      </c>
      <c r="G24" s="79">
        <f t="shared" si="2"/>
        <v>33.315097363621767</v>
      </c>
      <c r="I24" s="27">
        <f>SUM('- 42 -'!$H24,F24)</f>
        <v>50314480</v>
      </c>
    </row>
    <row r="25" spans="1:9" ht="14.1" customHeight="1">
      <c r="A25" s="330" t="s">
        <v>251</v>
      </c>
      <c r="B25" s="331">
        <v>2364415</v>
      </c>
      <c r="C25" s="337">
        <f t="shared" si="0"/>
        <v>1.579775469120984</v>
      </c>
      <c r="D25" s="331">
        <v>234491</v>
      </c>
      <c r="E25" s="337">
        <f t="shared" si="1"/>
        <v>0.15667432727742325</v>
      </c>
      <c r="F25" s="331">
        <f>SUM('- 43 -'!$B25,'- 43 -'!$D25,'- 43 -'!$F25,'- 43 -'!$H25,B25,D25)</f>
        <v>47116479</v>
      </c>
      <c r="G25" s="337">
        <f t="shared" si="2"/>
        <v>31.480707792648076</v>
      </c>
      <c r="I25" s="331">
        <f>SUM('- 42 -'!$H25,F25)</f>
        <v>149667788</v>
      </c>
    </row>
    <row r="26" spans="1:9" ht="14.1" customHeight="1">
      <c r="A26" s="26" t="s">
        <v>252</v>
      </c>
      <c r="B26" s="27">
        <v>1027324</v>
      </c>
      <c r="C26" s="79">
        <f t="shared" si="0"/>
        <v>2.7806867586373181</v>
      </c>
      <c r="D26" s="27">
        <v>125218</v>
      </c>
      <c r="E26" s="79">
        <f t="shared" si="1"/>
        <v>0.33893108166756319</v>
      </c>
      <c r="F26" s="27">
        <f>SUM('- 43 -'!$B26,'- 43 -'!$D26,'- 43 -'!$F26,'- 43 -'!$H26,B26,D26)</f>
        <v>11688112</v>
      </c>
      <c r="G26" s="79">
        <f t="shared" si="2"/>
        <v>31.636541414266521</v>
      </c>
      <c r="I26" s="27">
        <f>SUM('- 42 -'!$H26,F26)</f>
        <v>36944974</v>
      </c>
    </row>
    <row r="27" spans="1:9" ht="14.1" customHeight="1">
      <c r="A27" s="330" t="s">
        <v>253</v>
      </c>
      <c r="B27" s="331">
        <v>282735</v>
      </c>
      <c r="C27" s="337">
        <f t="shared" si="0"/>
        <v>0.73841224769543745</v>
      </c>
      <c r="D27" s="331">
        <v>67475</v>
      </c>
      <c r="E27" s="337">
        <f t="shared" si="1"/>
        <v>0.17622284617486211</v>
      </c>
      <c r="F27" s="331">
        <f>SUM('- 43 -'!$B27,'- 43 -'!$D27,'- 43 -'!$F27,'- 43 -'!$H27,B27,D27)</f>
        <v>8148600</v>
      </c>
      <c r="G27" s="337">
        <f t="shared" si="2"/>
        <v>21.281504028758526</v>
      </c>
      <c r="I27" s="331">
        <f>SUM('- 42 -'!$H27,F27)</f>
        <v>38289587</v>
      </c>
    </row>
    <row r="28" spans="1:9" ht="14.1" customHeight="1">
      <c r="A28" s="26" t="s">
        <v>254</v>
      </c>
      <c r="B28" s="27">
        <v>9000</v>
      </c>
      <c r="C28" s="79">
        <f t="shared" si="0"/>
        <v>3.6181873251360214E-2</v>
      </c>
      <c r="D28" s="27">
        <v>31482</v>
      </c>
      <c r="E28" s="79">
        <f t="shared" si="1"/>
        <v>0.12656419263325805</v>
      </c>
      <c r="F28" s="27">
        <f>SUM('- 43 -'!$B28,'- 43 -'!$D28,'- 43 -'!$F28,'- 43 -'!$H28,B28,D28)</f>
        <v>11447831</v>
      </c>
      <c r="G28" s="79">
        <f t="shared" si="2"/>
        <v>46.022663360554702</v>
      </c>
      <c r="I28" s="27">
        <f>SUM('- 42 -'!$H28,F28)</f>
        <v>24874334</v>
      </c>
    </row>
    <row r="29" spans="1:9" ht="14.1" customHeight="1">
      <c r="A29" s="330" t="s">
        <v>255</v>
      </c>
      <c r="B29" s="331">
        <v>2541147</v>
      </c>
      <c r="C29" s="337">
        <f t="shared" si="0"/>
        <v>1.84797316959265</v>
      </c>
      <c r="D29" s="331">
        <v>774052</v>
      </c>
      <c r="E29" s="337">
        <f t="shared" si="1"/>
        <v>0.56290617105957663</v>
      </c>
      <c r="F29" s="331">
        <f>SUM('- 43 -'!$B29,'- 43 -'!$D29,'- 43 -'!$F29,'- 43 -'!$H29,B29,D29)</f>
        <v>56400508</v>
      </c>
      <c r="G29" s="337">
        <f t="shared" si="2"/>
        <v>41.015582937703179</v>
      </c>
      <c r="I29" s="331">
        <f>SUM('- 42 -'!$H29,F29)</f>
        <v>137509951</v>
      </c>
    </row>
    <row r="30" spans="1:9" ht="14.1" customHeight="1">
      <c r="A30" s="26" t="s">
        <v>256</v>
      </c>
      <c r="B30" s="27">
        <v>1910</v>
      </c>
      <c r="C30" s="79">
        <f t="shared" si="0"/>
        <v>1.4399891314747018E-2</v>
      </c>
      <c r="D30" s="27">
        <v>49885</v>
      </c>
      <c r="E30" s="79">
        <f t="shared" si="1"/>
        <v>0.37609349645871992</v>
      </c>
      <c r="F30" s="27">
        <f>SUM('- 43 -'!$B30,'- 43 -'!$D30,'- 43 -'!$F30,'- 43 -'!$H30,B30,D30)</f>
        <v>4253193</v>
      </c>
      <c r="G30" s="79">
        <f t="shared" si="2"/>
        <v>32.065715675729223</v>
      </c>
      <c r="I30" s="27">
        <f>SUM('- 42 -'!$H30,F30)</f>
        <v>13263989</v>
      </c>
    </row>
    <row r="31" spans="1:9" ht="14.1" customHeight="1">
      <c r="A31" s="330" t="s">
        <v>257</v>
      </c>
      <c r="B31" s="331">
        <v>6450</v>
      </c>
      <c r="C31" s="337">
        <f t="shared" si="0"/>
        <v>1.9692798450466811E-2</v>
      </c>
      <c r="D31" s="331">
        <v>22547</v>
      </c>
      <c r="E31" s="337">
        <f t="shared" si="1"/>
        <v>6.883930645932948E-2</v>
      </c>
      <c r="F31" s="331">
        <f>SUM('- 43 -'!$B31,'- 43 -'!$D31,'- 43 -'!$F31,'- 43 -'!$H31,B31,D31)</f>
        <v>11635297</v>
      </c>
      <c r="G31" s="337">
        <f t="shared" si="2"/>
        <v>35.524272671677693</v>
      </c>
      <c r="I31" s="331">
        <f>SUM('- 42 -'!$H31,F31)</f>
        <v>32753090</v>
      </c>
    </row>
    <row r="32" spans="1:9" ht="14.1" customHeight="1">
      <c r="A32" s="26" t="s">
        <v>258</v>
      </c>
      <c r="B32" s="27">
        <v>77241</v>
      </c>
      <c r="C32" s="79">
        <f t="shared" si="0"/>
        <v>0.31692545910411779</v>
      </c>
      <c r="D32" s="27">
        <v>64215</v>
      </c>
      <c r="E32" s="79">
        <f t="shared" si="1"/>
        <v>0.26347883062584543</v>
      </c>
      <c r="F32" s="27">
        <f>SUM('- 43 -'!$B32,'- 43 -'!$D32,'- 43 -'!$F32,'- 43 -'!$H32,B32,D32)</f>
        <v>7991744</v>
      </c>
      <c r="G32" s="79">
        <f t="shared" si="2"/>
        <v>32.790708771799679</v>
      </c>
      <c r="I32" s="27">
        <f>SUM('- 42 -'!$H32,F32)</f>
        <v>24371977</v>
      </c>
    </row>
    <row r="33" spans="1:9" ht="14.1" customHeight="1">
      <c r="A33" s="330" t="s">
        <v>259</v>
      </c>
      <c r="B33" s="331">
        <v>68838</v>
      </c>
      <c r="C33" s="337">
        <f t="shared" si="0"/>
        <v>0.26278629516675239</v>
      </c>
      <c r="D33" s="331">
        <v>105090</v>
      </c>
      <c r="E33" s="337">
        <f t="shared" si="1"/>
        <v>0.4011768464957437</v>
      </c>
      <c r="F33" s="331">
        <f>SUM('- 43 -'!$B33,'- 43 -'!$D33,'- 43 -'!$F33,'- 43 -'!$H33,B33,D33)</f>
        <v>9033314</v>
      </c>
      <c r="G33" s="337">
        <f t="shared" si="2"/>
        <v>34.484312721722837</v>
      </c>
      <c r="I33" s="331">
        <f>SUM('- 42 -'!$H33,F33)</f>
        <v>26195430</v>
      </c>
    </row>
    <row r="34" spans="1:9" ht="14.1" customHeight="1">
      <c r="A34" s="26" t="s">
        <v>260</v>
      </c>
      <c r="B34" s="27">
        <v>173238</v>
      </c>
      <c r="C34" s="79">
        <f t="shared" si="0"/>
        <v>0.72287557917506784</v>
      </c>
      <c r="D34" s="27">
        <v>47324</v>
      </c>
      <c r="E34" s="79">
        <f t="shared" si="1"/>
        <v>0.19747032353687358</v>
      </c>
      <c r="F34" s="27">
        <f>SUM('- 43 -'!$B34,'- 43 -'!$D34,'- 43 -'!$F34,'- 43 -'!$H34,B34,D34)</f>
        <v>9067346</v>
      </c>
      <c r="G34" s="79">
        <f t="shared" si="2"/>
        <v>37.835596066283003</v>
      </c>
      <c r="I34" s="27">
        <f>SUM('- 42 -'!$H34,F34)</f>
        <v>23965120</v>
      </c>
    </row>
    <row r="35" spans="1:9" ht="14.1" customHeight="1">
      <c r="A35" s="330" t="s">
        <v>261</v>
      </c>
      <c r="B35" s="331">
        <v>3073117</v>
      </c>
      <c r="C35" s="337">
        <f t="shared" si="0"/>
        <v>1.8146858665994721</v>
      </c>
      <c r="D35" s="331">
        <v>278646</v>
      </c>
      <c r="E35" s="337">
        <f t="shared" si="1"/>
        <v>0.16454139493695699</v>
      </c>
      <c r="F35" s="331">
        <f>SUM('- 43 -'!$B35,'- 43 -'!$D35,'- 43 -'!$F35,'- 43 -'!$H35,B35,D35)</f>
        <v>49709453</v>
      </c>
      <c r="G35" s="337">
        <f t="shared" si="2"/>
        <v>29.353598250730684</v>
      </c>
      <c r="I35" s="331">
        <f>SUM('- 42 -'!$H35,F35)</f>
        <v>169347051</v>
      </c>
    </row>
    <row r="36" spans="1:9" ht="14.1" customHeight="1">
      <c r="A36" s="26" t="s">
        <v>262</v>
      </c>
      <c r="B36" s="27">
        <v>47973</v>
      </c>
      <c r="C36" s="79">
        <f t="shared" si="0"/>
        <v>0.22063871857440151</v>
      </c>
      <c r="D36" s="27">
        <v>72592</v>
      </c>
      <c r="E36" s="79">
        <f t="shared" si="1"/>
        <v>0.33386708896156075</v>
      </c>
      <c r="F36" s="27">
        <f>SUM('- 43 -'!$B36,'- 43 -'!$D36,'- 43 -'!$F36,'- 43 -'!$H36,B36,D36)</f>
        <v>8348328</v>
      </c>
      <c r="G36" s="79">
        <f t="shared" si="2"/>
        <v>38.395855838884295</v>
      </c>
      <c r="I36" s="27">
        <f>SUM('- 42 -'!$H36,F36)</f>
        <v>21742784</v>
      </c>
    </row>
    <row r="37" spans="1:9" ht="14.1" customHeight="1">
      <c r="A37" s="330" t="s">
        <v>263</v>
      </c>
      <c r="B37" s="331">
        <v>32382</v>
      </c>
      <c r="C37" s="337">
        <f t="shared" si="0"/>
        <v>8.1816825715355271E-2</v>
      </c>
      <c r="D37" s="331">
        <v>47446</v>
      </c>
      <c r="E37" s="337">
        <f t="shared" si="1"/>
        <v>0.11987774420637225</v>
      </c>
      <c r="F37" s="331">
        <f>SUM('- 43 -'!$B37,'- 43 -'!$D37,'- 43 -'!$F37,'- 43 -'!$H37,B37,D37)</f>
        <v>9655655</v>
      </c>
      <c r="G37" s="337">
        <f t="shared" si="2"/>
        <v>24.396116432048629</v>
      </c>
      <c r="I37" s="331">
        <f>SUM('- 42 -'!$H37,F37)</f>
        <v>39578656</v>
      </c>
    </row>
    <row r="38" spans="1:9" ht="14.1" customHeight="1">
      <c r="A38" s="26" t="s">
        <v>264</v>
      </c>
      <c r="B38" s="27">
        <v>998961</v>
      </c>
      <c r="C38" s="79">
        <f t="shared" si="0"/>
        <v>0.91406864764330442</v>
      </c>
      <c r="D38" s="27">
        <v>105566</v>
      </c>
      <c r="E38" s="79">
        <f t="shared" si="1"/>
        <v>9.6594932992492277E-2</v>
      </c>
      <c r="F38" s="27">
        <f>SUM('- 43 -'!$B38,'- 43 -'!$D38,'- 43 -'!$F38,'- 43 -'!$H38,B38,D38)</f>
        <v>30200509</v>
      </c>
      <c r="G38" s="79">
        <f t="shared" si="2"/>
        <v>27.634050197925092</v>
      </c>
      <c r="I38" s="27">
        <f>SUM('- 42 -'!$H38,F38)</f>
        <v>109287306</v>
      </c>
    </row>
    <row r="39" spans="1:9" ht="14.1" customHeight="1">
      <c r="A39" s="330" t="s">
        <v>265</v>
      </c>
      <c r="B39" s="331">
        <v>7257</v>
      </c>
      <c r="C39" s="337">
        <f t="shared" si="0"/>
        <v>3.7117516194223474E-2</v>
      </c>
      <c r="D39" s="331">
        <v>73618</v>
      </c>
      <c r="E39" s="337">
        <f t="shared" si="1"/>
        <v>0.37653538751362048</v>
      </c>
      <c r="F39" s="331">
        <f>SUM('- 43 -'!$B39,'- 43 -'!$D39,'- 43 -'!$F39,'- 43 -'!$H39,B39,D39)</f>
        <v>7677942</v>
      </c>
      <c r="G39" s="337">
        <f t="shared" si="2"/>
        <v>39.270516263374475</v>
      </c>
      <c r="I39" s="331">
        <f>SUM('- 42 -'!$H39,F39)</f>
        <v>19551416</v>
      </c>
    </row>
    <row r="40" spans="1:9" ht="14.1" customHeight="1">
      <c r="A40" s="26" t="s">
        <v>266</v>
      </c>
      <c r="B40" s="27">
        <v>2498798</v>
      </c>
      <c r="C40" s="79">
        <f t="shared" si="0"/>
        <v>2.680663313438965</v>
      </c>
      <c r="D40" s="27">
        <v>927522</v>
      </c>
      <c r="E40" s="79">
        <f t="shared" si="1"/>
        <v>0.99502808862802672</v>
      </c>
      <c r="F40" s="27">
        <f>SUM('- 43 -'!$B40,'- 43 -'!$D40,'- 43 -'!$F40,'- 43 -'!$H40,B40,D40)</f>
        <v>36147298</v>
      </c>
      <c r="G40" s="79">
        <f t="shared" si="2"/>
        <v>38.778138780543955</v>
      </c>
      <c r="I40" s="27">
        <f>SUM('- 42 -'!$H40,F40)</f>
        <v>93215660</v>
      </c>
    </row>
    <row r="41" spans="1:9" ht="14.1" customHeight="1">
      <c r="A41" s="330" t="s">
        <v>267</v>
      </c>
      <c r="B41" s="331">
        <v>83100</v>
      </c>
      <c r="C41" s="337">
        <f t="shared" si="0"/>
        <v>0.14158901931662699</v>
      </c>
      <c r="D41" s="331">
        <v>274295</v>
      </c>
      <c r="E41" s="337">
        <f t="shared" si="1"/>
        <v>0.46735451327863059</v>
      </c>
      <c r="F41" s="331">
        <f>SUM('- 43 -'!$B41,'- 43 -'!$D41,'- 43 -'!$F41,'- 43 -'!$H41,B41,D41)</f>
        <v>21529649</v>
      </c>
      <c r="G41" s="337">
        <f t="shared" si="2"/>
        <v>36.683055212288792</v>
      </c>
      <c r="I41" s="331">
        <f>SUM('- 42 -'!$H41,F41)</f>
        <v>58690992</v>
      </c>
    </row>
    <row r="42" spans="1:9" ht="14.1" customHeight="1">
      <c r="A42" s="26" t="s">
        <v>268</v>
      </c>
      <c r="B42" s="27">
        <v>220075</v>
      </c>
      <c r="C42" s="79">
        <f t="shared" si="0"/>
        <v>1.0989985592544618</v>
      </c>
      <c r="D42" s="27">
        <v>141466</v>
      </c>
      <c r="E42" s="79">
        <f t="shared" si="1"/>
        <v>0.70644521269336225</v>
      </c>
      <c r="F42" s="27">
        <f>SUM('- 43 -'!$B42,'- 43 -'!$D42,'- 43 -'!$F42,'- 43 -'!$H42,B42,D42)</f>
        <v>5362199</v>
      </c>
      <c r="G42" s="79">
        <f t="shared" si="2"/>
        <v>26.777457573262371</v>
      </c>
      <c r="I42" s="27">
        <f>SUM('- 42 -'!$H42,F42)</f>
        <v>20025049</v>
      </c>
    </row>
    <row r="43" spans="1:9" ht="14.1" customHeight="1">
      <c r="A43" s="330" t="s">
        <v>269</v>
      </c>
      <c r="B43" s="331">
        <v>32792</v>
      </c>
      <c r="C43" s="337">
        <f t="shared" si="0"/>
        <v>0.27828840410952338</v>
      </c>
      <c r="D43" s="331">
        <v>42220</v>
      </c>
      <c r="E43" s="337">
        <f t="shared" si="1"/>
        <v>0.35829886623274199</v>
      </c>
      <c r="F43" s="331">
        <f>SUM('- 43 -'!$B43,'- 43 -'!$D43,'- 43 -'!$F43,'- 43 -'!$H43,B43,D43)</f>
        <v>4206878</v>
      </c>
      <c r="G43" s="337">
        <f t="shared" si="2"/>
        <v>35.701554187102445</v>
      </c>
      <c r="I43" s="331">
        <f>SUM('- 42 -'!$H43,F43)</f>
        <v>11783459</v>
      </c>
    </row>
    <row r="44" spans="1:9" ht="14.1" customHeight="1">
      <c r="A44" s="26" t="s">
        <v>270</v>
      </c>
      <c r="B44" s="27">
        <v>11774</v>
      </c>
      <c r="C44" s="79">
        <f t="shared" si="0"/>
        <v>0.11512389018232967</v>
      </c>
      <c r="D44" s="27">
        <v>9608</v>
      </c>
      <c r="E44" s="79">
        <f t="shared" si="1"/>
        <v>9.3945161956159637E-2</v>
      </c>
      <c r="F44" s="27">
        <f>SUM('- 43 -'!$B44,'- 43 -'!$D44,'- 43 -'!$F44,'- 43 -'!$H44,B44,D44)</f>
        <v>2257302</v>
      </c>
      <c r="G44" s="79">
        <f t="shared" si="2"/>
        <v>22.071461487714725</v>
      </c>
      <c r="I44" s="27">
        <f>SUM('- 42 -'!$H44,F44)</f>
        <v>10227243</v>
      </c>
    </row>
    <row r="45" spans="1:9" ht="14.1" customHeight="1">
      <c r="A45" s="330" t="s">
        <v>271</v>
      </c>
      <c r="B45" s="331">
        <v>311472</v>
      </c>
      <c r="C45" s="337">
        <f t="shared" si="0"/>
        <v>1.934851453412167</v>
      </c>
      <c r="D45" s="331">
        <v>24734</v>
      </c>
      <c r="E45" s="337">
        <f t="shared" si="1"/>
        <v>0.15364660659287688</v>
      </c>
      <c r="F45" s="331">
        <f>SUM('- 43 -'!$B45,'- 43 -'!$D45,'- 43 -'!$F45,'- 43 -'!$H45,B45,D45)</f>
        <v>5188032</v>
      </c>
      <c r="G45" s="337">
        <f t="shared" si="2"/>
        <v>32.227844735799152</v>
      </c>
      <c r="I45" s="331">
        <f>SUM('- 42 -'!$H45,F45)</f>
        <v>16097980</v>
      </c>
    </row>
    <row r="46" spans="1:9" ht="14.1" customHeight="1">
      <c r="A46" s="26" t="s">
        <v>272</v>
      </c>
      <c r="B46" s="27">
        <v>796414</v>
      </c>
      <c r="C46" s="79">
        <f t="shared" si="0"/>
        <v>0.23149430867701457</v>
      </c>
      <c r="D46" s="27">
        <v>630370</v>
      </c>
      <c r="E46" s="79">
        <f t="shared" si="1"/>
        <v>0.18323016340839021</v>
      </c>
      <c r="F46" s="27">
        <f>SUM('- 43 -'!$B46,'- 43 -'!$D46,'- 43 -'!$F46,'- 43 -'!$H46,B46,D46)</f>
        <v>112043376</v>
      </c>
      <c r="G46" s="79">
        <f t="shared" si="2"/>
        <v>32.567739729536157</v>
      </c>
      <c r="I46" s="27">
        <f>SUM('- 42 -'!$H46,F46)</f>
        <v>344031784</v>
      </c>
    </row>
    <row r="47" spans="1:9" ht="5.0999999999999996" customHeight="1">
      <c r="A47" s="28"/>
      <c r="B47" s="29"/>
      <c r="C47"/>
      <c r="D47" s="29"/>
      <c r="E47"/>
      <c r="F47" s="29"/>
      <c r="G47"/>
      <c r="I47" s="29"/>
    </row>
    <row r="48" spans="1:9" ht="14.1" customHeight="1">
      <c r="A48" s="332" t="s">
        <v>273</v>
      </c>
      <c r="B48" s="333">
        <f>SUM(B11:B46)</f>
        <v>21763851</v>
      </c>
      <c r="C48" s="340">
        <f>B48/I48*100</f>
        <v>1.0906188967562263</v>
      </c>
      <c r="D48" s="333">
        <f>SUM(D11:D46)</f>
        <v>6358420</v>
      </c>
      <c r="E48" s="340">
        <f>D48/I48*100</f>
        <v>0.31862986957192102</v>
      </c>
      <c r="F48" s="333">
        <f>SUM(F11:F46)</f>
        <v>677090541</v>
      </c>
      <c r="G48" s="340">
        <f>F48/I48*100</f>
        <v>33.930012608039647</v>
      </c>
      <c r="I48" s="333">
        <f>SUM(I11:I46)</f>
        <v>1995550514</v>
      </c>
    </row>
    <row r="49" spans="1:9" ht="5.0999999999999996" customHeight="1">
      <c r="A49" s="28" t="s">
        <v>18</v>
      </c>
      <c r="B49" s="29"/>
      <c r="C49"/>
      <c r="D49" s="29"/>
      <c r="E49"/>
      <c r="F49" s="29"/>
      <c r="G49"/>
      <c r="I49" s="29"/>
    </row>
    <row r="50" spans="1:9" ht="14.1" customHeight="1">
      <c r="A50" s="26" t="s">
        <v>274</v>
      </c>
      <c r="B50" s="27">
        <v>0</v>
      </c>
      <c r="C50" s="79">
        <f>B50/I50*100</f>
        <v>0</v>
      </c>
      <c r="D50" s="27">
        <v>4357</v>
      </c>
      <c r="E50" s="79">
        <f>D50/I50*100</f>
        <v>0.13869422427846057</v>
      </c>
      <c r="F50" s="27">
        <f>SUM('- 43 -'!$B50,'- 43 -'!$D50,'- 43 -'!$F50,'- 43 -'!$H50,B50,D50)</f>
        <v>1759402</v>
      </c>
      <c r="G50" s="79">
        <f>F50/I50*100</f>
        <v>56.006172959369302</v>
      </c>
      <c r="I50" s="27">
        <f>SUM('- 42 -'!$H50,F50)</f>
        <v>3141443</v>
      </c>
    </row>
    <row r="51" spans="1:9" ht="14.1" customHeight="1">
      <c r="A51" s="330" t="s">
        <v>275</v>
      </c>
      <c r="B51" s="331">
        <v>3917671</v>
      </c>
      <c r="C51" s="337">
        <f>B51/I51*100</f>
        <v>32.756008280825675</v>
      </c>
      <c r="D51" s="331">
        <v>152108</v>
      </c>
      <c r="E51" s="337">
        <f>D51/I51*100</f>
        <v>1.2717890061671415</v>
      </c>
      <c r="F51" s="331">
        <f>SUM('- 43 -'!$B51,'- 43 -'!$D51,'- 43 -'!$F51,'- 43 -'!$H51,B51,D51)</f>
        <v>5571678</v>
      </c>
      <c r="G51" s="337">
        <f>F51/I51*100</f>
        <v>46.585313239956655</v>
      </c>
      <c r="I51" s="331">
        <f>SUM('- 42 -'!$H51,F51)</f>
        <v>11960160</v>
      </c>
    </row>
    <row r="52" spans="1:9" ht="50.1" customHeight="1"/>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sheetPr codeName="Sheet3">
    <pageSetUpPr fitToPage="1"/>
  </sheetPr>
  <dimension ref="A1:H54"/>
  <sheetViews>
    <sheetView showGridLines="0" showZeros="0" workbookViewId="0"/>
  </sheetViews>
  <sheetFormatPr defaultColWidth="12.83203125" defaultRowHeight="12"/>
  <cols>
    <col min="1" max="1" width="29.83203125" style="1" customWidth="1"/>
    <col min="2" max="8" width="14.83203125" style="1" customWidth="1"/>
    <col min="9" max="16384" width="12.83203125" style="1"/>
  </cols>
  <sheetData>
    <row r="1" spans="1:8" ht="6.95" customHeight="1">
      <c r="A1" s="6"/>
      <c r="B1" s="100"/>
      <c r="C1" s="100"/>
      <c r="D1" s="100"/>
      <c r="E1" s="100"/>
      <c r="F1" s="100"/>
      <c r="G1" s="100"/>
      <c r="H1" s="100"/>
    </row>
    <row r="2" spans="1:8" ht="15.95" customHeight="1">
      <c r="A2" s="71"/>
      <c r="B2" s="101" t="s">
        <v>178</v>
      </c>
      <c r="C2" s="102"/>
      <c r="D2" s="102"/>
      <c r="E2" s="102"/>
      <c r="F2" s="102"/>
      <c r="G2" s="102"/>
      <c r="H2" s="103" t="s">
        <v>179</v>
      </c>
    </row>
    <row r="3" spans="1:8" ht="15.95" customHeight="1">
      <c r="A3" s="73"/>
      <c r="B3" s="104" t="str">
        <f>"ACTUAL SEPTEMBER 30, "&amp;FALLYR</f>
        <v>ACTUAL SEPTEMBER 30, 2011</v>
      </c>
      <c r="C3" s="105"/>
      <c r="D3" s="106"/>
      <c r="E3" s="105"/>
      <c r="F3" s="106"/>
      <c r="G3" s="105"/>
      <c r="H3" s="107"/>
    </row>
    <row r="4" spans="1:8" ht="15.95" customHeight="1">
      <c r="B4" s="100"/>
      <c r="C4" s="100"/>
      <c r="D4" s="100"/>
      <c r="E4" s="100"/>
      <c r="F4" s="100"/>
      <c r="G4" s="108"/>
      <c r="H4" s="100"/>
    </row>
    <row r="5" spans="1:8" ht="15.95" customHeight="1">
      <c r="B5" s="100"/>
      <c r="C5" s="100"/>
      <c r="D5" s="100"/>
      <c r="E5" s="100"/>
      <c r="F5" s="100"/>
      <c r="G5" s="100"/>
      <c r="H5" s="100"/>
    </row>
    <row r="6" spans="1:8" ht="15.95" customHeight="1">
      <c r="B6" s="334" t="s">
        <v>63</v>
      </c>
      <c r="C6" s="335"/>
      <c r="D6" s="335"/>
      <c r="E6" s="335"/>
      <c r="F6" s="335"/>
      <c r="G6" s="335"/>
      <c r="H6" s="336"/>
    </row>
    <row r="7" spans="1:8" ht="15.95" customHeight="1">
      <c r="B7" s="109" t="s">
        <v>397</v>
      </c>
      <c r="C7" s="110"/>
      <c r="D7" s="110"/>
      <c r="E7" s="111" t="s">
        <v>398</v>
      </c>
      <c r="F7" s="110"/>
      <c r="G7" s="110"/>
      <c r="H7" s="112"/>
    </row>
    <row r="8" spans="1:8" ht="15.95" customHeight="1">
      <c r="A8" s="113"/>
      <c r="B8" s="114" t="s">
        <v>83</v>
      </c>
      <c r="C8" s="115" t="s">
        <v>18</v>
      </c>
      <c r="D8" s="116" t="s">
        <v>84</v>
      </c>
      <c r="E8" s="117" t="s">
        <v>83</v>
      </c>
      <c r="F8" s="115" t="s">
        <v>18</v>
      </c>
      <c r="G8" s="116" t="s">
        <v>84</v>
      </c>
      <c r="H8" s="118" t="s">
        <v>59</v>
      </c>
    </row>
    <row r="9" spans="1:8" ht="15.95" customHeight="1">
      <c r="A9" s="119" t="s">
        <v>95</v>
      </c>
      <c r="B9" s="120" t="s">
        <v>99</v>
      </c>
      <c r="C9" s="121" t="s">
        <v>47</v>
      </c>
      <c r="D9" s="121" t="s">
        <v>100</v>
      </c>
      <c r="E9" s="122" t="s">
        <v>99</v>
      </c>
      <c r="F9" s="121" t="s">
        <v>47</v>
      </c>
      <c r="G9" s="121" t="s">
        <v>100</v>
      </c>
      <c r="H9" s="123" t="s">
        <v>101</v>
      </c>
    </row>
    <row r="10" spans="1:8" ht="5.0999999999999996" customHeight="1">
      <c r="A10" s="5"/>
      <c r="B10" s="96"/>
      <c r="C10" s="96"/>
      <c r="D10" s="96"/>
      <c r="E10" s="96"/>
      <c r="F10" s="96"/>
      <c r="G10" s="96"/>
      <c r="H10" s="96"/>
    </row>
    <row r="11" spans="1:8" ht="14.1" customHeight="1">
      <c r="A11" s="330" t="s">
        <v>238</v>
      </c>
      <c r="B11" s="337">
        <v>1432.5</v>
      </c>
      <c r="C11" s="337">
        <v>0</v>
      </c>
      <c r="D11" s="338">
        <v>0</v>
      </c>
      <c r="E11" s="339">
        <v>0</v>
      </c>
      <c r="F11" s="337">
        <v>0</v>
      </c>
      <c r="G11" s="337">
        <v>0</v>
      </c>
      <c r="H11" s="337">
        <v>0</v>
      </c>
    </row>
    <row r="12" spans="1:8" ht="14.1" customHeight="1">
      <c r="A12" s="26" t="s">
        <v>239</v>
      </c>
      <c r="B12" s="79">
        <v>2183.89</v>
      </c>
      <c r="C12" s="79">
        <v>0</v>
      </c>
      <c r="D12" s="124">
        <v>0</v>
      </c>
      <c r="E12" s="125">
        <v>0</v>
      </c>
      <c r="F12" s="79">
        <v>0</v>
      </c>
      <c r="G12" s="79">
        <v>0</v>
      </c>
      <c r="H12" s="79">
        <v>0</v>
      </c>
    </row>
    <row r="13" spans="1:8" ht="14.1" customHeight="1">
      <c r="A13" s="330" t="s">
        <v>240</v>
      </c>
      <c r="B13" s="337">
        <v>5505</v>
      </c>
      <c r="C13" s="337">
        <v>0</v>
      </c>
      <c r="D13" s="338">
        <v>317</v>
      </c>
      <c r="E13" s="339">
        <v>1061</v>
      </c>
      <c r="F13" s="337">
        <v>0</v>
      </c>
      <c r="G13" s="337">
        <v>320</v>
      </c>
      <c r="H13" s="337">
        <v>0</v>
      </c>
    </row>
    <row r="14" spans="1:8" ht="14.1" customHeight="1">
      <c r="A14" s="26" t="s">
        <v>653</v>
      </c>
      <c r="B14" s="79">
        <v>0</v>
      </c>
      <c r="C14" s="79">
        <v>4952</v>
      </c>
      <c r="D14" s="124">
        <v>0</v>
      </c>
      <c r="E14" s="125">
        <v>0</v>
      </c>
      <c r="F14" s="79">
        <v>0</v>
      </c>
      <c r="G14" s="79">
        <v>0</v>
      </c>
      <c r="H14" s="79">
        <v>0</v>
      </c>
    </row>
    <row r="15" spans="1:8" ht="14.1" customHeight="1">
      <c r="A15" s="330" t="s">
        <v>241</v>
      </c>
      <c r="B15" s="337">
        <v>1513</v>
      </c>
      <c r="C15" s="337">
        <v>0</v>
      </c>
      <c r="D15" s="338">
        <v>0</v>
      </c>
      <c r="E15" s="339">
        <v>0</v>
      </c>
      <c r="F15" s="337">
        <v>0</v>
      </c>
      <c r="G15" s="337">
        <v>0</v>
      </c>
      <c r="H15" s="337">
        <v>0</v>
      </c>
    </row>
    <row r="16" spans="1:8" ht="14.1" customHeight="1">
      <c r="A16" s="26" t="s">
        <v>242</v>
      </c>
      <c r="B16" s="79">
        <v>593</v>
      </c>
      <c r="C16" s="79">
        <v>0</v>
      </c>
      <c r="D16" s="124">
        <v>0</v>
      </c>
      <c r="E16" s="125">
        <v>286</v>
      </c>
      <c r="F16" s="79">
        <v>0</v>
      </c>
      <c r="G16" s="79">
        <v>99.5</v>
      </c>
      <c r="H16" s="79">
        <v>0</v>
      </c>
    </row>
    <row r="17" spans="1:8" ht="14.1" customHeight="1">
      <c r="A17" s="330" t="s">
        <v>243</v>
      </c>
      <c r="B17" s="337">
        <v>1287.5999999999999</v>
      </c>
      <c r="C17" s="337">
        <v>0</v>
      </c>
      <c r="D17" s="338">
        <v>0</v>
      </c>
      <c r="E17" s="339">
        <v>0</v>
      </c>
      <c r="F17" s="337">
        <v>0</v>
      </c>
      <c r="G17" s="337">
        <v>0</v>
      </c>
      <c r="H17" s="337">
        <v>0</v>
      </c>
    </row>
    <row r="18" spans="1:8" ht="14.1" customHeight="1">
      <c r="A18" s="26" t="s">
        <v>244</v>
      </c>
      <c r="B18" s="79">
        <v>5780.1</v>
      </c>
      <c r="C18" s="79">
        <v>0</v>
      </c>
      <c r="D18" s="124">
        <v>0</v>
      </c>
      <c r="E18" s="125">
        <v>0</v>
      </c>
      <c r="F18" s="79">
        <v>0</v>
      </c>
      <c r="G18" s="79">
        <v>0</v>
      </c>
      <c r="H18" s="79">
        <v>0</v>
      </c>
    </row>
    <row r="19" spans="1:8" ht="14.1" customHeight="1">
      <c r="A19" s="330" t="s">
        <v>245</v>
      </c>
      <c r="B19" s="337">
        <v>4032.2</v>
      </c>
      <c r="C19" s="337">
        <v>0</v>
      </c>
      <c r="D19" s="338">
        <v>0</v>
      </c>
      <c r="E19" s="339">
        <v>0</v>
      </c>
      <c r="F19" s="337">
        <v>0</v>
      </c>
      <c r="G19" s="337">
        <v>0</v>
      </c>
      <c r="H19" s="337">
        <v>0</v>
      </c>
    </row>
    <row r="20" spans="1:8" ht="14.1" customHeight="1">
      <c r="A20" s="26" t="s">
        <v>246</v>
      </c>
      <c r="B20" s="79">
        <v>6896</v>
      </c>
      <c r="C20" s="79">
        <v>0</v>
      </c>
      <c r="D20" s="124">
        <v>0</v>
      </c>
      <c r="E20" s="125">
        <v>0</v>
      </c>
      <c r="F20" s="79">
        <v>0</v>
      </c>
      <c r="G20" s="79">
        <v>0</v>
      </c>
      <c r="H20" s="79">
        <v>0</v>
      </c>
    </row>
    <row r="21" spans="1:8" ht="14.1" customHeight="1">
      <c r="A21" s="330" t="s">
        <v>247</v>
      </c>
      <c r="B21" s="337">
        <v>2529</v>
      </c>
      <c r="C21" s="337">
        <v>0</v>
      </c>
      <c r="D21" s="338">
        <v>0</v>
      </c>
      <c r="E21" s="339">
        <v>235.5</v>
      </c>
      <c r="F21" s="337">
        <v>0</v>
      </c>
      <c r="G21" s="337">
        <v>78.5</v>
      </c>
      <c r="H21" s="337">
        <v>0</v>
      </c>
    </row>
    <row r="22" spans="1:8" ht="14.1" customHeight="1">
      <c r="A22" s="26" t="s">
        <v>248</v>
      </c>
      <c r="B22" s="79">
        <v>891.2</v>
      </c>
      <c r="C22" s="79">
        <v>0</v>
      </c>
      <c r="D22" s="124">
        <v>0</v>
      </c>
      <c r="E22" s="125">
        <v>513.5</v>
      </c>
      <c r="F22" s="79">
        <v>0</v>
      </c>
      <c r="G22" s="79">
        <v>160.5</v>
      </c>
      <c r="H22" s="79">
        <v>0</v>
      </c>
    </row>
    <row r="23" spans="1:8" ht="14.1" customHeight="1">
      <c r="A23" s="330" t="s">
        <v>249</v>
      </c>
      <c r="B23" s="337">
        <v>1171.5</v>
      </c>
      <c r="C23" s="337">
        <v>0</v>
      </c>
      <c r="D23" s="338">
        <v>0</v>
      </c>
      <c r="E23" s="339">
        <v>0</v>
      </c>
      <c r="F23" s="337">
        <v>0</v>
      </c>
      <c r="G23" s="337">
        <v>0</v>
      </c>
      <c r="H23" s="337">
        <v>0</v>
      </c>
    </row>
    <row r="24" spans="1:8" ht="14.1" customHeight="1">
      <c r="A24" s="26" t="s">
        <v>250</v>
      </c>
      <c r="B24" s="79">
        <v>3024.5</v>
      </c>
      <c r="C24" s="79">
        <v>0</v>
      </c>
      <c r="D24" s="124">
        <v>264.5</v>
      </c>
      <c r="E24" s="125">
        <v>531.5</v>
      </c>
      <c r="F24" s="79">
        <v>0</v>
      </c>
      <c r="G24" s="79">
        <v>87</v>
      </c>
      <c r="H24" s="79">
        <v>66</v>
      </c>
    </row>
    <row r="25" spans="1:8" ht="14.1" customHeight="1">
      <c r="A25" s="330" t="s">
        <v>251</v>
      </c>
      <c r="B25" s="337">
        <v>9818.5</v>
      </c>
      <c r="C25" s="337">
        <v>0</v>
      </c>
      <c r="D25" s="338">
        <v>3686.5</v>
      </c>
      <c r="E25" s="339">
        <v>0</v>
      </c>
      <c r="F25" s="337">
        <v>35</v>
      </c>
      <c r="G25" s="337">
        <v>122</v>
      </c>
      <c r="H25" s="337">
        <v>0</v>
      </c>
    </row>
    <row r="26" spans="1:8" ht="14.1" customHeight="1">
      <c r="A26" s="26" t="s">
        <v>252</v>
      </c>
      <c r="B26" s="79">
        <v>2387.1999999999998</v>
      </c>
      <c r="C26" s="79">
        <v>0</v>
      </c>
      <c r="D26" s="124">
        <v>179.5</v>
      </c>
      <c r="E26" s="125">
        <v>250</v>
      </c>
      <c r="F26" s="79">
        <v>0</v>
      </c>
      <c r="G26" s="79">
        <v>35</v>
      </c>
      <c r="H26" s="79">
        <v>74.5</v>
      </c>
    </row>
    <row r="27" spans="1:8" ht="14.1" customHeight="1">
      <c r="A27" s="330" t="s">
        <v>253</v>
      </c>
      <c r="B27" s="337">
        <v>2281.3000000000002</v>
      </c>
      <c r="C27" s="337">
        <v>0</v>
      </c>
      <c r="D27" s="338">
        <v>0</v>
      </c>
      <c r="E27" s="339">
        <v>89.5</v>
      </c>
      <c r="F27" s="337">
        <v>0</v>
      </c>
      <c r="G27" s="337">
        <v>215.5</v>
      </c>
      <c r="H27" s="337">
        <v>0</v>
      </c>
    </row>
    <row r="28" spans="1:8" ht="14.1" customHeight="1">
      <c r="A28" s="26" t="s">
        <v>254</v>
      </c>
      <c r="B28" s="79">
        <v>2003</v>
      </c>
      <c r="C28" s="79">
        <v>0</v>
      </c>
      <c r="D28" s="124">
        <v>0</v>
      </c>
      <c r="E28" s="125">
        <v>0</v>
      </c>
      <c r="F28" s="79">
        <v>0</v>
      </c>
      <c r="G28" s="79">
        <v>0</v>
      </c>
      <c r="H28" s="79">
        <v>0</v>
      </c>
    </row>
    <row r="29" spans="1:8" ht="14.1" customHeight="1">
      <c r="A29" s="330" t="s">
        <v>255</v>
      </c>
      <c r="B29" s="337">
        <v>7435.5</v>
      </c>
      <c r="C29" s="337">
        <v>0</v>
      </c>
      <c r="D29" s="338">
        <v>1310</v>
      </c>
      <c r="E29" s="339">
        <v>2427.9</v>
      </c>
      <c r="F29" s="337">
        <v>0</v>
      </c>
      <c r="G29" s="337">
        <v>1011</v>
      </c>
      <c r="H29" s="337">
        <v>0</v>
      </c>
    </row>
    <row r="30" spans="1:8" ht="14.1" customHeight="1">
      <c r="A30" s="26" t="s">
        <v>256</v>
      </c>
      <c r="B30" s="79">
        <v>1098</v>
      </c>
      <c r="C30" s="79">
        <v>0</v>
      </c>
      <c r="D30" s="124">
        <v>0</v>
      </c>
      <c r="E30" s="125">
        <v>0</v>
      </c>
      <c r="F30" s="79">
        <v>0</v>
      </c>
      <c r="G30" s="79">
        <v>0</v>
      </c>
      <c r="H30" s="79">
        <v>0</v>
      </c>
    </row>
    <row r="31" spans="1:8" ht="14.1" customHeight="1">
      <c r="A31" s="330" t="s">
        <v>257</v>
      </c>
      <c r="B31" s="337">
        <v>2393.5</v>
      </c>
      <c r="C31" s="337">
        <v>0</v>
      </c>
      <c r="D31" s="338">
        <v>0</v>
      </c>
      <c r="E31" s="339">
        <v>479.5</v>
      </c>
      <c r="F31" s="337">
        <v>0</v>
      </c>
      <c r="G31" s="337">
        <v>217.5</v>
      </c>
      <c r="H31" s="337">
        <v>0</v>
      </c>
    </row>
    <row r="32" spans="1:8" ht="14.1" customHeight="1">
      <c r="A32" s="26" t="s">
        <v>258</v>
      </c>
      <c r="B32" s="79">
        <v>1745.7</v>
      </c>
      <c r="C32" s="79">
        <v>0</v>
      </c>
      <c r="D32" s="124">
        <v>82.5</v>
      </c>
      <c r="E32" s="125">
        <v>152</v>
      </c>
      <c r="F32" s="79">
        <v>0</v>
      </c>
      <c r="G32" s="79">
        <v>34.9</v>
      </c>
      <c r="H32" s="79">
        <v>0</v>
      </c>
    </row>
    <row r="33" spans="1:8" ht="14.1" customHeight="1">
      <c r="A33" s="330" t="s">
        <v>259</v>
      </c>
      <c r="B33" s="337">
        <v>1660.4</v>
      </c>
      <c r="C33" s="337">
        <v>0</v>
      </c>
      <c r="D33" s="338">
        <v>0</v>
      </c>
      <c r="E33" s="339">
        <v>118.5</v>
      </c>
      <c r="F33" s="337">
        <v>124</v>
      </c>
      <c r="G33" s="337">
        <v>66.5</v>
      </c>
      <c r="H33" s="337">
        <v>0</v>
      </c>
    </row>
    <row r="34" spans="1:8" ht="14.1" customHeight="1">
      <c r="A34" s="26" t="s">
        <v>260</v>
      </c>
      <c r="B34" s="79">
        <v>1655.1</v>
      </c>
      <c r="C34" s="79">
        <v>0</v>
      </c>
      <c r="D34" s="124">
        <v>182.5</v>
      </c>
      <c r="E34" s="125">
        <v>55</v>
      </c>
      <c r="F34" s="79">
        <v>82.5</v>
      </c>
      <c r="G34" s="79">
        <v>0</v>
      </c>
      <c r="H34" s="79">
        <v>0</v>
      </c>
    </row>
    <row r="35" spans="1:8" ht="14.1" customHeight="1">
      <c r="A35" s="330" t="s">
        <v>261</v>
      </c>
      <c r="B35" s="337">
        <v>9273</v>
      </c>
      <c r="C35" s="337">
        <v>0</v>
      </c>
      <c r="D35" s="338">
        <v>1115</v>
      </c>
      <c r="E35" s="339">
        <v>2876.5</v>
      </c>
      <c r="F35" s="337">
        <v>0</v>
      </c>
      <c r="G35" s="337">
        <v>1544.5</v>
      </c>
      <c r="H35" s="337">
        <v>458.5</v>
      </c>
    </row>
    <row r="36" spans="1:8" ht="14.1" customHeight="1">
      <c r="A36" s="26" t="s">
        <v>262</v>
      </c>
      <c r="B36" s="79">
        <v>1659.6</v>
      </c>
      <c r="C36" s="79">
        <v>0</v>
      </c>
      <c r="D36" s="124">
        <v>0</v>
      </c>
      <c r="E36" s="125">
        <v>0</v>
      </c>
      <c r="F36" s="79">
        <v>0</v>
      </c>
      <c r="G36" s="79">
        <v>0</v>
      </c>
      <c r="H36" s="79">
        <v>0</v>
      </c>
    </row>
    <row r="37" spans="1:8" ht="14.1" customHeight="1">
      <c r="A37" s="330" t="s">
        <v>263</v>
      </c>
      <c r="B37" s="337">
        <v>1834</v>
      </c>
      <c r="C37" s="337">
        <v>0</v>
      </c>
      <c r="D37" s="338">
        <v>663</v>
      </c>
      <c r="E37" s="339">
        <v>746.5</v>
      </c>
      <c r="F37" s="337">
        <v>0</v>
      </c>
      <c r="G37" s="337">
        <v>434</v>
      </c>
      <c r="H37" s="337">
        <v>0</v>
      </c>
    </row>
    <row r="38" spans="1:8" ht="14.1" customHeight="1">
      <c r="A38" s="26" t="s">
        <v>264</v>
      </c>
      <c r="B38" s="79">
        <v>5566.5</v>
      </c>
      <c r="C38" s="79">
        <v>0</v>
      </c>
      <c r="D38" s="124">
        <v>250</v>
      </c>
      <c r="E38" s="125">
        <v>3062</v>
      </c>
      <c r="F38" s="79">
        <v>0</v>
      </c>
      <c r="G38" s="79">
        <v>1016</v>
      </c>
      <c r="H38" s="79">
        <v>132.5</v>
      </c>
    </row>
    <row r="39" spans="1:8" ht="14.1" customHeight="1">
      <c r="A39" s="330" t="s">
        <v>265</v>
      </c>
      <c r="B39" s="337">
        <v>1546.1</v>
      </c>
      <c r="C39" s="337">
        <v>0</v>
      </c>
      <c r="D39" s="338">
        <v>0</v>
      </c>
      <c r="E39" s="339">
        <v>0</v>
      </c>
      <c r="F39" s="337">
        <v>0</v>
      </c>
      <c r="G39" s="337">
        <v>0</v>
      </c>
      <c r="H39" s="337">
        <v>0</v>
      </c>
    </row>
    <row r="40" spans="1:8" ht="14.1" customHeight="1">
      <c r="A40" s="26" t="s">
        <v>266</v>
      </c>
      <c r="B40" s="79">
        <v>5643.7</v>
      </c>
      <c r="C40" s="79">
        <v>0</v>
      </c>
      <c r="D40" s="124">
        <v>671.45</v>
      </c>
      <c r="E40" s="125">
        <v>913.15</v>
      </c>
      <c r="F40" s="79">
        <v>0</v>
      </c>
      <c r="G40" s="79">
        <v>587.6</v>
      </c>
      <c r="H40" s="79">
        <v>0</v>
      </c>
    </row>
    <row r="41" spans="1:8" ht="14.1" customHeight="1">
      <c r="A41" s="330" t="s">
        <v>267</v>
      </c>
      <c r="B41" s="337">
        <v>2795</v>
      </c>
      <c r="C41" s="337">
        <v>0</v>
      </c>
      <c r="D41" s="338">
        <v>0</v>
      </c>
      <c r="E41" s="339">
        <v>1081.5</v>
      </c>
      <c r="F41" s="337">
        <v>0</v>
      </c>
      <c r="G41" s="337">
        <v>605</v>
      </c>
      <c r="H41" s="337">
        <v>66</v>
      </c>
    </row>
    <row r="42" spans="1:8" ht="14.1" customHeight="1">
      <c r="A42" s="26" t="s">
        <v>268</v>
      </c>
      <c r="B42" s="79">
        <v>1083.0999999999999</v>
      </c>
      <c r="C42" s="79">
        <v>0</v>
      </c>
      <c r="D42" s="124">
        <v>0</v>
      </c>
      <c r="E42" s="125">
        <v>174</v>
      </c>
      <c r="F42" s="79">
        <v>0</v>
      </c>
      <c r="G42" s="79">
        <v>70</v>
      </c>
      <c r="H42" s="79">
        <v>0</v>
      </c>
    </row>
    <row r="43" spans="1:8" ht="14.1" customHeight="1">
      <c r="A43" s="330" t="s">
        <v>269</v>
      </c>
      <c r="B43" s="337">
        <v>960.2</v>
      </c>
      <c r="C43" s="337">
        <v>0</v>
      </c>
      <c r="D43" s="338">
        <v>0</v>
      </c>
      <c r="E43" s="339">
        <v>0</v>
      </c>
      <c r="F43" s="337">
        <v>0</v>
      </c>
      <c r="G43" s="337">
        <v>0</v>
      </c>
      <c r="H43" s="337">
        <v>0</v>
      </c>
    </row>
    <row r="44" spans="1:8" ht="14.1" customHeight="1">
      <c r="A44" s="26" t="s">
        <v>270</v>
      </c>
      <c r="B44" s="79">
        <v>676</v>
      </c>
      <c r="C44" s="79">
        <v>39.5</v>
      </c>
      <c r="D44" s="124">
        <v>0</v>
      </c>
      <c r="E44" s="125">
        <v>0</v>
      </c>
      <c r="F44" s="79">
        <v>0</v>
      </c>
      <c r="G44" s="79">
        <v>0</v>
      </c>
      <c r="H44" s="79">
        <v>0</v>
      </c>
    </row>
    <row r="45" spans="1:8" ht="14.1" customHeight="1">
      <c r="A45" s="330" t="s">
        <v>271</v>
      </c>
      <c r="B45" s="337">
        <v>755.5</v>
      </c>
      <c r="C45" s="337">
        <v>0</v>
      </c>
      <c r="D45" s="338">
        <v>0</v>
      </c>
      <c r="E45" s="339">
        <v>674</v>
      </c>
      <c r="F45" s="337">
        <v>0</v>
      </c>
      <c r="G45" s="337">
        <v>180.5</v>
      </c>
      <c r="H45" s="337">
        <v>0</v>
      </c>
    </row>
    <row r="46" spans="1:8" ht="14.1" customHeight="1">
      <c r="A46" s="26" t="s">
        <v>272</v>
      </c>
      <c r="B46" s="79">
        <v>23365.4</v>
      </c>
      <c r="C46" s="79">
        <v>0</v>
      </c>
      <c r="D46" s="124">
        <v>1068.5</v>
      </c>
      <c r="E46" s="125">
        <v>2871</v>
      </c>
      <c r="F46" s="79">
        <v>0</v>
      </c>
      <c r="G46" s="79">
        <v>2163.5</v>
      </c>
      <c r="H46" s="79">
        <v>178.5</v>
      </c>
    </row>
    <row r="47" spans="1:8" ht="5.0999999999999996" customHeight="1">
      <c r="A47" s="26"/>
      <c r="B47" s="79"/>
      <c r="C47" s="79"/>
      <c r="D47" s="124"/>
      <c r="E47" s="125"/>
      <c r="F47" s="79"/>
      <c r="G47" s="79"/>
      <c r="H47" s="79"/>
    </row>
    <row r="48" spans="1:8" ht="14.1" customHeight="1">
      <c r="A48" s="332" t="s">
        <v>273</v>
      </c>
      <c r="B48" s="340">
        <f t="shared" ref="B48:H48" si="0">SUM(B11:B46)</f>
        <v>124475.79000000001</v>
      </c>
      <c r="C48" s="340">
        <f t="shared" si="0"/>
        <v>4991.5</v>
      </c>
      <c r="D48" s="341">
        <f t="shared" si="0"/>
        <v>9790.4500000000007</v>
      </c>
      <c r="E48" s="342">
        <f t="shared" si="0"/>
        <v>18598.55</v>
      </c>
      <c r="F48" s="340">
        <f t="shared" si="0"/>
        <v>241.5</v>
      </c>
      <c r="G48" s="340">
        <f t="shared" si="0"/>
        <v>9049</v>
      </c>
      <c r="H48" s="340">
        <f t="shared" si="0"/>
        <v>976</v>
      </c>
    </row>
    <row r="49" spans="1:8" ht="5.0999999999999996" customHeight="1">
      <c r="A49" s="28" t="s">
        <v>18</v>
      </c>
      <c r="B49" s="80"/>
      <c r="C49" s="80"/>
      <c r="D49" s="80"/>
      <c r="E49" s="80"/>
      <c r="F49" s="80"/>
      <c r="G49" s="80"/>
      <c r="H49" s="80"/>
    </row>
    <row r="50" spans="1:8" ht="14.1" customHeight="1">
      <c r="A50" s="26" t="s">
        <v>274</v>
      </c>
      <c r="B50" s="79">
        <v>181</v>
      </c>
      <c r="C50" s="79">
        <v>0</v>
      </c>
      <c r="D50" s="124">
        <v>0</v>
      </c>
      <c r="E50" s="125">
        <v>0</v>
      </c>
      <c r="F50" s="79">
        <v>0</v>
      </c>
      <c r="G50" s="79">
        <v>0</v>
      </c>
      <c r="H50" s="79">
        <v>0</v>
      </c>
    </row>
    <row r="51" spans="1:8" ht="14.1" customHeight="1">
      <c r="A51" s="330" t="s">
        <v>275</v>
      </c>
      <c r="B51" s="337">
        <v>65.5</v>
      </c>
      <c r="C51" s="337">
        <v>0</v>
      </c>
      <c r="D51" s="338">
        <v>0</v>
      </c>
      <c r="E51" s="339">
        <v>0</v>
      </c>
      <c r="F51" s="337">
        <v>0</v>
      </c>
      <c r="G51" s="337">
        <v>0</v>
      </c>
      <c r="H51" s="337">
        <v>0</v>
      </c>
    </row>
    <row r="52" spans="1:8" ht="50.1" customHeight="1">
      <c r="A52" s="30"/>
      <c r="B52" s="126"/>
      <c r="C52" s="126"/>
      <c r="D52" s="126"/>
      <c r="E52" s="126"/>
      <c r="F52" s="126"/>
      <c r="G52" s="126"/>
      <c r="H52" s="126"/>
    </row>
    <row r="53" spans="1:8" ht="15" customHeight="1">
      <c r="A53" s="96" t="s">
        <v>613</v>
      </c>
      <c r="C53" s="96"/>
      <c r="D53" s="96"/>
      <c r="E53" s="96"/>
      <c r="F53" s="96"/>
      <c r="G53" s="96"/>
      <c r="H53" s="96"/>
    </row>
    <row r="54" spans="1:8" ht="12" customHeight="1">
      <c r="A54" s="96" t="s">
        <v>614</v>
      </c>
      <c r="C54" s="96"/>
      <c r="D54" s="96"/>
      <c r="E54" s="96"/>
      <c r="F54" s="96"/>
      <c r="G54" s="96"/>
      <c r="H54" s="96"/>
    </row>
  </sheetData>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sheetPr codeName="Sheet23"/>
  <dimension ref="A1:E58"/>
  <sheetViews>
    <sheetView showGridLines="0" showZeros="0" workbookViewId="0"/>
  </sheetViews>
  <sheetFormatPr defaultColWidth="15.83203125" defaultRowHeight="12"/>
  <cols>
    <col min="1" max="1" width="37.33203125" style="1" customWidth="1"/>
    <col min="2" max="2" width="23.6640625" style="1" customWidth="1"/>
    <col min="3" max="3" width="25.1640625" style="1" customWidth="1"/>
    <col min="4" max="4" width="22.6640625" style="1" customWidth="1"/>
    <col min="5" max="5" width="17.1640625" style="1" customWidth="1"/>
    <col min="6" max="16384" width="15.83203125" style="1"/>
  </cols>
  <sheetData>
    <row r="1" spans="1:5" ht="6.95" customHeight="1">
      <c r="A1" s="6"/>
    </row>
    <row r="2" spans="1:5" ht="14.1" customHeight="1">
      <c r="A2" s="71"/>
      <c r="B2" s="570" t="s">
        <v>356</v>
      </c>
      <c r="C2" s="237"/>
      <c r="D2" s="237"/>
      <c r="E2" s="238"/>
    </row>
    <row r="3" spans="1:5" ht="14.1" customHeight="1">
      <c r="A3" s="73"/>
      <c r="B3" s="30"/>
      <c r="C3" s="571" t="str">
        <f>"FOR THE YEAR ENDED JUNE 30, "&amp;SPRINGYR</f>
        <v>FOR THE YEAR ENDED JUNE 30, 2012</v>
      </c>
      <c r="D3" s="240"/>
      <c r="E3" s="241"/>
    </row>
    <row r="7" spans="1:5" ht="13.5">
      <c r="B7" s="358" t="s">
        <v>743</v>
      </c>
      <c r="C7" s="361"/>
      <c r="D7" s="361"/>
      <c r="E7" s="536" t="str">
        <f>"% OF "&amp;FALLYR&amp;"/"&amp;SPRINGYR</f>
        <v>% OF 2011/2012</v>
      </c>
    </row>
    <row r="8" spans="1:5">
      <c r="A8" s="75"/>
      <c r="B8" s="394"/>
      <c r="C8" s="439"/>
      <c r="D8" s="439"/>
      <c r="E8" s="510" t="s">
        <v>123</v>
      </c>
    </row>
    <row r="9" spans="1:5" ht="14.25">
      <c r="A9" s="42" t="s">
        <v>95</v>
      </c>
      <c r="B9" s="568" t="s">
        <v>731</v>
      </c>
      <c r="C9" s="568" t="s">
        <v>521</v>
      </c>
      <c r="D9" s="648" t="s">
        <v>69</v>
      </c>
      <c r="E9" s="535" t="s">
        <v>732</v>
      </c>
    </row>
    <row r="10" spans="1:5" ht="5.0999999999999996" customHeight="1">
      <c r="A10" s="5"/>
      <c r="B10" s="6"/>
      <c r="C10" s="6"/>
      <c r="D10" s="6"/>
      <c r="E10" s="6"/>
    </row>
    <row r="11" spans="1:5" ht="14.1" customHeight="1">
      <c r="A11" s="330" t="s">
        <v>238</v>
      </c>
      <c r="B11" s="331">
        <v>51026</v>
      </c>
      <c r="C11" s="331">
        <f>+D11-B11</f>
        <v>435583</v>
      </c>
      <c r="D11" s="331">
        <v>486609</v>
      </c>
      <c r="E11" s="337">
        <f>D11/'- 3 -'!$B11*100</f>
        <v>3.2244691999640849</v>
      </c>
    </row>
    <row r="12" spans="1:5" ht="14.1" customHeight="1">
      <c r="A12" s="26" t="s">
        <v>239</v>
      </c>
      <c r="B12" s="27">
        <v>1130616</v>
      </c>
      <c r="C12" s="27">
        <f t="shared" ref="C12:C46" si="0">+D12-B12</f>
        <v>-232138</v>
      </c>
      <c r="D12" s="27">
        <v>898478</v>
      </c>
      <c r="E12" s="79">
        <f>D12/'- 3 -'!$B12*100</f>
        <v>3.1055633979048256</v>
      </c>
    </row>
    <row r="13" spans="1:5" ht="14.1" customHeight="1">
      <c r="A13" s="330" t="s">
        <v>240</v>
      </c>
      <c r="B13" s="331">
        <v>946202</v>
      </c>
      <c r="C13" s="331">
        <f t="shared" si="0"/>
        <v>1837787</v>
      </c>
      <c r="D13" s="331">
        <v>2783989</v>
      </c>
      <c r="E13" s="337">
        <f>D13/'- 3 -'!$B13*100</f>
        <v>3.7824696891055778</v>
      </c>
    </row>
    <row r="14" spans="1:5" ht="14.1" customHeight="1">
      <c r="A14" s="26" t="s">
        <v>653</v>
      </c>
      <c r="B14" s="27">
        <v>378890</v>
      </c>
      <c r="C14" s="27">
        <f t="shared" si="0"/>
        <v>3533875</v>
      </c>
      <c r="D14" s="27">
        <v>3912765</v>
      </c>
      <c r="E14" s="79">
        <f>D14/'- 3 -'!$B14*100</f>
        <v>5.8579216133370648</v>
      </c>
    </row>
    <row r="15" spans="1:5" ht="14.1" customHeight="1">
      <c r="A15" s="330" t="s">
        <v>241</v>
      </c>
      <c r="B15" s="331">
        <v>865166</v>
      </c>
      <c r="C15" s="331">
        <f t="shared" si="0"/>
        <v>276373</v>
      </c>
      <c r="D15" s="331">
        <v>1141539</v>
      </c>
      <c r="E15" s="337">
        <f>D15/'- 3 -'!$B15*100</f>
        <v>6.2232939720938827</v>
      </c>
    </row>
    <row r="16" spans="1:5" ht="14.1" customHeight="1">
      <c r="A16" s="26" t="s">
        <v>242</v>
      </c>
      <c r="B16" s="27">
        <v>76405</v>
      </c>
      <c r="C16" s="27">
        <f t="shared" si="0"/>
        <v>226716</v>
      </c>
      <c r="D16" s="27">
        <v>303121</v>
      </c>
      <c r="E16" s="79">
        <f>D16/'- 3 -'!$B16*100</f>
        <v>2.4060285134710799</v>
      </c>
    </row>
    <row r="17" spans="1:5" ht="14.1" customHeight="1">
      <c r="A17" s="330" t="s">
        <v>243</v>
      </c>
      <c r="B17" s="331">
        <v>207500</v>
      </c>
      <c r="C17" s="331">
        <f t="shared" si="0"/>
        <v>648938</v>
      </c>
      <c r="D17" s="331">
        <v>856438</v>
      </c>
      <c r="E17" s="337">
        <f>D17/'- 3 -'!$B17*100</f>
        <v>5.3160379001042619</v>
      </c>
    </row>
    <row r="18" spans="1:5" ht="14.1" customHeight="1">
      <c r="A18" s="26" t="s">
        <v>244</v>
      </c>
      <c r="B18" s="27">
        <v>0</v>
      </c>
      <c r="C18" s="27">
        <f t="shared" si="0"/>
        <v>4962431</v>
      </c>
      <c r="D18" s="27">
        <v>4962431</v>
      </c>
      <c r="E18" s="79">
        <f>D18/'- 3 -'!$B18*100</f>
        <v>4.3598998589340825</v>
      </c>
    </row>
    <row r="19" spans="1:5" ht="14.1" customHeight="1">
      <c r="A19" s="330" t="s">
        <v>245</v>
      </c>
      <c r="B19" s="331">
        <v>1056980</v>
      </c>
      <c r="C19" s="331">
        <f t="shared" si="0"/>
        <v>772692</v>
      </c>
      <c r="D19" s="331">
        <v>1829672</v>
      </c>
      <c r="E19" s="337">
        <f>D19/'- 3 -'!$B19*100</f>
        <v>4.8861899822572799</v>
      </c>
    </row>
    <row r="20" spans="1:5" ht="14.1" customHeight="1">
      <c r="A20" s="26" t="s">
        <v>246</v>
      </c>
      <c r="B20" s="27">
        <v>0</v>
      </c>
      <c r="C20" s="27">
        <f t="shared" si="0"/>
        <v>3603786</v>
      </c>
      <c r="D20" s="27">
        <v>3603786</v>
      </c>
      <c r="E20" s="79">
        <f>D20/'- 3 -'!$B20*100</f>
        <v>5.6582523217600809</v>
      </c>
    </row>
    <row r="21" spans="1:5" ht="14.1" customHeight="1">
      <c r="A21" s="330" t="s">
        <v>247</v>
      </c>
      <c r="B21" s="331">
        <v>0</v>
      </c>
      <c r="C21" s="331">
        <f t="shared" si="0"/>
        <v>1235384</v>
      </c>
      <c r="D21" s="331">
        <v>1235384</v>
      </c>
      <c r="E21" s="337">
        <f>D21/'- 3 -'!$B21*100</f>
        <v>3.8882605083930266</v>
      </c>
    </row>
    <row r="22" spans="1:5" ht="14.1" customHeight="1">
      <c r="A22" s="26" t="s">
        <v>248</v>
      </c>
      <c r="B22" s="27">
        <v>0</v>
      </c>
      <c r="C22" s="27">
        <f t="shared" si="0"/>
        <v>301115</v>
      </c>
      <c r="D22" s="27">
        <v>301115</v>
      </c>
      <c r="E22" s="79">
        <f>D22/'- 3 -'!$B22*100</f>
        <v>1.6512662184542153</v>
      </c>
    </row>
    <row r="23" spans="1:5" ht="14.1" customHeight="1">
      <c r="A23" s="330" t="s">
        <v>249</v>
      </c>
      <c r="B23" s="331">
        <v>108037</v>
      </c>
      <c r="C23" s="331">
        <f t="shared" si="0"/>
        <v>667759</v>
      </c>
      <c r="D23" s="331">
        <v>775796</v>
      </c>
      <c r="E23" s="337">
        <f>D23/'- 3 -'!$B23*100</f>
        <v>5.0654205241346526</v>
      </c>
    </row>
    <row r="24" spans="1:5" ht="14.1" customHeight="1">
      <c r="A24" s="26" t="s">
        <v>250</v>
      </c>
      <c r="B24" s="27">
        <v>0</v>
      </c>
      <c r="C24" s="27">
        <f t="shared" si="0"/>
        <v>2313211</v>
      </c>
      <c r="D24" s="27">
        <v>2313211</v>
      </c>
      <c r="E24" s="79">
        <f>D24/'- 3 -'!$B24*100</f>
        <v>4.6935851381494578</v>
      </c>
    </row>
    <row r="25" spans="1:5" ht="14.1" customHeight="1">
      <c r="A25" s="330" t="s">
        <v>251</v>
      </c>
      <c r="B25" s="331">
        <v>848778</v>
      </c>
      <c r="C25" s="331">
        <f t="shared" si="0"/>
        <v>3147881</v>
      </c>
      <c r="D25" s="331">
        <v>3996659</v>
      </c>
      <c r="E25" s="337">
        <f>D25/'- 3 -'!$B25*100</f>
        <v>2.7263988929425826</v>
      </c>
    </row>
    <row r="26" spans="1:5" ht="14.1" customHeight="1">
      <c r="A26" s="26" t="s">
        <v>252</v>
      </c>
      <c r="B26" s="27">
        <v>0</v>
      </c>
      <c r="C26" s="27">
        <f t="shared" si="0"/>
        <v>1381022</v>
      </c>
      <c r="D26" s="27">
        <v>1381022</v>
      </c>
      <c r="E26" s="79">
        <f>D26/'- 3 -'!$B26*100</f>
        <v>3.8392825743411296</v>
      </c>
    </row>
    <row r="27" spans="1:5" ht="14.1" customHeight="1">
      <c r="A27" s="330" t="s">
        <v>253</v>
      </c>
      <c r="B27" s="331">
        <v>0</v>
      </c>
      <c r="C27" s="331">
        <f t="shared" si="0"/>
        <v>843680</v>
      </c>
      <c r="D27" s="331">
        <v>843680</v>
      </c>
      <c r="E27" s="337">
        <f>D27/'- 3 -'!$B27*100</f>
        <v>2.1169145659068058</v>
      </c>
    </row>
    <row r="28" spans="1:5" ht="14.1" customHeight="1">
      <c r="A28" s="26" t="s">
        <v>254</v>
      </c>
      <c r="B28" s="27">
        <v>0</v>
      </c>
      <c r="C28" s="27">
        <f t="shared" si="0"/>
        <v>557395</v>
      </c>
      <c r="D28" s="27">
        <v>557395</v>
      </c>
      <c r="E28" s="79">
        <f>D28/'- 3 -'!$B28*100</f>
        <v>2.2411058279848599</v>
      </c>
    </row>
    <row r="29" spans="1:5" ht="14.1" customHeight="1">
      <c r="A29" s="330" t="s">
        <v>255</v>
      </c>
      <c r="B29" s="331">
        <v>1235372</v>
      </c>
      <c r="C29" s="331">
        <f t="shared" si="0"/>
        <v>3546286</v>
      </c>
      <c r="D29" s="331">
        <v>4781658</v>
      </c>
      <c r="E29" s="337">
        <f>D29/'- 3 -'!$B29*100</f>
        <v>3.4987127737993435</v>
      </c>
    </row>
    <row r="30" spans="1:5" ht="14.1" customHeight="1">
      <c r="A30" s="26" t="s">
        <v>256</v>
      </c>
      <c r="B30" s="27">
        <v>329144</v>
      </c>
      <c r="C30" s="27">
        <f t="shared" si="0"/>
        <v>836820</v>
      </c>
      <c r="D30" s="27">
        <v>1165964</v>
      </c>
      <c r="E30" s="79">
        <f>D30/'- 3 -'!$B30*100</f>
        <v>9.0238584718111419</v>
      </c>
    </row>
    <row r="31" spans="1:5" ht="14.1" customHeight="1">
      <c r="A31" s="330" t="s">
        <v>257</v>
      </c>
      <c r="B31" s="331">
        <v>0</v>
      </c>
      <c r="C31" s="331">
        <f t="shared" si="0"/>
        <v>663809</v>
      </c>
      <c r="D31" s="331">
        <v>663809</v>
      </c>
      <c r="E31" s="337">
        <f>D31/'- 3 -'!$B31*100</f>
        <v>2.0681310651412885</v>
      </c>
    </row>
    <row r="32" spans="1:5" ht="14.1" customHeight="1">
      <c r="A32" s="26" t="s">
        <v>258</v>
      </c>
      <c r="B32" s="27">
        <v>0</v>
      </c>
      <c r="C32" s="27">
        <f t="shared" si="0"/>
        <v>860972</v>
      </c>
      <c r="D32" s="27">
        <v>860972</v>
      </c>
      <c r="E32" s="79">
        <f>D32/'- 3 -'!$B32*100</f>
        <v>3.6026684045957484</v>
      </c>
    </row>
    <row r="33" spans="1:5" ht="14.1" customHeight="1">
      <c r="A33" s="330" t="s">
        <v>259</v>
      </c>
      <c r="B33" s="331">
        <v>0</v>
      </c>
      <c r="C33" s="331">
        <f t="shared" si="0"/>
        <v>1142120</v>
      </c>
      <c r="D33" s="331">
        <v>1142120</v>
      </c>
      <c r="E33" s="337">
        <f>D33/'- 3 -'!$B33*100</f>
        <v>4.6418803834261801</v>
      </c>
    </row>
    <row r="34" spans="1:5" ht="14.1" customHeight="1">
      <c r="A34" s="26" t="s">
        <v>260</v>
      </c>
      <c r="B34" s="27">
        <v>417342</v>
      </c>
      <c r="C34" s="27">
        <f t="shared" si="0"/>
        <v>1281254</v>
      </c>
      <c r="D34" s="27">
        <v>1698596</v>
      </c>
      <c r="E34" s="79">
        <f>D34/'- 3 -'!$B34*100</f>
        <v>7.3887244215490782</v>
      </c>
    </row>
    <row r="35" spans="1:5" ht="14.1" customHeight="1">
      <c r="A35" s="330" t="s">
        <v>261</v>
      </c>
      <c r="B35" s="331">
        <v>3980336</v>
      </c>
      <c r="C35" s="331">
        <f t="shared" si="0"/>
        <v>4217664</v>
      </c>
      <c r="D35" s="331">
        <v>8198000</v>
      </c>
      <c r="E35" s="337">
        <f>D35/'- 3 -'!$B35*100</f>
        <v>5.079979625551343</v>
      </c>
    </row>
    <row r="36" spans="1:5" ht="14.1" customHeight="1">
      <c r="A36" s="26" t="s">
        <v>262</v>
      </c>
      <c r="B36" s="27">
        <v>0</v>
      </c>
      <c r="C36" s="27">
        <f t="shared" si="0"/>
        <v>776047</v>
      </c>
      <c r="D36" s="27">
        <v>776047</v>
      </c>
      <c r="E36" s="79">
        <f>D36/'- 3 -'!$B36*100</f>
        <v>3.7719065969178391</v>
      </c>
    </row>
    <row r="37" spans="1:5" ht="14.1" customHeight="1">
      <c r="A37" s="330" t="s">
        <v>263</v>
      </c>
      <c r="B37" s="331">
        <v>154639</v>
      </c>
      <c r="C37" s="331">
        <f t="shared" si="0"/>
        <v>1241167</v>
      </c>
      <c r="D37" s="331">
        <v>1395806</v>
      </c>
      <c r="E37" s="337">
        <f>D37/'- 3 -'!$B37*100</f>
        <v>3.6632572468433211</v>
      </c>
    </row>
    <row r="38" spans="1:5" ht="14.1" customHeight="1">
      <c r="A38" s="26" t="s">
        <v>264</v>
      </c>
      <c r="B38" s="27">
        <v>2325697</v>
      </c>
      <c r="C38" s="27">
        <f t="shared" si="0"/>
        <v>590055</v>
      </c>
      <c r="D38" s="27">
        <v>2915752</v>
      </c>
      <c r="E38" s="79">
        <f>D38/'- 3 -'!$B38*100</f>
        <v>2.8084792155439158</v>
      </c>
    </row>
    <row r="39" spans="1:5" ht="14.1" customHeight="1">
      <c r="A39" s="330" t="s">
        <v>265</v>
      </c>
      <c r="B39" s="331">
        <v>0</v>
      </c>
      <c r="C39" s="331">
        <f t="shared" si="0"/>
        <v>342032</v>
      </c>
      <c r="D39" s="331">
        <v>342032</v>
      </c>
      <c r="E39" s="337">
        <f>D39/'- 3 -'!$B39*100</f>
        <v>1.7900022446202775</v>
      </c>
    </row>
    <row r="40" spans="1:5" ht="14.1" customHeight="1">
      <c r="A40" s="26" t="s">
        <v>266</v>
      </c>
      <c r="B40" s="27">
        <v>167597</v>
      </c>
      <c r="C40" s="27">
        <f t="shared" si="0"/>
        <v>3168999</v>
      </c>
      <c r="D40" s="27">
        <v>3336596</v>
      </c>
      <c r="E40" s="79">
        <f>D40/'- 3 -'!$B40*100</f>
        <v>3.6548529168041828</v>
      </c>
    </row>
    <row r="41" spans="1:5" ht="14.1" customHeight="1">
      <c r="A41" s="330" t="s">
        <v>267</v>
      </c>
      <c r="B41" s="331">
        <v>250000</v>
      </c>
      <c r="C41" s="331">
        <f t="shared" si="0"/>
        <v>2502777</v>
      </c>
      <c r="D41" s="331">
        <v>2752777</v>
      </c>
      <c r="E41" s="337">
        <f>D41/'- 3 -'!$B41*100</f>
        <v>4.9255393334387705</v>
      </c>
    </row>
    <row r="42" spans="1:5" ht="14.1" customHeight="1">
      <c r="A42" s="26" t="s">
        <v>268</v>
      </c>
      <c r="B42" s="27">
        <v>0</v>
      </c>
      <c r="C42" s="27">
        <f t="shared" si="0"/>
        <v>656540</v>
      </c>
      <c r="D42" s="27">
        <v>656540</v>
      </c>
      <c r="E42" s="79">
        <f>D42/'- 3 -'!$B42*100</f>
        <v>3.4187986120679517</v>
      </c>
    </row>
    <row r="43" spans="1:5" ht="14.1" customHeight="1">
      <c r="A43" s="330" t="s">
        <v>269</v>
      </c>
      <c r="B43" s="331">
        <v>471896</v>
      </c>
      <c r="C43" s="331">
        <f t="shared" si="0"/>
        <v>316480</v>
      </c>
      <c r="D43" s="331">
        <v>788376</v>
      </c>
      <c r="E43" s="337">
        <f>D43/'- 3 -'!$B43*100</f>
        <v>6.9573879666705905</v>
      </c>
    </row>
    <row r="44" spans="1:5" ht="14.1" customHeight="1">
      <c r="A44" s="26" t="s">
        <v>270</v>
      </c>
      <c r="B44" s="27">
        <v>5214</v>
      </c>
      <c r="C44" s="27">
        <f t="shared" si="0"/>
        <v>377253</v>
      </c>
      <c r="D44" s="27">
        <v>382467</v>
      </c>
      <c r="E44" s="79">
        <f>D44/'- 3 -'!$B44*100</f>
        <v>3.9165735738832428</v>
      </c>
    </row>
    <row r="45" spans="1:5" ht="14.1" customHeight="1">
      <c r="A45" s="330" t="s">
        <v>271</v>
      </c>
      <c r="B45" s="331">
        <v>0</v>
      </c>
      <c r="C45" s="331">
        <f t="shared" si="0"/>
        <v>330523</v>
      </c>
      <c r="D45" s="331">
        <v>330523</v>
      </c>
      <c r="E45" s="337">
        <f>D45/'- 3 -'!$B45*100</f>
        <v>2.1121194759138642</v>
      </c>
    </row>
    <row r="46" spans="1:5" ht="14.1" customHeight="1">
      <c r="A46" s="26" t="s">
        <v>272</v>
      </c>
      <c r="B46" s="27">
        <v>1019166</v>
      </c>
      <c r="C46" s="27">
        <f t="shared" si="0"/>
        <v>7475335</v>
      </c>
      <c r="D46" s="27">
        <v>8494501</v>
      </c>
      <c r="E46" s="79">
        <f>D46/'- 3 -'!$B46*100</f>
        <v>2.5107306122067028</v>
      </c>
    </row>
    <row r="47" spans="1:5" ht="5.0999999999999996" customHeight="1">
      <c r="A47" s="28"/>
      <c r="B47" s="29"/>
      <c r="C47" s="29"/>
      <c r="D47" s="29"/>
      <c r="E47"/>
    </row>
    <row r="48" spans="1:5" ht="14.1" customHeight="1">
      <c r="A48" s="332" t="s">
        <v>273</v>
      </c>
      <c r="B48" s="333">
        <f>SUM(B11:B46)</f>
        <v>16026003</v>
      </c>
      <c r="C48" s="333">
        <f>SUM(C11:C46)</f>
        <v>56839623</v>
      </c>
      <c r="D48" s="333">
        <f>SUM(D11:D46)</f>
        <v>72865626</v>
      </c>
      <c r="E48" s="340">
        <f>D48/'- 3 -'!$B48*100</f>
        <v>3.744490335444786</v>
      </c>
    </row>
    <row r="49" spans="1:5" ht="5.0999999999999996" customHeight="1">
      <c r="A49" s="28" t="s">
        <v>18</v>
      </c>
      <c r="B49" s="29"/>
      <c r="C49" s="29"/>
      <c r="D49" s="29"/>
      <c r="E49"/>
    </row>
    <row r="50" spans="1:5" ht="14.1" customHeight="1">
      <c r="A50" s="26" t="s">
        <v>274</v>
      </c>
      <c r="B50" s="27">
        <v>0</v>
      </c>
      <c r="C50" s="27">
        <f>+D50-B50</f>
        <v>132090</v>
      </c>
      <c r="D50" s="27">
        <v>132090</v>
      </c>
      <c r="E50" s="79">
        <f>D50/'- 3 -'!$B50*100</f>
        <v>4.0887964377417356</v>
      </c>
    </row>
    <row r="51" spans="1:5" ht="14.1" customHeight="1">
      <c r="A51" s="330" t="s">
        <v>275</v>
      </c>
      <c r="B51" s="331">
        <v>1759890</v>
      </c>
      <c r="C51" s="331">
        <f>+D51-B51</f>
        <v>0</v>
      </c>
      <c r="D51" s="331">
        <v>1759890</v>
      </c>
      <c r="E51" s="337">
        <f>D51/'- 3 -'!$B51*100</f>
        <v>10.970650988626526</v>
      </c>
    </row>
    <row r="52" spans="1:5" ht="50.1" customHeight="1">
      <c r="A52" s="30"/>
      <c r="B52" s="30"/>
      <c r="C52" s="30"/>
      <c r="D52" s="30"/>
      <c r="E52" s="30"/>
    </row>
    <row r="53" spans="1:5">
      <c r="A53" s="45" t="s">
        <v>737</v>
      </c>
      <c r="B53" s="206"/>
      <c r="C53" s="206"/>
      <c r="D53" s="206"/>
      <c r="E53" s="206"/>
    </row>
    <row r="54" spans="1:5">
      <c r="A54" s="45" t="s">
        <v>729</v>
      </c>
    </row>
    <row r="55" spans="1:5" ht="12" customHeight="1">
      <c r="A55" s="1" t="s">
        <v>587</v>
      </c>
    </row>
    <row r="56" spans="1:5" ht="12" customHeight="1">
      <c r="A56" s="151" t="s">
        <v>730</v>
      </c>
    </row>
    <row r="57" spans="1:5" ht="12" customHeight="1">
      <c r="A57" s="45" t="s">
        <v>588</v>
      </c>
    </row>
    <row r="58" spans="1:5" ht="15">
      <c r="A58" s="679"/>
    </row>
  </sheetData>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sheetPr codeName="Sheet40">
    <pageSetUpPr fitToPage="1"/>
  </sheetPr>
  <dimension ref="A1:F56"/>
  <sheetViews>
    <sheetView showGridLines="0" showZeros="0" workbookViewId="0"/>
  </sheetViews>
  <sheetFormatPr defaultColWidth="19.83203125" defaultRowHeight="12"/>
  <cols>
    <col min="1" max="1" width="34.83203125" style="1" customWidth="1"/>
    <col min="2" max="2" width="19.83203125" style="1" customWidth="1"/>
    <col min="3" max="4" width="19.33203125" style="1" customWidth="1"/>
    <col min="5" max="16384" width="19.83203125" style="1"/>
  </cols>
  <sheetData>
    <row r="1" spans="1:6" ht="6.95" customHeight="1">
      <c r="A1" s="6"/>
    </row>
    <row r="2" spans="1:6" ht="15.95" customHeight="1">
      <c r="A2" s="152"/>
      <c r="B2" s="701" t="str">
        <f>'- 47 -'!B2:C3</f>
        <v>CAPITAL FUND 2011/2012 ACTUAL</v>
      </c>
      <c r="C2" s="701"/>
      <c r="D2" s="701"/>
      <c r="E2" s="701"/>
      <c r="F2" s="264" t="s">
        <v>471</v>
      </c>
    </row>
    <row r="3" spans="1:6" ht="15.95" customHeight="1">
      <c r="A3" s="154"/>
      <c r="B3" s="702" t="s">
        <v>279</v>
      </c>
      <c r="C3" s="702"/>
      <c r="D3" s="702"/>
      <c r="E3" s="702"/>
      <c r="F3" s="258"/>
    </row>
    <row r="4" spans="1:6" ht="15.95" customHeight="1">
      <c r="B4" s="7"/>
      <c r="C4" s="7"/>
      <c r="D4" s="7"/>
      <c r="E4" s="7"/>
    </row>
    <row r="5" spans="1:6" ht="15.95" customHeight="1">
      <c r="B5" s="7"/>
      <c r="C5" s="7"/>
      <c r="D5" s="7"/>
      <c r="E5" s="7"/>
    </row>
    <row r="6" spans="1:6" ht="15.95" customHeight="1">
      <c r="B6" s="508" t="s">
        <v>1</v>
      </c>
      <c r="C6" s="194"/>
      <c r="D6" s="567"/>
      <c r="E6" s="195"/>
    </row>
    <row r="7" spans="1:6" ht="15.95" customHeight="1">
      <c r="B7" s="509"/>
      <c r="C7" s="509"/>
      <c r="D7" s="509" t="s">
        <v>59</v>
      </c>
      <c r="E7" s="509"/>
    </row>
    <row r="8" spans="1:6" ht="15.95" customHeight="1">
      <c r="A8" s="506"/>
      <c r="B8" s="510"/>
      <c r="C8" s="510" t="s">
        <v>145</v>
      </c>
      <c r="D8" s="510" t="s">
        <v>146</v>
      </c>
      <c r="E8" s="510" t="s">
        <v>69</v>
      </c>
    </row>
    <row r="9" spans="1:6" ht="15.95" customHeight="1">
      <c r="A9" s="507" t="s">
        <v>95</v>
      </c>
      <c r="B9" s="544" t="s">
        <v>504</v>
      </c>
      <c r="C9" s="544" t="s">
        <v>505</v>
      </c>
      <c r="D9" s="544" t="s">
        <v>534</v>
      </c>
      <c r="E9" s="511" t="s">
        <v>279</v>
      </c>
    </row>
    <row r="10" spans="1:6" ht="5.0999999999999996" customHeight="1">
      <c r="A10" s="5"/>
      <c r="B10" s="236"/>
      <c r="C10" s="236"/>
      <c r="D10" s="236"/>
      <c r="E10" s="236"/>
    </row>
    <row r="11" spans="1:6" ht="14.1" customHeight="1">
      <c r="A11" s="330" t="s">
        <v>238</v>
      </c>
      <c r="B11" s="331">
        <v>1043764</v>
      </c>
      <c r="C11" s="331">
        <v>1050208</v>
      </c>
      <c r="D11" s="331">
        <v>0</v>
      </c>
      <c r="E11" s="331">
        <f t="shared" ref="E11:E46" si="0">SUM(B11:D11)</f>
        <v>2093972</v>
      </c>
    </row>
    <row r="12" spans="1:6" ht="14.1" customHeight="1">
      <c r="A12" s="26" t="s">
        <v>239</v>
      </c>
      <c r="B12" s="27">
        <v>1419599</v>
      </c>
      <c r="C12" s="27">
        <v>579855</v>
      </c>
      <c r="D12" s="27">
        <v>-23</v>
      </c>
      <c r="E12" s="27">
        <f t="shared" si="0"/>
        <v>1999431</v>
      </c>
    </row>
    <row r="13" spans="1:6" ht="14.1" customHeight="1">
      <c r="A13" s="330" t="s">
        <v>240</v>
      </c>
      <c r="B13" s="331">
        <v>1617743</v>
      </c>
      <c r="C13" s="331">
        <v>719374</v>
      </c>
      <c r="D13" s="331">
        <v>0</v>
      </c>
      <c r="E13" s="331">
        <f t="shared" si="0"/>
        <v>2337117</v>
      </c>
    </row>
    <row r="14" spans="1:6" ht="14.1" customHeight="1">
      <c r="A14" s="26" t="s">
        <v>653</v>
      </c>
      <c r="B14" s="27">
        <v>1899848</v>
      </c>
      <c r="C14" s="27">
        <v>1907457</v>
      </c>
      <c r="D14" s="27">
        <v>16708</v>
      </c>
      <c r="E14" s="27">
        <f t="shared" si="0"/>
        <v>3824013</v>
      </c>
    </row>
    <row r="15" spans="1:6" ht="14.1" customHeight="1">
      <c r="A15" s="330" t="s">
        <v>241</v>
      </c>
      <c r="B15" s="331">
        <v>1214099</v>
      </c>
      <c r="C15" s="331">
        <v>932091</v>
      </c>
      <c r="D15" s="331">
        <v>0</v>
      </c>
      <c r="E15" s="331">
        <f t="shared" si="0"/>
        <v>2146190</v>
      </c>
    </row>
    <row r="16" spans="1:6" ht="14.1" customHeight="1">
      <c r="A16" s="26" t="s">
        <v>242</v>
      </c>
      <c r="B16" s="27">
        <v>264928</v>
      </c>
      <c r="C16" s="27">
        <v>95533</v>
      </c>
      <c r="D16" s="27">
        <v>46006</v>
      </c>
      <c r="E16" s="27">
        <f t="shared" si="0"/>
        <v>406467</v>
      </c>
    </row>
    <row r="17" spans="1:5" ht="14.1" customHeight="1">
      <c r="A17" s="330" t="s">
        <v>243</v>
      </c>
      <c r="B17" s="331">
        <v>936232</v>
      </c>
      <c r="C17" s="331">
        <v>517260</v>
      </c>
      <c r="D17" s="331">
        <v>303456</v>
      </c>
      <c r="E17" s="331">
        <f t="shared" si="0"/>
        <v>1756948</v>
      </c>
    </row>
    <row r="18" spans="1:5" ht="14.1" customHeight="1">
      <c r="A18" s="26" t="s">
        <v>244</v>
      </c>
      <c r="B18" s="27">
        <v>2744768</v>
      </c>
      <c r="C18" s="27">
        <v>1754752</v>
      </c>
      <c r="D18" s="27">
        <v>0</v>
      </c>
      <c r="E18" s="27">
        <f t="shared" si="0"/>
        <v>4499520</v>
      </c>
    </row>
    <row r="19" spans="1:5" ht="14.1" customHeight="1">
      <c r="A19" s="330" t="s">
        <v>245</v>
      </c>
      <c r="B19" s="331">
        <v>2250034</v>
      </c>
      <c r="C19" s="331">
        <v>2126229</v>
      </c>
      <c r="D19" s="331">
        <v>0</v>
      </c>
      <c r="E19" s="331">
        <f t="shared" si="0"/>
        <v>4376263</v>
      </c>
    </row>
    <row r="20" spans="1:5" ht="14.1" customHeight="1">
      <c r="A20" s="26" t="s">
        <v>246</v>
      </c>
      <c r="B20" s="27">
        <v>2436405</v>
      </c>
      <c r="C20" s="27">
        <v>1718301</v>
      </c>
      <c r="D20" s="27">
        <v>0</v>
      </c>
      <c r="E20" s="27">
        <f t="shared" si="0"/>
        <v>4154706</v>
      </c>
    </row>
    <row r="21" spans="1:5" ht="14.1" customHeight="1">
      <c r="A21" s="330" t="s">
        <v>247</v>
      </c>
      <c r="B21" s="331">
        <v>1153117</v>
      </c>
      <c r="C21" s="331">
        <v>633254</v>
      </c>
      <c r="D21" s="331">
        <v>0</v>
      </c>
      <c r="E21" s="331">
        <f t="shared" si="0"/>
        <v>1786371</v>
      </c>
    </row>
    <row r="22" spans="1:5" ht="14.1" customHeight="1">
      <c r="A22" s="26" t="s">
        <v>248</v>
      </c>
      <c r="B22" s="27">
        <v>344684</v>
      </c>
      <c r="C22" s="27">
        <v>208713</v>
      </c>
      <c r="D22" s="27">
        <v>0</v>
      </c>
      <c r="E22" s="27">
        <f t="shared" si="0"/>
        <v>553397</v>
      </c>
    </row>
    <row r="23" spans="1:5" ht="14.1" customHeight="1">
      <c r="A23" s="330" t="s">
        <v>249</v>
      </c>
      <c r="B23" s="331">
        <v>824679</v>
      </c>
      <c r="C23" s="331">
        <v>699460</v>
      </c>
      <c r="D23" s="331">
        <v>0</v>
      </c>
      <c r="E23" s="331">
        <f t="shared" si="0"/>
        <v>1524139</v>
      </c>
    </row>
    <row r="24" spans="1:5" ht="14.1" customHeight="1">
      <c r="A24" s="26" t="s">
        <v>250</v>
      </c>
      <c r="B24" s="27">
        <v>2224944</v>
      </c>
      <c r="C24" s="27">
        <v>1061851</v>
      </c>
      <c r="D24" s="27">
        <v>19083</v>
      </c>
      <c r="E24" s="27">
        <f t="shared" si="0"/>
        <v>3305878</v>
      </c>
    </row>
    <row r="25" spans="1:5" ht="14.1" customHeight="1">
      <c r="A25" s="330" t="s">
        <v>251</v>
      </c>
      <c r="B25" s="331">
        <v>3467576</v>
      </c>
      <c r="C25" s="331">
        <v>1335256</v>
      </c>
      <c r="D25" s="331">
        <v>34401</v>
      </c>
      <c r="E25" s="331">
        <f t="shared" si="0"/>
        <v>4837233</v>
      </c>
    </row>
    <row r="26" spans="1:5" ht="14.1" customHeight="1">
      <c r="A26" s="26" t="s">
        <v>252</v>
      </c>
      <c r="B26" s="27">
        <v>1136072</v>
      </c>
      <c r="C26" s="27">
        <v>726490</v>
      </c>
      <c r="D26" s="27">
        <v>0</v>
      </c>
      <c r="E26" s="27">
        <f t="shared" si="0"/>
        <v>1862562</v>
      </c>
    </row>
    <row r="27" spans="1:5" ht="14.1" customHeight="1">
      <c r="A27" s="330" t="s">
        <v>253</v>
      </c>
      <c r="B27" s="331">
        <v>745237</v>
      </c>
      <c r="C27" s="331">
        <v>512757</v>
      </c>
      <c r="D27" s="331">
        <v>0</v>
      </c>
      <c r="E27" s="331">
        <f t="shared" si="0"/>
        <v>1257994</v>
      </c>
    </row>
    <row r="28" spans="1:5" ht="14.1" customHeight="1">
      <c r="A28" s="26" t="s">
        <v>254</v>
      </c>
      <c r="B28" s="27">
        <v>738279</v>
      </c>
      <c r="C28" s="27">
        <v>423939</v>
      </c>
      <c r="D28" s="27">
        <v>0</v>
      </c>
      <c r="E28" s="27">
        <f t="shared" si="0"/>
        <v>1162218</v>
      </c>
    </row>
    <row r="29" spans="1:5" ht="14.1" customHeight="1">
      <c r="A29" s="330" t="s">
        <v>255</v>
      </c>
      <c r="B29" s="331">
        <v>3064480</v>
      </c>
      <c r="C29" s="331">
        <v>1237381</v>
      </c>
      <c r="D29" s="331">
        <v>14564</v>
      </c>
      <c r="E29" s="331">
        <f t="shared" si="0"/>
        <v>4316425</v>
      </c>
    </row>
    <row r="30" spans="1:5" ht="14.1" customHeight="1">
      <c r="A30" s="26" t="s">
        <v>256</v>
      </c>
      <c r="B30" s="27">
        <v>507527</v>
      </c>
      <c r="C30" s="27">
        <v>164743</v>
      </c>
      <c r="D30" s="27">
        <v>0</v>
      </c>
      <c r="E30" s="27">
        <f t="shared" si="0"/>
        <v>672270</v>
      </c>
    </row>
    <row r="31" spans="1:5" ht="14.1" customHeight="1">
      <c r="A31" s="330" t="s">
        <v>257</v>
      </c>
      <c r="B31" s="331">
        <v>1159961</v>
      </c>
      <c r="C31" s="331">
        <v>582763</v>
      </c>
      <c r="D31" s="331">
        <v>0</v>
      </c>
      <c r="E31" s="331">
        <f t="shared" si="0"/>
        <v>1742724</v>
      </c>
    </row>
    <row r="32" spans="1:5" ht="14.1" customHeight="1">
      <c r="A32" s="26" t="s">
        <v>258</v>
      </c>
      <c r="B32" s="27">
        <v>918686</v>
      </c>
      <c r="C32" s="27">
        <v>459162</v>
      </c>
      <c r="D32" s="27">
        <v>0</v>
      </c>
      <c r="E32" s="27">
        <f t="shared" si="0"/>
        <v>1377848</v>
      </c>
    </row>
    <row r="33" spans="1:5" ht="14.1" customHeight="1">
      <c r="A33" s="330" t="s">
        <v>259</v>
      </c>
      <c r="B33" s="331">
        <v>1230830</v>
      </c>
      <c r="C33" s="331">
        <v>478865</v>
      </c>
      <c r="D33" s="331">
        <v>190806</v>
      </c>
      <c r="E33" s="331">
        <f t="shared" si="0"/>
        <v>1900501</v>
      </c>
    </row>
    <row r="34" spans="1:5" ht="14.1" customHeight="1">
      <c r="A34" s="26" t="s">
        <v>260</v>
      </c>
      <c r="B34" s="27">
        <v>1018729</v>
      </c>
      <c r="C34" s="27">
        <v>507800</v>
      </c>
      <c r="D34" s="27">
        <v>0</v>
      </c>
      <c r="E34" s="27">
        <f t="shared" si="0"/>
        <v>1526529</v>
      </c>
    </row>
    <row r="35" spans="1:5" ht="14.1" customHeight="1">
      <c r="A35" s="330" t="s">
        <v>261</v>
      </c>
      <c r="B35" s="331">
        <v>5780518</v>
      </c>
      <c r="C35" s="331">
        <v>2349472</v>
      </c>
      <c r="D35" s="331">
        <v>141361</v>
      </c>
      <c r="E35" s="331">
        <f t="shared" si="0"/>
        <v>8271351</v>
      </c>
    </row>
    <row r="36" spans="1:5" ht="14.1" customHeight="1">
      <c r="A36" s="26" t="s">
        <v>262</v>
      </c>
      <c r="B36" s="27">
        <v>774673</v>
      </c>
      <c r="C36" s="27">
        <v>413530</v>
      </c>
      <c r="D36" s="27">
        <v>0</v>
      </c>
      <c r="E36" s="27">
        <f t="shared" si="0"/>
        <v>1188203</v>
      </c>
    </row>
    <row r="37" spans="1:5" ht="14.1" customHeight="1">
      <c r="A37" s="330" t="s">
        <v>263</v>
      </c>
      <c r="B37" s="331">
        <v>1475774</v>
      </c>
      <c r="C37" s="331">
        <v>1153811</v>
      </c>
      <c r="D37" s="331">
        <v>0</v>
      </c>
      <c r="E37" s="331">
        <f t="shared" si="0"/>
        <v>2629585</v>
      </c>
    </row>
    <row r="38" spans="1:5" ht="14.1" customHeight="1">
      <c r="A38" s="26" t="s">
        <v>264</v>
      </c>
      <c r="B38" s="27">
        <v>3414033</v>
      </c>
      <c r="C38" s="27">
        <v>2638908</v>
      </c>
      <c r="D38" s="27">
        <v>9</v>
      </c>
      <c r="E38" s="27">
        <f t="shared" si="0"/>
        <v>6052950</v>
      </c>
    </row>
    <row r="39" spans="1:5" ht="14.1" customHeight="1">
      <c r="A39" s="330" t="s">
        <v>265</v>
      </c>
      <c r="B39" s="331">
        <v>1092899</v>
      </c>
      <c r="C39" s="331">
        <v>837159</v>
      </c>
      <c r="D39" s="331">
        <v>0</v>
      </c>
      <c r="E39" s="331">
        <f t="shared" si="0"/>
        <v>1930058</v>
      </c>
    </row>
    <row r="40" spans="1:5" ht="14.1" customHeight="1">
      <c r="A40" s="26" t="s">
        <v>266</v>
      </c>
      <c r="B40" s="27">
        <v>2572232</v>
      </c>
      <c r="C40" s="27">
        <v>810885</v>
      </c>
      <c r="D40" s="27">
        <v>0</v>
      </c>
      <c r="E40" s="27">
        <f t="shared" si="0"/>
        <v>3383117</v>
      </c>
    </row>
    <row r="41" spans="1:5" ht="14.1" customHeight="1">
      <c r="A41" s="330" t="s">
        <v>267</v>
      </c>
      <c r="B41" s="331">
        <v>2078756</v>
      </c>
      <c r="C41" s="331">
        <v>1125478</v>
      </c>
      <c r="D41" s="331">
        <v>0</v>
      </c>
      <c r="E41" s="331">
        <f t="shared" si="0"/>
        <v>3204234</v>
      </c>
    </row>
    <row r="42" spans="1:5" ht="14.1" customHeight="1">
      <c r="A42" s="26" t="s">
        <v>268</v>
      </c>
      <c r="B42" s="27">
        <v>928435</v>
      </c>
      <c r="C42" s="27">
        <v>323601</v>
      </c>
      <c r="D42" s="27">
        <v>3502</v>
      </c>
      <c r="E42" s="27">
        <f t="shared" si="0"/>
        <v>1255538</v>
      </c>
    </row>
    <row r="43" spans="1:5" ht="14.1" customHeight="1">
      <c r="A43" s="330" t="s">
        <v>269</v>
      </c>
      <c r="B43" s="331">
        <v>423233</v>
      </c>
      <c r="C43" s="331">
        <v>214106</v>
      </c>
      <c r="D43" s="331">
        <v>0</v>
      </c>
      <c r="E43" s="331">
        <f t="shared" si="0"/>
        <v>637339</v>
      </c>
    </row>
    <row r="44" spans="1:5" ht="14.1" customHeight="1">
      <c r="A44" s="26" t="s">
        <v>270</v>
      </c>
      <c r="B44" s="27">
        <v>441057</v>
      </c>
      <c r="C44" s="27">
        <v>176391</v>
      </c>
      <c r="D44" s="27">
        <v>0</v>
      </c>
      <c r="E44" s="27">
        <f t="shared" si="0"/>
        <v>617448</v>
      </c>
    </row>
    <row r="45" spans="1:5" ht="14.1" customHeight="1">
      <c r="A45" s="330" t="s">
        <v>271</v>
      </c>
      <c r="B45" s="331">
        <v>690120</v>
      </c>
      <c r="C45" s="331">
        <v>358159</v>
      </c>
      <c r="D45" s="331">
        <v>0</v>
      </c>
      <c r="E45" s="331">
        <f t="shared" si="0"/>
        <v>1048279</v>
      </c>
    </row>
    <row r="46" spans="1:5" ht="14.1" customHeight="1">
      <c r="A46" s="26" t="s">
        <v>272</v>
      </c>
      <c r="B46" s="27">
        <v>7086804</v>
      </c>
      <c r="C46" s="27">
        <v>4811383</v>
      </c>
      <c r="D46" s="27">
        <v>118851</v>
      </c>
      <c r="E46" s="27">
        <f t="shared" si="0"/>
        <v>12017038</v>
      </c>
    </row>
    <row r="47" spans="1:5" ht="5.0999999999999996" customHeight="1">
      <c r="A47" s="28"/>
      <c r="B47" s="29"/>
      <c r="C47" s="29"/>
      <c r="D47" s="29"/>
      <c r="E47" s="29"/>
    </row>
    <row r="48" spans="1:5" ht="14.1" customHeight="1">
      <c r="A48" s="332" t="s">
        <v>273</v>
      </c>
      <c r="B48" s="333">
        <f>SUM(B11:B46)</f>
        <v>61120755</v>
      </c>
      <c r="C48" s="333">
        <f>SUM(C11:C46)</f>
        <v>35646377</v>
      </c>
      <c r="D48" s="333">
        <f>SUM(D11:D46)</f>
        <v>888724</v>
      </c>
      <c r="E48" s="333">
        <f>SUM(E11:E46)</f>
        <v>97655856</v>
      </c>
    </row>
    <row r="49" spans="1:6" ht="5.0999999999999996" customHeight="1">
      <c r="A49" s="28" t="s">
        <v>18</v>
      </c>
      <c r="B49" s="29"/>
      <c r="C49" s="29"/>
      <c r="D49" s="29"/>
      <c r="E49" s="29"/>
    </row>
    <row r="50" spans="1:6" ht="14.1" customHeight="1">
      <c r="A50" s="26" t="s">
        <v>274</v>
      </c>
      <c r="B50" s="27">
        <v>106903</v>
      </c>
      <c r="C50" s="27">
        <v>15800</v>
      </c>
      <c r="D50" s="27">
        <v>0</v>
      </c>
      <c r="E50" s="27">
        <f>SUM(B50:D50)</f>
        <v>122703</v>
      </c>
    </row>
    <row r="51" spans="1:6" ht="14.1" customHeight="1">
      <c r="A51" s="330" t="s">
        <v>275</v>
      </c>
      <c r="B51" s="331">
        <v>367723</v>
      </c>
      <c r="C51" s="331">
        <v>136855</v>
      </c>
      <c r="D51" s="331">
        <v>0</v>
      </c>
      <c r="E51" s="331">
        <f>SUM(B51:D51)</f>
        <v>504578</v>
      </c>
    </row>
    <row r="52" spans="1:6" ht="50.1" customHeight="1">
      <c r="A52" s="30"/>
      <c r="B52" s="30"/>
      <c r="C52" s="30"/>
      <c r="D52" s="30"/>
      <c r="E52" s="30"/>
      <c r="F52" s="30"/>
    </row>
    <row r="53" spans="1:6">
      <c r="A53" s="551" t="s">
        <v>636</v>
      </c>
      <c r="B53" s="206"/>
      <c r="C53" s="206"/>
      <c r="D53" s="206"/>
      <c r="E53" s="206"/>
    </row>
    <row r="54" spans="1:6">
      <c r="A54" s="561" t="s">
        <v>665</v>
      </c>
      <c r="B54" s="206"/>
      <c r="C54" s="206"/>
      <c r="D54" s="206"/>
      <c r="E54" s="206"/>
    </row>
    <row r="55" spans="1:6">
      <c r="A55" s="551" t="s">
        <v>637</v>
      </c>
    </row>
    <row r="56" spans="1:6">
      <c r="A56" s="551"/>
    </row>
  </sheetData>
  <mergeCells count="2">
    <mergeCell ref="B2:E2"/>
    <mergeCell ref="B3:E3"/>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sheetPr codeName="Sheet39">
    <pageSetUpPr fitToPage="1"/>
  </sheetPr>
  <dimension ref="A1:F54"/>
  <sheetViews>
    <sheetView showGridLines="0" showZeros="0" workbookViewId="0"/>
  </sheetViews>
  <sheetFormatPr defaultColWidth="15.83203125" defaultRowHeight="12"/>
  <cols>
    <col min="1" max="1" width="34.83203125" style="1" customWidth="1"/>
    <col min="2" max="4" width="22.83203125" style="1" customWidth="1"/>
    <col min="5" max="5" width="4.83203125" style="1" customWidth="1"/>
    <col min="6" max="6" width="25.83203125" style="1" customWidth="1"/>
    <col min="7" max="16384" width="15.83203125" style="1"/>
  </cols>
  <sheetData>
    <row r="1" spans="1:6" ht="6.95" customHeight="1">
      <c r="A1" s="6"/>
      <c r="E1"/>
    </row>
    <row r="2" spans="1:6" ht="15.95" customHeight="1">
      <c r="A2" s="152"/>
      <c r="B2" s="703" t="str">
        <f>"CAPITAL FUND "&amp;FALLYR&amp;"/"&amp;SPRINGYR&amp;" ACTUAL"</f>
        <v>CAPITAL FUND 2011/2012 ACTUAL</v>
      </c>
      <c r="C2" s="703"/>
      <c r="D2" s="703"/>
      <c r="E2" s="703"/>
      <c r="F2" s="264" t="s">
        <v>473</v>
      </c>
    </row>
    <row r="3" spans="1:6" ht="15.95" customHeight="1">
      <c r="A3" s="154"/>
      <c r="B3" s="702" t="s">
        <v>0</v>
      </c>
      <c r="C3" s="704"/>
      <c r="D3" s="704"/>
      <c r="E3" s="704"/>
      <c r="F3" s="258"/>
    </row>
    <row r="4" spans="1:6" ht="15.95" customHeight="1">
      <c r="B4" s="7"/>
      <c r="C4" s="7"/>
      <c r="D4" s="7"/>
      <c r="E4"/>
    </row>
    <row r="5" spans="1:6" ht="15.95" customHeight="1">
      <c r="B5" s="7"/>
      <c r="C5" s="7"/>
      <c r="D5" s="7"/>
      <c r="E5" s="558"/>
    </row>
    <row r="6" spans="1:6" ht="15.95" customHeight="1">
      <c r="B6" s="514" t="s">
        <v>2</v>
      </c>
      <c r="C6" s="552"/>
      <c r="D6" s="553"/>
      <c r="E6" s="558"/>
      <c r="F6" s="557" t="s">
        <v>109</v>
      </c>
    </row>
    <row r="7" spans="1:6" ht="15.95" customHeight="1">
      <c r="B7" s="409"/>
      <c r="C7" s="409"/>
      <c r="D7" s="438"/>
      <c r="E7" s="558"/>
      <c r="F7" s="418" t="s">
        <v>511</v>
      </c>
    </row>
    <row r="8" spans="1:6" ht="15.95" customHeight="1">
      <c r="A8" s="75"/>
      <c r="B8" s="395" t="s">
        <v>135</v>
      </c>
      <c r="C8" s="409" t="s">
        <v>59</v>
      </c>
      <c r="D8" s="409" t="s">
        <v>69</v>
      </c>
      <c r="E8" s="558"/>
      <c r="F8" s="418" t="s">
        <v>516</v>
      </c>
    </row>
    <row r="9" spans="1:6" ht="15.95" customHeight="1">
      <c r="A9" s="42" t="s">
        <v>95</v>
      </c>
      <c r="B9" s="346" t="s">
        <v>498</v>
      </c>
      <c r="C9" s="346" t="s">
        <v>499</v>
      </c>
      <c r="D9" s="356" t="s">
        <v>141</v>
      </c>
      <c r="E9"/>
      <c r="F9" s="347" t="s">
        <v>146</v>
      </c>
    </row>
    <row r="10" spans="1:6" ht="5.0999999999999996" customHeight="1">
      <c r="A10" s="5"/>
      <c r="B10" s="236"/>
      <c r="C10" s="236"/>
      <c r="D10" s="236"/>
      <c r="E10"/>
      <c r="F10" s="236"/>
    </row>
    <row r="11" spans="1:6" ht="14.1" customHeight="1">
      <c r="A11" s="330" t="s">
        <v>238</v>
      </c>
      <c r="B11" s="331">
        <v>2092959</v>
      </c>
      <c r="C11" s="331">
        <v>0</v>
      </c>
      <c r="D11" s="331">
        <f t="shared" ref="D11:D46" si="0">SUM(B11:C11)</f>
        <v>2092959</v>
      </c>
      <c r="E11"/>
      <c r="F11" s="331">
        <v>284614</v>
      </c>
    </row>
    <row r="12" spans="1:6" ht="14.1" customHeight="1">
      <c r="A12" s="26" t="s">
        <v>239</v>
      </c>
      <c r="B12" s="27">
        <v>1187781</v>
      </c>
      <c r="C12" s="27">
        <v>70007</v>
      </c>
      <c r="D12" s="27">
        <f t="shared" si="0"/>
        <v>1257788</v>
      </c>
      <c r="E12"/>
      <c r="F12" s="27">
        <v>1496109</v>
      </c>
    </row>
    <row r="13" spans="1:6" ht="14.1" customHeight="1">
      <c r="A13" s="330" t="s">
        <v>240</v>
      </c>
      <c r="B13" s="331">
        <v>1751814</v>
      </c>
      <c r="C13" s="331">
        <v>196409</v>
      </c>
      <c r="D13" s="331">
        <f t="shared" si="0"/>
        <v>1948223</v>
      </c>
      <c r="E13"/>
      <c r="F13" s="331">
        <v>516582</v>
      </c>
    </row>
    <row r="14" spans="1:6" ht="14.1" customHeight="1">
      <c r="A14" s="26" t="s">
        <v>653</v>
      </c>
      <c r="B14" s="27">
        <v>4023988</v>
      </c>
      <c r="C14" s="27">
        <v>351024</v>
      </c>
      <c r="D14" s="27">
        <f t="shared" si="0"/>
        <v>4375012</v>
      </c>
      <c r="E14"/>
      <c r="F14" s="27">
        <v>2447168</v>
      </c>
    </row>
    <row r="15" spans="1:6" ht="14.1" customHeight="1">
      <c r="A15" s="330" t="s">
        <v>241</v>
      </c>
      <c r="B15" s="331">
        <v>1817312</v>
      </c>
      <c r="C15" s="331">
        <v>0</v>
      </c>
      <c r="D15" s="331">
        <f t="shared" si="0"/>
        <v>1817312</v>
      </c>
      <c r="E15"/>
      <c r="F15" s="331">
        <v>520477</v>
      </c>
    </row>
    <row r="16" spans="1:6" ht="14.1" customHeight="1">
      <c r="A16" s="26" t="s">
        <v>242</v>
      </c>
      <c r="B16" s="27">
        <v>177272</v>
      </c>
      <c r="C16" s="27">
        <v>15495</v>
      </c>
      <c r="D16" s="27">
        <f t="shared" si="0"/>
        <v>192767</v>
      </c>
      <c r="E16"/>
      <c r="F16" s="27">
        <v>157185</v>
      </c>
    </row>
    <row r="17" spans="1:6" ht="14.1" customHeight="1">
      <c r="A17" s="330" t="s">
        <v>243</v>
      </c>
      <c r="B17" s="331">
        <v>1191466</v>
      </c>
      <c r="C17" s="331">
        <v>22431</v>
      </c>
      <c r="D17" s="331">
        <f t="shared" si="0"/>
        <v>1213897</v>
      </c>
      <c r="E17"/>
      <c r="F17" s="331">
        <v>467432</v>
      </c>
    </row>
    <row r="18" spans="1:6" ht="14.1" customHeight="1">
      <c r="A18" s="26" t="s">
        <v>244</v>
      </c>
      <c r="B18" s="27">
        <v>4332438</v>
      </c>
      <c r="C18" s="27">
        <v>677763</v>
      </c>
      <c r="D18" s="27">
        <f t="shared" si="0"/>
        <v>5010201</v>
      </c>
      <c r="E18"/>
      <c r="F18" s="27">
        <v>696119</v>
      </c>
    </row>
    <row r="19" spans="1:6" ht="14.1" customHeight="1">
      <c r="A19" s="330" t="s">
        <v>245</v>
      </c>
      <c r="B19" s="331">
        <v>3832866</v>
      </c>
      <c r="C19" s="331">
        <v>16045</v>
      </c>
      <c r="D19" s="331">
        <f t="shared" si="0"/>
        <v>3848911</v>
      </c>
      <c r="E19"/>
      <c r="F19" s="331">
        <v>1791083</v>
      </c>
    </row>
    <row r="20" spans="1:6" ht="14.1" customHeight="1">
      <c r="A20" s="26" t="s">
        <v>246</v>
      </c>
      <c r="B20" s="27">
        <v>3444443</v>
      </c>
      <c r="C20" s="27">
        <v>11097</v>
      </c>
      <c r="D20" s="27">
        <f t="shared" si="0"/>
        <v>3455540</v>
      </c>
      <c r="E20"/>
      <c r="F20" s="27">
        <v>1565856</v>
      </c>
    </row>
    <row r="21" spans="1:6" ht="14.1" customHeight="1">
      <c r="A21" s="330" t="s">
        <v>247</v>
      </c>
      <c r="B21" s="331">
        <v>1373190</v>
      </c>
      <c r="C21" s="331">
        <v>63630</v>
      </c>
      <c r="D21" s="331">
        <f t="shared" si="0"/>
        <v>1436820</v>
      </c>
      <c r="E21"/>
      <c r="F21" s="331">
        <v>365510</v>
      </c>
    </row>
    <row r="22" spans="1:6" ht="14.1" customHeight="1">
      <c r="A22" s="26" t="s">
        <v>248</v>
      </c>
      <c r="B22" s="27">
        <v>452592</v>
      </c>
      <c r="C22" s="27">
        <v>0</v>
      </c>
      <c r="D22" s="27">
        <f t="shared" si="0"/>
        <v>452592</v>
      </c>
      <c r="E22"/>
      <c r="F22" s="27">
        <v>79109</v>
      </c>
    </row>
    <row r="23" spans="1:6" ht="14.1" customHeight="1">
      <c r="A23" s="330" t="s">
        <v>249</v>
      </c>
      <c r="B23" s="331">
        <v>1337830</v>
      </c>
      <c r="C23" s="331">
        <v>46526</v>
      </c>
      <c r="D23" s="331">
        <f t="shared" si="0"/>
        <v>1384356</v>
      </c>
      <c r="E23"/>
      <c r="F23" s="331">
        <v>708845</v>
      </c>
    </row>
    <row r="24" spans="1:6" ht="14.1" customHeight="1">
      <c r="A24" s="26" t="s">
        <v>250</v>
      </c>
      <c r="B24" s="27">
        <v>2095339</v>
      </c>
      <c r="C24" s="27">
        <v>33514</v>
      </c>
      <c r="D24" s="27">
        <f t="shared" si="0"/>
        <v>2128853</v>
      </c>
      <c r="E24"/>
      <c r="F24" s="27">
        <v>855979</v>
      </c>
    </row>
    <row r="25" spans="1:6" ht="14.1" customHeight="1">
      <c r="A25" s="330" t="s">
        <v>251</v>
      </c>
      <c r="B25" s="331">
        <v>3276940</v>
      </c>
      <c r="C25" s="331">
        <v>128896</v>
      </c>
      <c r="D25" s="331">
        <f t="shared" si="0"/>
        <v>3405836</v>
      </c>
      <c r="E25"/>
      <c r="F25" s="331">
        <v>1825883</v>
      </c>
    </row>
    <row r="26" spans="1:6" ht="14.1" customHeight="1">
      <c r="A26" s="26" t="s">
        <v>252</v>
      </c>
      <c r="B26" s="27">
        <v>1288404</v>
      </c>
      <c r="C26" s="27">
        <v>10810</v>
      </c>
      <c r="D26" s="27">
        <f t="shared" si="0"/>
        <v>1299214</v>
      </c>
      <c r="E26"/>
      <c r="F26" s="27">
        <v>775239</v>
      </c>
    </row>
    <row r="27" spans="1:6" ht="14.1" customHeight="1">
      <c r="A27" s="330" t="s">
        <v>253</v>
      </c>
      <c r="B27" s="331">
        <v>959386</v>
      </c>
      <c r="C27" s="331">
        <v>40790</v>
      </c>
      <c r="D27" s="331">
        <f t="shared" si="0"/>
        <v>1000176</v>
      </c>
      <c r="E27"/>
      <c r="F27" s="331">
        <v>859739</v>
      </c>
    </row>
    <row r="28" spans="1:6" ht="14.1" customHeight="1">
      <c r="A28" s="26" t="s">
        <v>254</v>
      </c>
      <c r="B28" s="27">
        <v>961467</v>
      </c>
      <c r="C28" s="27">
        <v>4073</v>
      </c>
      <c r="D28" s="27">
        <f t="shared" si="0"/>
        <v>965540</v>
      </c>
      <c r="E28"/>
      <c r="F28" s="27">
        <v>62221</v>
      </c>
    </row>
    <row r="29" spans="1:6" ht="14.1" customHeight="1">
      <c r="A29" s="330" t="s">
        <v>255</v>
      </c>
      <c r="B29" s="331">
        <v>2946980</v>
      </c>
      <c r="C29" s="331">
        <v>152097</v>
      </c>
      <c r="D29" s="331">
        <f t="shared" si="0"/>
        <v>3099077</v>
      </c>
      <c r="E29"/>
      <c r="F29" s="331">
        <v>1212697</v>
      </c>
    </row>
    <row r="30" spans="1:6" ht="14.1" customHeight="1">
      <c r="A30" s="26" t="s">
        <v>256</v>
      </c>
      <c r="B30" s="27">
        <v>338165</v>
      </c>
      <c r="C30" s="27">
        <v>19641</v>
      </c>
      <c r="D30" s="27">
        <f t="shared" si="0"/>
        <v>357806</v>
      </c>
      <c r="E30"/>
      <c r="F30" s="27">
        <v>269358</v>
      </c>
    </row>
    <row r="31" spans="1:6" ht="14.1" customHeight="1">
      <c r="A31" s="330" t="s">
        <v>257</v>
      </c>
      <c r="B31" s="331">
        <v>990410</v>
      </c>
      <c r="C31" s="331">
        <v>-2100</v>
      </c>
      <c r="D31" s="331">
        <f t="shared" si="0"/>
        <v>988310</v>
      </c>
      <c r="E31"/>
      <c r="F31" s="331">
        <v>620393</v>
      </c>
    </row>
    <row r="32" spans="1:6" ht="14.1" customHeight="1">
      <c r="A32" s="26" t="s">
        <v>258</v>
      </c>
      <c r="B32" s="27">
        <v>1198916</v>
      </c>
      <c r="C32" s="27">
        <v>36961</v>
      </c>
      <c r="D32" s="27">
        <f t="shared" si="0"/>
        <v>1235877</v>
      </c>
      <c r="E32"/>
      <c r="F32" s="27">
        <v>512996</v>
      </c>
    </row>
    <row r="33" spans="1:6" ht="14.1" customHeight="1">
      <c r="A33" s="330" t="s">
        <v>259</v>
      </c>
      <c r="B33" s="331">
        <v>968477</v>
      </c>
      <c r="C33" s="331">
        <v>11236</v>
      </c>
      <c r="D33" s="331">
        <f t="shared" si="0"/>
        <v>979713</v>
      </c>
      <c r="E33"/>
      <c r="F33" s="331">
        <v>1866460</v>
      </c>
    </row>
    <row r="34" spans="1:6" ht="14.1" customHeight="1">
      <c r="A34" s="26" t="s">
        <v>260</v>
      </c>
      <c r="B34" s="27">
        <v>1131168</v>
      </c>
      <c r="C34" s="27">
        <v>23705</v>
      </c>
      <c r="D34" s="27">
        <f t="shared" si="0"/>
        <v>1154873</v>
      </c>
      <c r="E34"/>
      <c r="F34" s="27">
        <v>655856</v>
      </c>
    </row>
    <row r="35" spans="1:6" ht="14.1" customHeight="1">
      <c r="A35" s="330" t="s">
        <v>261</v>
      </c>
      <c r="B35" s="331">
        <v>4478484</v>
      </c>
      <c r="C35" s="331">
        <v>151628</v>
      </c>
      <c r="D35" s="331">
        <f t="shared" si="0"/>
        <v>4630112</v>
      </c>
      <c r="E35"/>
      <c r="F35" s="331">
        <v>7227575</v>
      </c>
    </row>
    <row r="36" spans="1:6" ht="14.1" customHeight="1">
      <c r="A36" s="26" t="s">
        <v>262</v>
      </c>
      <c r="B36" s="27">
        <v>972178</v>
      </c>
      <c r="C36" s="27">
        <v>0</v>
      </c>
      <c r="D36" s="27">
        <f t="shared" si="0"/>
        <v>972178</v>
      </c>
      <c r="E36"/>
      <c r="F36" s="27">
        <v>1329357</v>
      </c>
    </row>
    <row r="37" spans="1:6" ht="14.1" customHeight="1">
      <c r="A37" s="330" t="s">
        <v>263</v>
      </c>
      <c r="B37" s="331">
        <v>2481616</v>
      </c>
      <c r="C37" s="331">
        <v>30153</v>
      </c>
      <c r="D37" s="331">
        <f t="shared" si="0"/>
        <v>2511769</v>
      </c>
      <c r="E37"/>
      <c r="F37" s="331">
        <v>1090824</v>
      </c>
    </row>
    <row r="38" spans="1:6" ht="14.1" customHeight="1">
      <c r="A38" s="26" t="s">
        <v>264</v>
      </c>
      <c r="B38" s="27">
        <v>4575453</v>
      </c>
      <c r="C38" s="27">
        <v>9333</v>
      </c>
      <c r="D38" s="27">
        <f t="shared" si="0"/>
        <v>4584786</v>
      </c>
      <c r="E38"/>
      <c r="F38" s="27">
        <v>8317959</v>
      </c>
    </row>
    <row r="39" spans="1:6" ht="14.1" customHeight="1">
      <c r="A39" s="330" t="s">
        <v>265</v>
      </c>
      <c r="B39" s="331">
        <v>2190469</v>
      </c>
      <c r="C39" s="331">
        <v>-1068</v>
      </c>
      <c r="D39" s="331">
        <f t="shared" si="0"/>
        <v>2189401</v>
      </c>
      <c r="E39"/>
      <c r="F39" s="331">
        <v>616875</v>
      </c>
    </row>
    <row r="40" spans="1:6" ht="14.1" customHeight="1">
      <c r="A40" s="26" t="s">
        <v>266</v>
      </c>
      <c r="B40" s="27">
        <v>1564451</v>
      </c>
      <c r="C40" s="27">
        <v>52870</v>
      </c>
      <c r="D40" s="27">
        <f t="shared" si="0"/>
        <v>1617321</v>
      </c>
      <c r="E40"/>
      <c r="F40" s="27">
        <v>1964156</v>
      </c>
    </row>
    <row r="41" spans="1:6" ht="14.1" customHeight="1">
      <c r="A41" s="330" t="s">
        <v>267</v>
      </c>
      <c r="B41" s="331">
        <v>2401757</v>
      </c>
      <c r="C41" s="331">
        <v>44892</v>
      </c>
      <c r="D41" s="331">
        <f t="shared" si="0"/>
        <v>2446649</v>
      </c>
      <c r="E41"/>
      <c r="F41" s="331">
        <v>1987004</v>
      </c>
    </row>
    <row r="42" spans="1:6" ht="14.1" customHeight="1">
      <c r="A42" s="26" t="s">
        <v>268</v>
      </c>
      <c r="B42" s="27">
        <v>644728</v>
      </c>
      <c r="C42" s="27">
        <v>71570</v>
      </c>
      <c r="D42" s="27">
        <f t="shared" si="0"/>
        <v>716298</v>
      </c>
      <c r="E42"/>
      <c r="F42" s="27">
        <v>822120</v>
      </c>
    </row>
    <row r="43" spans="1:6" ht="14.1" customHeight="1">
      <c r="A43" s="330" t="s">
        <v>269</v>
      </c>
      <c r="B43" s="331">
        <v>483910</v>
      </c>
      <c r="C43" s="331">
        <v>4964</v>
      </c>
      <c r="D43" s="331">
        <f t="shared" si="0"/>
        <v>488874</v>
      </c>
      <c r="E43"/>
      <c r="F43" s="331">
        <v>265926</v>
      </c>
    </row>
    <row r="44" spans="1:6" ht="14.1" customHeight="1">
      <c r="A44" s="26" t="s">
        <v>270</v>
      </c>
      <c r="B44" s="27">
        <v>470921</v>
      </c>
      <c r="C44" s="27">
        <v>17497</v>
      </c>
      <c r="D44" s="27">
        <f t="shared" si="0"/>
        <v>488418</v>
      </c>
      <c r="E44"/>
      <c r="F44" s="27">
        <v>464446</v>
      </c>
    </row>
    <row r="45" spans="1:6" ht="14.1" customHeight="1">
      <c r="A45" s="330" t="s">
        <v>271</v>
      </c>
      <c r="B45" s="331">
        <v>760869</v>
      </c>
      <c r="C45" s="331">
        <v>4775</v>
      </c>
      <c r="D45" s="331">
        <f t="shared" si="0"/>
        <v>765644</v>
      </c>
      <c r="E45"/>
      <c r="F45" s="331">
        <v>346989</v>
      </c>
    </row>
    <row r="46" spans="1:6" ht="14.1" customHeight="1">
      <c r="A46" s="26" t="s">
        <v>272</v>
      </c>
      <c r="B46" s="27">
        <v>11170040</v>
      </c>
      <c r="C46" s="27">
        <v>1484337</v>
      </c>
      <c r="D46" s="27">
        <f t="shared" si="0"/>
        <v>12654377</v>
      </c>
      <c r="E46"/>
      <c r="F46" s="27">
        <v>2445851</v>
      </c>
    </row>
    <row r="47" spans="1:6" ht="5.0999999999999996" customHeight="1">
      <c r="A47" s="28"/>
      <c r="B47" s="29"/>
      <c r="C47" s="29"/>
      <c r="D47" s="29"/>
      <c r="E47"/>
      <c r="F47" s="29"/>
    </row>
    <row r="48" spans="1:6" ht="14.1" customHeight="1">
      <c r="A48" s="332" t="s">
        <v>273</v>
      </c>
      <c r="B48" s="333">
        <f>SUM(B11:B46)</f>
        <v>75366479</v>
      </c>
      <c r="C48" s="333">
        <f>SUM(C11:C46)</f>
        <v>3801001</v>
      </c>
      <c r="D48" s="333">
        <f>SUM(D11:D46)</f>
        <v>79167480</v>
      </c>
      <c r="E48"/>
      <c r="F48" s="333">
        <f>SUM(F11:F46)</f>
        <v>47491992</v>
      </c>
    </row>
    <row r="49" spans="1:6" ht="5.0999999999999996" customHeight="1">
      <c r="A49" s="28" t="s">
        <v>18</v>
      </c>
      <c r="B49" s="29"/>
      <c r="C49" s="29"/>
      <c r="D49" s="29"/>
      <c r="E49"/>
      <c r="F49" s="29"/>
    </row>
    <row r="50" spans="1:6" ht="14.1" customHeight="1">
      <c r="A50" s="26" t="s">
        <v>274</v>
      </c>
      <c r="B50" s="27">
        <v>0</v>
      </c>
      <c r="C50" s="27">
        <v>0</v>
      </c>
      <c r="D50" s="27">
        <f>SUM(B50:C50)</f>
        <v>0</v>
      </c>
      <c r="E50"/>
      <c r="F50" s="27">
        <v>46674</v>
      </c>
    </row>
    <row r="51" spans="1:6" ht="14.1" customHeight="1">
      <c r="A51" s="330" t="s">
        <v>275</v>
      </c>
      <c r="B51" s="331">
        <v>121188</v>
      </c>
      <c r="C51" s="331">
        <v>0</v>
      </c>
      <c r="D51" s="331">
        <f>SUM(B51:C51)</f>
        <v>121188</v>
      </c>
      <c r="E51"/>
      <c r="F51" s="331">
        <v>693794</v>
      </c>
    </row>
    <row r="52" spans="1:6" ht="50.1" customHeight="1">
      <c r="A52" s="30"/>
      <c r="B52" s="30"/>
      <c r="C52" s="30"/>
      <c r="D52" s="30"/>
      <c r="E52" s="30"/>
      <c r="F52" s="30"/>
    </row>
    <row r="53" spans="1:6" ht="13.5" customHeight="1">
      <c r="A53" s="519" t="s">
        <v>638</v>
      </c>
      <c r="B53" s="206"/>
      <c r="C53" s="206"/>
      <c r="D53" s="206"/>
      <c r="E53" s="206"/>
    </row>
    <row r="54" spans="1:6">
      <c r="A54" s="519" t="s">
        <v>639</v>
      </c>
    </row>
  </sheetData>
  <mergeCells count="2">
    <mergeCell ref="B2:E2"/>
    <mergeCell ref="B3:E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sheetPr codeName="Sheet41">
    <pageSetUpPr fitToPage="1"/>
  </sheetPr>
  <dimension ref="A1:E55"/>
  <sheetViews>
    <sheetView showGridLines="0" showZeros="0" workbookViewId="0"/>
  </sheetViews>
  <sheetFormatPr defaultColWidth="19.83203125" defaultRowHeight="12"/>
  <cols>
    <col min="1" max="1" width="32.83203125" style="1" customWidth="1"/>
    <col min="2" max="4" width="18.83203125" style="1" customWidth="1"/>
    <col min="5" max="5" width="44.83203125" style="1" customWidth="1"/>
    <col min="6" max="16384" width="19.83203125" style="1"/>
  </cols>
  <sheetData>
    <row r="1" spans="1:5" ht="6.95" customHeight="1">
      <c r="A1" s="6"/>
      <c r="B1" s="6"/>
    </row>
    <row r="2" spans="1:5" ht="15.95" customHeight="1">
      <c r="A2" s="152"/>
      <c r="B2" s="703" t="str">
        <f>"CAPITAL FUND "&amp;FALLYR&amp;"/"&amp;SPRINGYR&amp;" ACTUAL"</f>
        <v>CAPITAL FUND 2011/2012 ACTUAL</v>
      </c>
      <c r="C2" s="703"/>
      <c r="D2" s="703"/>
      <c r="E2" s="264" t="s">
        <v>472</v>
      </c>
    </row>
    <row r="3" spans="1:5" ht="15.95" customHeight="1">
      <c r="A3" s="154"/>
      <c r="B3" s="702" t="s">
        <v>503</v>
      </c>
      <c r="C3" s="702"/>
      <c r="D3" s="702"/>
      <c r="E3" s="258"/>
    </row>
    <row r="4" spans="1:5" ht="15.95" customHeight="1">
      <c r="C4" s="7"/>
      <c r="D4" s="7"/>
    </row>
    <row r="5" spans="1:5" ht="15.95" customHeight="1">
      <c r="B5" s="559"/>
      <c r="C5" s="560"/>
      <c r="D5" s="560"/>
    </row>
    <row r="6" spans="1:5" ht="15.95" customHeight="1">
      <c r="B6" s="524" t="s">
        <v>468</v>
      </c>
      <c r="C6" s="705" t="s">
        <v>489</v>
      </c>
      <c r="D6" s="706"/>
    </row>
    <row r="7" spans="1:5" ht="15.95" customHeight="1">
      <c r="B7" s="525" t="s">
        <v>467</v>
      </c>
      <c r="C7" s="523" t="s">
        <v>490</v>
      </c>
      <c r="D7" s="512"/>
    </row>
    <row r="8" spans="1:5" ht="15.95" customHeight="1">
      <c r="A8" s="506"/>
      <c r="B8" s="525" t="s">
        <v>469</v>
      </c>
      <c r="C8" s="523" t="s">
        <v>491</v>
      </c>
      <c r="D8" s="523" t="s">
        <v>488</v>
      </c>
    </row>
    <row r="9" spans="1:5" ht="15.95" customHeight="1">
      <c r="A9" s="507" t="s">
        <v>95</v>
      </c>
      <c r="B9" s="526" t="s">
        <v>470</v>
      </c>
      <c r="C9" s="542" t="s">
        <v>501</v>
      </c>
      <c r="D9" s="542" t="s">
        <v>502</v>
      </c>
    </row>
    <row r="10" spans="1:5" ht="5.0999999999999996" customHeight="1">
      <c r="A10" s="5"/>
      <c r="B10" s="236"/>
      <c r="C10" s="236"/>
    </row>
    <row r="11" spans="1:5" ht="14.1" customHeight="1">
      <c r="A11" s="330" t="s">
        <v>238</v>
      </c>
      <c r="B11" s="529">
        <v>2619677</v>
      </c>
      <c r="C11" s="527">
        <v>1977733</v>
      </c>
      <c r="D11" s="331">
        <v>641944</v>
      </c>
    </row>
    <row r="12" spans="1:5" ht="14.1" customHeight="1">
      <c r="A12" s="26" t="s">
        <v>239</v>
      </c>
      <c r="B12" s="530">
        <v>8245625</v>
      </c>
      <c r="C12" s="528">
        <v>3510225</v>
      </c>
      <c r="D12" s="27">
        <v>4735400</v>
      </c>
    </row>
    <row r="13" spans="1:5" ht="14.1" customHeight="1">
      <c r="A13" s="330" t="s">
        <v>240</v>
      </c>
      <c r="B13" s="529">
        <v>10450033</v>
      </c>
      <c r="C13" s="527">
        <v>9273303</v>
      </c>
      <c r="D13" s="331">
        <v>1176730</v>
      </c>
    </row>
    <row r="14" spans="1:5" ht="14.1" customHeight="1">
      <c r="A14" s="26" t="s">
        <v>653</v>
      </c>
      <c r="B14" s="530">
        <v>20871439</v>
      </c>
      <c r="C14" s="528">
        <v>20306439</v>
      </c>
      <c r="D14" s="27">
        <v>565000</v>
      </c>
    </row>
    <row r="15" spans="1:5" ht="14.1" customHeight="1">
      <c r="A15" s="330" t="s">
        <v>241</v>
      </c>
      <c r="B15" s="529">
        <v>4144865</v>
      </c>
      <c r="C15" s="527">
        <v>2720099</v>
      </c>
      <c r="D15" s="331">
        <v>1424766</v>
      </c>
    </row>
    <row r="16" spans="1:5" ht="14.1" customHeight="1">
      <c r="A16" s="26" t="s">
        <v>242</v>
      </c>
      <c r="B16" s="530">
        <v>1365751</v>
      </c>
      <c r="C16" s="528">
        <v>1275751</v>
      </c>
      <c r="D16" s="27">
        <v>90000</v>
      </c>
    </row>
    <row r="17" spans="1:4" ht="14.1" customHeight="1">
      <c r="A17" s="330" t="s">
        <v>243</v>
      </c>
      <c r="B17" s="529">
        <v>3749898</v>
      </c>
      <c r="C17" s="527">
        <v>3517662</v>
      </c>
      <c r="D17" s="331">
        <v>232236</v>
      </c>
    </row>
    <row r="18" spans="1:4" ht="14.1" customHeight="1">
      <c r="A18" s="26" t="s">
        <v>244</v>
      </c>
      <c r="B18" s="530">
        <v>15393042</v>
      </c>
      <c r="C18" s="528">
        <v>13937589</v>
      </c>
      <c r="D18" s="27">
        <v>1455453</v>
      </c>
    </row>
    <row r="19" spans="1:4" ht="14.1" customHeight="1">
      <c r="A19" s="330" t="s">
        <v>245</v>
      </c>
      <c r="B19" s="529">
        <v>14622266</v>
      </c>
      <c r="C19" s="527">
        <v>12658244</v>
      </c>
      <c r="D19" s="331">
        <v>1964022</v>
      </c>
    </row>
    <row r="20" spans="1:4" ht="14.1" customHeight="1">
      <c r="A20" s="26" t="s">
        <v>246</v>
      </c>
      <c r="B20" s="530">
        <v>10509581</v>
      </c>
      <c r="C20" s="528">
        <v>10324487</v>
      </c>
      <c r="D20" s="44">
        <v>185094</v>
      </c>
    </row>
    <row r="21" spans="1:4" ht="14.1" customHeight="1">
      <c r="A21" s="330" t="s">
        <v>247</v>
      </c>
      <c r="B21" s="529">
        <v>3610217</v>
      </c>
      <c r="C21" s="527">
        <v>3610217</v>
      </c>
      <c r="D21" s="331">
        <v>0</v>
      </c>
    </row>
    <row r="22" spans="1:4" ht="14.1" customHeight="1">
      <c r="A22" s="26" t="s">
        <v>248</v>
      </c>
      <c r="B22" s="530">
        <v>333619</v>
      </c>
      <c r="C22" s="528">
        <v>333619</v>
      </c>
      <c r="D22" s="27">
        <v>0</v>
      </c>
    </row>
    <row r="23" spans="1:4" ht="14.1" customHeight="1">
      <c r="A23" s="330" t="s">
        <v>249</v>
      </c>
      <c r="B23" s="529">
        <v>2969350</v>
      </c>
      <c r="C23" s="527">
        <v>1626314</v>
      </c>
      <c r="D23" s="331">
        <v>1343036</v>
      </c>
    </row>
    <row r="24" spans="1:4" ht="14.1" customHeight="1">
      <c r="A24" s="26" t="s">
        <v>250</v>
      </c>
      <c r="B24" s="530">
        <v>7588154</v>
      </c>
      <c r="C24" s="528">
        <v>7354573</v>
      </c>
      <c r="D24" s="27">
        <v>233581</v>
      </c>
    </row>
    <row r="25" spans="1:4" ht="14.1" customHeight="1">
      <c r="A25" s="330" t="s">
        <v>251</v>
      </c>
      <c r="B25" s="529">
        <v>20766778</v>
      </c>
      <c r="C25" s="527">
        <v>18941778</v>
      </c>
      <c r="D25" s="331">
        <v>1825000</v>
      </c>
    </row>
    <row r="26" spans="1:4" ht="14.1" customHeight="1">
      <c r="A26" s="26" t="s">
        <v>252</v>
      </c>
      <c r="B26" s="530">
        <v>2968126</v>
      </c>
      <c r="C26" s="528">
        <v>2550068</v>
      </c>
      <c r="D26" s="27">
        <v>418058</v>
      </c>
    </row>
    <row r="27" spans="1:4" ht="14.1" customHeight="1">
      <c r="A27" s="330" t="s">
        <v>253</v>
      </c>
      <c r="B27" s="529">
        <v>5301829</v>
      </c>
      <c r="C27" s="527">
        <v>4973108</v>
      </c>
      <c r="D27" s="331">
        <v>328721</v>
      </c>
    </row>
    <row r="28" spans="1:4" ht="14.1" customHeight="1">
      <c r="A28" s="26" t="s">
        <v>254</v>
      </c>
      <c r="B28" s="530">
        <v>2041257</v>
      </c>
      <c r="C28" s="528">
        <v>1515183</v>
      </c>
      <c r="D28" s="27">
        <v>526074</v>
      </c>
    </row>
    <row r="29" spans="1:4" ht="14.1" customHeight="1">
      <c r="A29" s="330" t="s">
        <v>255</v>
      </c>
      <c r="B29" s="529">
        <v>22374134</v>
      </c>
      <c r="C29" s="527">
        <v>19438000</v>
      </c>
      <c r="D29" s="331">
        <v>2936134</v>
      </c>
    </row>
    <row r="30" spans="1:4" ht="14.1" customHeight="1">
      <c r="A30" s="26" t="s">
        <v>256</v>
      </c>
      <c r="B30" s="530">
        <v>1869867</v>
      </c>
      <c r="C30" s="528">
        <v>1465087</v>
      </c>
      <c r="D30" s="27">
        <v>404780</v>
      </c>
    </row>
    <row r="31" spans="1:4" ht="14.1" customHeight="1">
      <c r="A31" s="330" t="s">
        <v>257</v>
      </c>
      <c r="B31" s="529">
        <v>4369814</v>
      </c>
      <c r="C31" s="527">
        <v>4244814</v>
      </c>
      <c r="D31" s="331">
        <v>125000</v>
      </c>
    </row>
    <row r="32" spans="1:4" ht="14.1" customHeight="1">
      <c r="A32" s="26" t="s">
        <v>258</v>
      </c>
      <c r="B32" s="530">
        <v>4161659</v>
      </c>
      <c r="C32" s="528">
        <v>3358351</v>
      </c>
      <c r="D32" s="27">
        <v>803308</v>
      </c>
    </row>
    <row r="33" spans="1:4" ht="14.1" customHeight="1">
      <c r="A33" s="330" t="s">
        <v>259</v>
      </c>
      <c r="B33" s="529">
        <v>4916758</v>
      </c>
      <c r="C33" s="527">
        <v>3772650</v>
      </c>
      <c r="D33" s="331">
        <v>1144108</v>
      </c>
    </row>
    <row r="34" spans="1:4" ht="14.1" customHeight="1">
      <c r="A34" s="26" t="s">
        <v>260</v>
      </c>
      <c r="B34" s="530">
        <v>5108298</v>
      </c>
      <c r="C34" s="528">
        <v>4583946</v>
      </c>
      <c r="D34" s="27">
        <v>524352</v>
      </c>
    </row>
    <row r="35" spans="1:4" ht="14.1" customHeight="1">
      <c r="A35" s="330" t="s">
        <v>261</v>
      </c>
      <c r="B35" s="529">
        <v>27926180</v>
      </c>
      <c r="C35" s="527">
        <v>21368481</v>
      </c>
      <c r="D35" s="331">
        <v>6557699</v>
      </c>
    </row>
    <row r="36" spans="1:4" ht="14.1" customHeight="1">
      <c r="A36" s="26" t="s">
        <v>262</v>
      </c>
      <c r="B36" s="530">
        <v>4187856</v>
      </c>
      <c r="C36" s="528">
        <v>2076468</v>
      </c>
      <c r="D36" s="27">
        <v>2111388</v>
      </c>
    </row>
    <row r="37" spans="1:4" ht="14.1" customHeight="1">
      <c r="A37" s="330" t="s">
        <v>263</v>
      </c>
      <c r="B37" s="529">
        <v>6757102</v>
      </c>
      <c r="C37" s="527">
        <v>6232031</v>
      </c>
      <c r="D37" s="331">
        <v>525071</v>
      </c>
    </row>
    <row r="38" spans="1:4" ht="14.1" customHeight="1">
      <c r="A38" s="26" t="s">
        <v>264</v>
      </c>
      <c r="B38" s="530">
        <v>35347456</v>
      </c>
      <c r="C38" s="528">
        <v>28948609</v>
      </c>
      <c r="D38" s="27">
        <v>6398847</v>
      </c>
    </row>
    <row r="39" spans="1:4" ht="14.1" customHeight="1">
      <c r="A39" s="330" t="s">
        <v>265</v>
      </c>
      <c r="B39" s="529">
        <v>1960095</v>
      </c>
      <c r="C39" s="527">
        <v>1901554</v>
      </c>
      <c r="D39" s="331">
        <v>58541</v>
      </c>
    </row>
    <row r="40" spans="1:4" ht="14.1" customHeight="1">
      <c r="A40" s="26" t="s">
        <v>266</v>
      </c>
      <c r="B40" s="530">
        <v>30213042</v>
      </c>
      <c r="C40" s="528">
        <v>24886970</v>
      </c>
      <c r="D40" s="27">
        <v>5326072</v>
      </c>
    </row>
    <row r="41" spans="1:4" ht="14.1" customHeight="1">
      <c r="A41" s="330" t="s">
        <v>267</v>
      </c>
      <c r="B41" s="529">
        <v>11686670</v>
      </c>
      <c r="C41" s="527">
        <v>8755697</v>
      </c>
      <c r="D41" s="331">
        <v>2930973</v>
      </c>
    </row>
    <row r="42" spans="1:4" ht="14.1" customHeight="1">
      <c r="A42" s="26" t="s">
        <v>268</v>
      </c>
      <c r="B42" s="530">
        <v>3952098</v>
      </c>
      <c r="C42" s="528">
        <v>2174136</v>
      </c>
      <c r="D42" s="27">
        <v>1777962</v>
      </c>
    </row>
    <row r="43" spans="1:4" ht="14.1" customHeight="1">
      <c r="A43" s="330" t="s">
        <v>269</v>
      </c>
      <c r="B43" s="529">
        <v>910430</v>
      </c>
      <c r="C43" s="527">
        <v>626891</v>
      </c>
      <c r="D43" s="331">
        <v>283539</v>
      </c>
    </row>
    <row r="44" spans="1:4" ht="14.1" customHeight="1">
      <c r="A44" s="26" t="s">
        <v>270</v>
      </c>
      <c r="B44" s="530">
        <v>2193099</v>
      </c>
      <c r="C44" s="528">
        <v>1314674</v>
      </c>
      <c r="D44" s="27">
        <v>878425</v>
      </c>
    </row>
    <row r="45" spans="1:4" ht="14.1" customHeight="1">
      <c r="A45" s="330" t="s">
        <v>271</v>
      </c>
      <c r="B45" s="529">
        <v>3795996</v>
      </c>
      <c r="C45" s="527">
        <v>3706641</v>
      </c>
      <c r="D45" s="331">
        <v>89355</v>
      </c>
    </row>
    <row r="46" spans="1:4" ht="14.1" customHeight="1">
      <c r="A46" s="26" t="s">
        <v>272</v>
      </c>
      <c r="B46" s="530">
        <v>47375122</v>
      </c>
      <c r="C46" s="528">
        <v>46169522</v>
      </c>
      <c r="D46" s="27">
        <v>1205600</v>
      </c>
    </row>
    <row r="47" spans="1:4" ht="5.0999999999999996" customHeight="1">
      <c r="A47" s="28"/>
      <c r="B47" s="29"/>
      <c r="C47" s="29"/>
      <c r="D47" s="29"/>
    </row>
    <row r="48" spans="1:4" ht="14.1" customHeight="1">
      <c r="A48" s="332" t="s">
        <v>273</v>
      </c>
      <c r="B48" s="532">
        <f>SUM(B11:B46)</f>
        <v>356657183</v>
      </c>
      <c r="C48" s="531">
        <f>SUM(C11:C46)</f>
        <v>305430914</v>
      </c>
      <c r="D48" s="333">
        <f>SUM(D11:D46)</f>
        <v>51226269</v>
      </c>
    </row>
    <row r="49" spans="1:5" ht="5.0999999999999996" customHeight="1">
      <c r="A49" s="28" t="s">
        <v>18</v>
      </c>
      <c r="B49" s="29"/>
      <c r="C49" s="29"/>
      <c r="D49" s="29"/>
    </row>
    <row r="50" spans="1:5" ht="14.1" customHeight="1">
      <c r="A50" s="26" t="s">
        <v>274</v>
      </c>
      <c r="B50" s="530">
        <v>1242350</v>
      </c>
      <c r="C50" s="528">
        <v>1242350</v>
      </c>
      <c r="D50" s="44">
        <v>0</v>
      </c>
    </row>
    <row r="51" spans="1:5" ht="14.1" customHeight="1">
      <c r="A51" s="330" t="s">
        <v>275</v>
      </c>
      <c r="B51" s="529">
        <v>4885319</v>
      </c>
      <c r="C51" s="527">
        <v>4885319</v>
      </c>
      <c r="D51" s="331">
        <v>0</v>
      </c>
    </row>
    <row r="52" spans="1:5" ht="50.1" customHeight="1">
      <c r="A52" s="30"/>
      <c r="B52" s="30"/>
      <c r="C52" s="30"/>
      <c r="D52" s="30"/>
      <c r="E52" s="30"/>
    </row>
    <row r="53" spans="1:5" ht="15" customHeight="1">
      <c r="A53" s="550" t="s">
        <v>640</v>
      </c>
      <c r="B53" s="206"/>
      <c r="C53" s="206"/>
      <c r="D53" s="206"/>
      <c r="E53" s="206"/>
    </row>
    <row r="54" spans="1:5">
      <c r="A54" s="550" t="s">
        <v>507</v>
      </c>
    </row>
    <row r="55" spans="1:5">
      <c r="A55" s="645" t="s">
        <v>641</v>
      </c>
    </row>
  </sheetData>
  <mergeCells count="3">
    <mergeCell ref="C6:D6"/>
    <mergeCell ref="B2:D2"/>
    <mergeCell ref="B3:D3"/>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sheetPr codeName="Sheet43"/>
  <dimension ref="A1:G57"/>
  <sheetViews>
    <sheetView showGridLines="0" showZeros="0" workbookViewId="0"/>
  </sheetViews>
  <sheetFormatPr defaultColWidth="15.83203125" defaultRowHeight="12"/>
  <cols>
    <col min="1" max="1" width="29" style="1" customWidth="1"/>
    <col min="2" max="2" width="14.33203125" style="1" customWidth="1"/>
    <col min="3" max="3" width="16.33203125" style="1" customWidth="1"/>
    <col min="4" max="4" width="15.1640625" style="1" customWidth="1"/>
    <col min="5" max="5" width="15" style="1" customWidth="1"/>
    <col min="6" max="6" width="15.1640625" style="1" customWidth="1"/>
    <col min="7" max="7" width="16.6640625" style="1" customWidth="1"/>
    <col min="8" max="16384" width="15.83203125" style="1"/>
  </cols>
  <sheetData>
    <row r="1" spans="1:7" ht="6.95" customHeight="1">
      <c r="A1" s="6"/>
    </row>
    <row r="2" spans="1:7" ht="15.95" customHeight="1">
      <c r="A2" s="152"/>
      <c r="B2" s="703" t="str">
        <f>"CAPITAL FUND "&amp;FALLYR&amp;"/"&amp;SPRINGYR&amp;" ACTUAL"</f>
        <v>CAPITAL FUND 2011/2012 ACTUAL</v>
      </c>
      <c r="C2" s="703"/>
      <c r="D2" s="703"/>
      <c r="E2" s="703"/>
      <c r="F2" s="703"/>
      <c r="G2" s="264" t="s">
        <v>474</v>
      </c>
    </row>
    <row r="3" spans="1:7" ht="15.95" customHeight="1">
      <c r="A3" s="154"/>
      <c r="B3" s="702" t="s">
        <v>4</v>
      </c>
      <c r="C3" s="702"/>
      <c r="D3" s="702"/>
      <c r="E3" s="702"/>
      <c r="F3" s="702"/>
      <c r="G3" s="258"/>
    </row>
    <row r="4" spans="1:7" ht="15.95" customHeight="1">
      <c r="B4" s="7"/>
      <c r="C4" s="259"/>
      <c r="D4" s="7"/>
      <c r="E4" s="7"/>
    </row>
    <row r="5" spans="1:7" ht="15.95" customHeight="1">
      <c r="B5" s="7"/>
      <c r="C5" s="7"/>
      <c r="D5" s="7"/>
      <c r="E5" s="7"/>
    </row>
    <row r="6" spans="1:7" ht="15.95" customHeight="1">
      <c r="B6" s="709" t="s">
        <v>517</v>
      </c>
      <c r="C6" s="710"/>
      <c r="D6" s="710"/>
      <c r="E6" s="710"/>
      <c r="F6" s="710"/>
      <c r="G6" s="711"/>
    </row>
    <row r="7" spans="1:7" ht="15.95" customHeight="1">
      <c r="B7" s="533"/>
      <c r="C7" s="575"/>
      <c r="D7" s="554" t="s">
        <v>512</v>
      </c>
      <c r="E7" s="554" t="s">
        <v>513</v>
      </c>
      <c r="F7" s="533"/>
      <c r="G7" s="515"/>
    </row>
    <row r="8" spans="1:7" ht="15.95" customHeight="1">
      <c r="A8" s="506"/>
      <c r="B8" s="707" t="s">
        <v>500</v>
      </c>
      <c r="C8" s="555"/>
      <c r="D8" s="555" t="s">
        <v>514</v>
      </c>
      <c r="E8" s="555" t="s">
        <v>515</v>
      </c>
      <c r="F8" s="534"/>
      <c r="G8" s="516"/>
    </row>
    <row r="9" spans="1:7" ht="15.95" customHeight="1">
      <c r="A9" s="507" t="s">
        <v>95</v>
      </c>
      <c r="B9" s="708"/>
      <c r="C9" s="535" t="s">
        <v>531</v>
      </c>
      <c r="D9" s="511" t="s">
        <v>159</v>
      </c>
      <c r="E9" s="556" t="s">
        <v>673</v>
      </c>
      <c r="F9" s="535" t="s">
        <v>674</v>
      </c>
      <c r="G9" s="346" t="s">
        <v>69</v>
      </c>
    </row>
    <row r="10" spans="1:7" ht="5.0999999999999996" customHeight="1">
      <c r="A10" s="5"/>
      <c r="B10" s="236"/>
      <c r="C10" s="236"/>
      <c r="D10" s="236"/>
      <c r="E10" s="236"/>
      <c r="F10" s="236"/>
      <c r="G10" s="236"/>
    </row>
    <row r="11" spans="1:7" ht="14.1" customHeight="1">
      <c r="A11" s="330" t="s">
        <v>238</v>
      </c>
      <c r="B11" s="331">
        <v>0</v>
      </c>
      <c r="C11" s="331">
        <v>1230729</v>
      </c>
      <c r="D11" s="331">
        <v>0</v>
      </c>
      <c r="E11" s="331">
        <v>42680</v>
      </c>
      <c r="F11" s="331">
        <v>85536</v>
      </c>
      <c r="G11" s="331">
        <f>SUM(B11:F11)</f>
        <v>1358945</v>
      </c>
    </row>
    <row r="12" spans="1:7" ht="14.1" customHeight="1">
      <c r="A12" s="26" t="s">
        <v>239</v>
      </c>
      <c r="B12" s="27">
        <v>257627</v>
      </c>
      <c r="C12" s="27">
        <v>252101</v>
      </c>
      <c r="D12" s="27">
        <v>81479</v>
      </c>
      <c r="E12" s="27">
        <v>76485</v>
      </c>
      <c r="F12" s="27">
        <v>306647</v>
      </c>
      <c r="G12" s="27">
        <f>SUM(B12:F12)</f>
        <v>974339</v>
      </c>
    </row>
    <row r="13" spans="1:7" ht="14.1" customHeight="1">
      <c r="A13" s="330" t="s">
        <v>240</v>
      </c>
      <c r="B13" s="331">
        <v>0</v>
      </c>
      <c r="C13" s="331">
        <v>2007200</v>
      </c>
      <c r="D13" s="331">
        <v>0</v>
      </c>
      <c r="E13" s="331">
        <v>214722</v>
      </c>
      <c r="F13" s="331">
        <v>291579</v>
      </c>
      <c r="G13" s="331">
        <f t="shared" ref="G13:G46" si="0">SUM(B13:F13)</f>
        <v>2513501</v>
      </c>
    </row>
    <row r="14" spans="1:7" ht="14.1" customHeight="1">
      <c r="A14" s="26" t="s">
        <v>653</v>
      </c>
      <c r="B14" s="27">
        <v>393067</v>
      </c>
      <c r="C14" s="27">
        <v>1053514</v>
      </c>
      <c r="D14" s="27">
        <v>398980</v>
      </c>
      <c r="E14" s="27">
        <v>79969</v>
      </c>
      <c r="F14" s="27">
        <v>53738</v>
      </c>
      <c r="G14" s="27">
        <f t="shared" si="0"/>
        <v>1979268</v>
      </c>
    </row>
    <row r="15" spans="1:7" ht="14.1" customHeight="1">
      <c r="A15" s="330" t="s">
        <v>241</v>
      </c>
      <c r="B15" s="331">
        <v>0</v>
      </c>
      <c r="C15" s="331">
        <v>745751</v>
      </c>
      <c r="D15" s="331">
        <v>174291</v>
      </c>
      <c r="E15" s="331">
        <v>1550422</v>
      </c>
      <c r="F15" s="331">
        <v>311407</v>
      </c>
      <c r="G15" s="331">
        <f t="shared" si="0"/>
        <v>2781871</v>
      </c>
    </row>
    <row r="16" spans="1:7" ht="14.1" customHeight="1">
      <c r="A16" s="26" t="s">
        <v>242</v>
      </c>
      <c r="B16" s="27">
        <v>0</v>
      </c>
      <c r="C16" s="27">
        <v>635136</v>
      </c>
      <c r="D16" s="27">
        <v>19049</v>
      </c>
      <c r="E16" s="27">
        <v>0</v>
      </c>
      <c r="F16" s="27">
        <v>0</v>
      </c>
      <c r="G16" s="27">
        <f t="shared" si="0"/>
        <v>654185</v>
      </c>
    </row>
    <row r="17" spans="1:7" ht="14.1" customHeight="1">
      <c r="A17" s="330" t="s">
        <v>243</v>
      </c>
      <c r="B17" s="331">
        <v>0</v>
      </c>
      <c r="C17" s="331">
        <v>574884</v>
      </c>
      <c r="D17" s="331">
        <v>60991</v>
      </c>
      <c r="E17" s="331">
        <v>1270</v>
      </c>
      <c r="F17" s="331">
        <v>86273</v>
      </c>
      <c r="G17" s="331">
        <f t="shared" si="0"/>
        <v>723418</v>
      </c>
    </row>
    <row r="18" spans="1:7" ht="14.1" customHeight="1">
      <c r="A18" s="26" t="s">
        <v>244</v>
      </c>
      <c r="B18" s="27">
        <v>0</v>
      </c>
      <c r="C18" s="27">
        <v>792049</v>
      </c>
      <c r="D18" s="27">
        <v>49580</v>
      </c>
      <c r="E18" s="27">
        <v>0</v>
      </c>
      <c r="F18" s="27">
        <v>665505</v>
      </c>
      <c r="G18" s="27">
        <f t="shared" si="0"/>
        <v>1507134</v>
      </c>
    </row>
    <row r="19" spans="1:7" ht="14.1" customHeight="1">
      <c r="A19" s="330" t="s">
        <v>245</v>
      </c>
      <c r="B19" s="331">
        <v>624636</v>
      </c>
      <c r="C19" s="331">
        <v>15204826</v>
      </c>
      <c r="D19" s="331">
        <v>73255</v>
      </c>
      <c r="E19" s="331">
        <v>269908</v>
      </c>
      <c r="F19" s="331">
        <v>374754</v>
      </c>
      <c r="G19" s="331">
        <f t="shared" si="0"/>
        <v>16547379</v>
      </c>
    </row>
    <row r="20" spans="1:7" ht="14.1" customHeight="1">
      <c r="A20" s="26" t="s">
        <v>246</v>
      </c>
      <c r="B20" s="27">
        <v>0</v>
      </c>
      <c r="C20" s="27">
        <v>21096314</v>
      </c>
      <c r="D20" s="27">
        <v>113575</v>
      </c>
      <c r="E20" s="27">
        <v>17240</v>
      </c>
      <c r="F20" s="27">
        <v>414562</v>
      </c>
      <c r="G20" s="27">
        <f t="shared" si="0"/>
        <v>21641691</v>
      </c>
    </row>
    <row r="21" spans="1:7" ht="14.1" customHeight="1">
      <c r="A21" s="330" t="s">
        <v>247</v>
      </c>
      <c r="B21" s="331">
        <v>0</v>
      </c>
      <c r="C21" s="331">
        <v>670669</v>
      </c>
      <c r="D21" s="331">
        <v>47566</v>
      </c>
      <c r="E21" s="331">
        <v>0</v>
      </c>
      <c r="F21" s="331">
        <v>470255</v>
      </c>
      <c r="G21" s="331">
        <f t="shared" si="0"/>
        <v>1188490</v>
      </c>
    </row>
    <row r="22" spans="1:7" ht="14.1" customHeight="1">
      <c r="A22" s="26" t="s">
        <v>248</v>
      </c>
      <c r="B22" s="27">
        <v>0</v>
      </c>
      <c r="C22" s="27">
        <v>8537548</v>
      </c>
      <c r="D22" s="27">
        <v>46607</v>
      </c>
      <c r="E22" s="27">
        <v>32502</v>
      </c>
      <c r="F22" s="27">
        <v>0</v>
      </c>
      <c r="G22" s="27">
        <f t="shared" si="0"/>
        <v>8616657</v>
      </c>
    </row>
    <row r="23" spans="1:7" ht="14.1" customHeight="1">
      <c r="A23" s="330" t="s">
        <v>249</v>
      </c>
      <c r="B23" s="331">
        <v>0</v>
      </c>
      <c r="C23" s="331">
        <v>407480</v>
      </c>
      <c r="D23" s="331">
        <v>115431</v>
      </c>
      <c r="E23" s="331">
        <v>0</v>
      </c>
      <c r="F23" s="331">
        <v>0</v>
      </c>
      <c r="G23" s="331">
        <f t="shared" si="0"/>
        <v>522911</v>
      </c>
    </row>
    <row r="24" spans="1:7" ht="14.1" customHeight="1">
      <c r="A24" s="26" t="s">
        <v>250</v>
      </c>
      <c r="B24" s="27">
        <v>124460</v>
      </c>
      <c r="C24" s="27">
        <v>1214738</v>
      </c>
      <c r="D24" s="27">
        <v>67476</v>
      </c>
      <c r="E24" s="27">
        <v>262291</v>
      </c>
      <c r="F24" s="27">
        <v>482325</v>
      </c>
      <c r="G24" s="27">
        <f t="shared" si="0"/>
        <v>2151290</v>
      </c>
    </row>
    <row r="25" spans="1:7" ht="14.1" customHeight="1">
      <c r="A25" s="330" t="s">
        <v>251</v>
      </c>
      <c r="B25" s="331">
        <v>0</v>
      </c>
      <c r="C25" s="331">
        <v>-688395</v>
      </c>
      <c r="D25" s="331">
        <v>156534</v>
      </c>
      <c r="E25" s="331">
        <v>3366337</v>
      </c>
      <c r="F25" s="331">
        <v>383161</v>
      </c>
      <c r="G25" s="331">
        <f t="shared" si="0"/>
        <v>3217637</v>
      </c>
    </row>
    <row r="26" spans="1:7" ht="14.1" customHeight="1">
      <c r="A26" s="26" t="s">
        <v>252</v>
      </c>
      <c r="B26" s="27">
        <v>0</v>
      </c>
      <c r="C26" s="27">
        <v>3740094</v>
      </c>
      <c r="D26" s="27">
        <v>0</v>
      </c>
      <c r="E26" s="27">
        <v>0</v>
      </c>
      <c r="F26" s="27">
        <v>536751</v>
      </c>
      <c r="G26" s="27">
        <f t="shared" si="0"/>
        <v>4276845</v>
      </c>
    </row>
    <row r="27" spans="1:7" ht="14.1" customHeight="1">
      <c r="A27" s="330" t="s">
        <v>253</v>
      </c>
      <c r="B27" s="331">
        <v>0</v>
      </c>
      <c r="C27" s="331">
        <v>1086858</v>
      </c>
      <c r="D27" s="331">
        <v>32143</v>
      </c>
      <c r="E27" s="331">
        <v>74101</v>
      </c>
      <c r="F27" s="331">
        <v>0</v>
      </c>
      <c r="G27" s="331">
        <f t="shared" si="0"/>
        <v>1193102</v>
      </c>
    </row>
    <row r="28" spans="1:7" ht="14.1" customHeight="1">
      <c r="A28" s="26" t="s">
        <v>254</v>
      </c>
      <c r="B28" s="27">
        <v>0</v>
      </c>
      <c r="C28" s="27">
        <v>526583</v>
      </c>
      <c r="D28" s="27">
        <v>65349</v>
      </c>
      <c r="E28" s="27">
        <v>0</v>
      </c>
      <c r="F28" s="27">
        <v>101853</v>
      </c>
      <c r="G28" s="27">
        <f t="shared" si="0"/>
        <v>693785</v>
      </c>
    </row>
    <row r="29" spans="1:7" ht="14.1" customHeight="1">
      <c r="A29" s="330" t="s">
        <v>255</v>
      </c>
      <c r="B29" s="331">
        <v>359044</v>
      </c>
      <c r="C29" s="331">
        <v>4056955</v>
      </c>
      <c r="D29" s="331">
        <v>23668</v>
      </c>
      <c r="E29" s="331">
        <v>75391</v>
      </c>
      <c r="F29" s="331">
        <v>334146</v>
      </c>
      <c r="G29" s="331">
        <f t="shared" si="0"/>
        <v>4849204</v>
      </c>
    </row>
    <row r="30" spans="1:7" ht="14.1" customHeight="1">
      <c r="A30" s="26" t="s">
        <v>256</v>
      </c>
      <c r="B30" s="27">
        <v>0</v>
      </c>
      <c r="C30" s="27">
        <v>467585</v>
      </c>
      <c r="D30" s="27">
        <v>35364</v>
      </c>
      <c r="E30" s="27">
        <v>0</v>
      </c>
      <c r="F30" s="27">
        <v>239234</v>
      </c>
      <c r="G30" s="27">
        <f t="shared" si="0"/>
        <v>742183</v>
      </c>
    </row>
    <row r="31" spans="1:7" ht="14.1" customHeight="1">
      <c r="A31" s="330" t="s">
        <v>257</v>
      </c>
      <c r="B31" s="331">
        <v>0</v>
      </c>
      <c r="C31" s="331">
        <v>833194</v>
      </c>
      <c r="D31" s="331">
        <v>30397</v>
      </c>
      <c r="E31" s="331">
        <v>0</v>
      </c>
      <c r="F31" s="331">
        <v>107982</v>
      </c>
      <c r="G31" s="331">
        <f t="shared" si="0"/>
        <v>971573</v>
      </c>
    </row>
    <row r="32" spans="1:7" ht="14.1" customHeight="1">
      <c r="A32" s="26" t="s">
        <v>258</v>
      </c>
      <c r="B32" s="27">
        <v>0</v>
      </c>
      <c r="C32" s="27">
        <v>211219</v>
      </c>
      <c r="D32" s="27">
        <v>51789</v>
      </c>
      <c r="E32" s="27">
        <v>142702</v>
      </c>
      <c r="F32" s="27">
        <v>179448</v>
      </c>
      <c r="G32" s="27">
        <f t="shared" si="0"/>
        <v>585158</v>
      </c>
    </row>
    <row r="33" spans="1:7" ht="14.1" customHeight="1">
      <c r="A33" s="330" t="s">
        <v>259</v>
      </c>
      <c r="B33" s="331">
        <v>0</v>
      </c>
      <c r="C33" s="331">
        <v>-1882097</v>
      </c>
      <c r="D33" s="331">
        <v>62365</v>
      </c>
      <c r="E33" s="331">
        <v>3155948</v>
      </c>
      <c r="F33" s="331">
        <v>422480</v>
      </c>
      <c r="G33" s="331">
        <f t="shared" si="0"/>
        <v>1758696</v>
      </c>
    </row>
    <row r="34" spans="1:7" ht="14.1" customHeight="1">
      <c r="A34" s="26" t="s">
        <v>260</v>
      </c>
      <c r="B34" s="27">
        <v>32740</v>
      </c>
      <c r="C34" s="27">
        <v>1011188</v>
      </c>
      <c r="D34" s="27">
        <v>95229</v>
      </c>
      <c r="E34" s="27">
        <v>165418</v>
      </c>
      <c r="F34" s="27">
        <v>372540</v>
      </c>
      <c r="G34" s="27">
        <f t="shared" si="0"/>
        <v>1677115</v>
      </c>
    </row>
    <row r="35" spans="1:7" ht="14.1" customHeight="1">
      <c r="A35" s="330" t="s">
        <v>261</v>
      </c>
      <c r="B35" s="331">
        <v>0</v>
      </c>
      <c r="C35" s="331">
        <v>4193416</v>
      </c>
      <c r="D35" s="331">
        <v>392236</v>
      </c>
      <c r="E35" s="331">
        <v>2571016</v>
      </c>
      <c r="F35" s="331">
        <v>306431</v>
      </c>
      <c r="G35" s="331">
        <f t="shared" si="0"/>
        <v>7463099</v>
      </c>
    </row>
    <row r="36" spans="1:7" ht="14.1" customHeight="1">
      <c r="A36" s="26" t="s">
        <v>262</v>
      </c>
      <c r="B36" s="27">
        <v>0</v>
      </c>
      <c r="C36" s="27">
        <v>516376</v>
      </c>
      <c r="D36" s="27">
        <v>53318</v>
      </c>
      <c r="E36" s="27">
        <v>62615</v>
      </c>
      <c r="F36" s="27">
        <v>260158</v>
      </c>
      <c r="G36" s="27">
        <f t="shared" si="0"/>
        <v>892467</v>
      </c>
    </row>
    <row r="37" spans="1:7" ht="14.1" customHeight="1">
      <c r="A37" s="330" t="s">
        <v>263</v>
      </c>
      <c r="B37" s="331">
        <v>0</v>
      </c>
      <c r="C37" s="331">
        <v>9030748</v>
      </c>
      <c r="D37" s="331">
        <v>40711</v>
      </c>
      <c r="E37" s="331">
        <v>166451</v>
      </c>
      <c r="F37" s="331">
        <v>411750</v>
      </c>
      <c r="G37" s="331">
        <f t="shared" si="0"/>
        <v>9649660</v>
      </c>
    </row>
    <row r="38" spans="1:7" ht="14.1" customHeight="1">
      <c r="A38" s="26" t="s">
        <v>264</v>
      </c>
      <c r="B38" s="27">
        <v>60875</v>
      </c>
      <c r="C38" s="27">
        <v>6365423</v>
      </c>
      <c r="D38" s="27">
        <v>241245</v>
      </c>
      <c r="E38" s="27">
        <v>61668</v>
      </c>
      <c r="F38" s="27">
        <v>545063</v>
      </c>
      <c r="G38" s="27">
        <f t="shared" si="0"/>
        <v>7274274</v>
      </c>
    </row>
    <row r="39" spans="1:7" ht="14.1" customHeight="1">
      <c r="A39" s="330" t="s">
        <v>265</v>
      </c>
      <c r="B39" s="331">
        <v>0</v>
      </c>
      <c r="C39" s="331">
        <v>2882208</v>
      </c>
      <c r="D39" s="331">
        <v>303259</v>
      </c>
      <c r="E39" s="331">
        <v>0</v>
      </c>
      <c r="F39" s="331">
        <v>204186</v>
      </c>
      <c r="G39" s="331">
        <f t="shared" si="0"/>
        <v>3389653</v>
      </c>
    </row>
    <row r="40" spans="1:7" ht="14.1" customHeight="1">
      <c r="A40" s="26" t="s">
        <v>266</v>
      </c>
      <c r="B40" s="27">
        <v>1268641</v>
      </c>
      <c r="C40" s="27">
        <v>2327194</v>
      </c>
      <c r="D40" s="27">
        <v>244851</v>
      </c>
      <c r="E40" s="27">
        <v>222027</v>
      </c>
      <c r="F40" s="27">
        <v>156785</v>
      </c>
      <c r="G40" s="27">
        <f t="shared" si="0"/>
        <v>4219498</v>
      </c>
    </row>
    <row r="41" spans="1:7" ht="14.1" customHeight="1">
      <c r="A41" s="330" t="s">
        <v>267</v>
      </c>
      <c r="B41" s="331">
        <v>199524</v>
      </c>
      <c r="C41" s="331">
        <v>-101034</v>
      </c>
      <c r="D41" s="331">
        <v>98662</v>
      </c>
      <c r="E41" s="331">
        <v>1163621</v>
      </c>
      <c r="F41" s="331">
        <v>445328</v>
      </c>
      <c r="G41" s="331">
        <f t="shared" si="0"/>
        <v>1806101</v>
      </c>
    </row>
    <row r="42" spans="1:7" ht="14.1" customHeight="1">
      <c r="A42" s="26" t="s">
        <v>268</v>
      </c>
      <c r="B42" s="27">
        <v>288426</v>
      </c>
      <c r="C42" s="27">
        <v>847573</v>
      </c>
      <c r="D42" s="27">
        <v>225266</v>
      </c>
      <c r="E42" s="27">
        <v>109392</v>
      </c>
      <c r="F42" s="27">
        <v>268914</v>
      </c>
      <c r="G42" s="27">
        <f t="shared" si="0"/>
        <v>1739571</v>
      </c>
    </row>
    <row r="43" spans="1:7" ht="14.1" customHeight="1">
      <c r="A43" s="330" t="s">
        <v>269</v>
      </c>
      <c r="B43" s="331">
        <v>0</v>
      </c>
      <c r="C43" s="331">
        <v>93555</v>
      </c>
      <c r="D43" s="331">
        <v>6959</v>
      </c>
      <c r="E43" s="331">
        <v>0</v>
      </c>
      <c r="F43" s="331">
        <v>107394</v>
      </c>
      <c r="G43" s="331">
        <f t="shared" si="0"/>
        <v>207908</v>
      </c>
    </row>
    <row r="44" spans="1:7" ht="14.1" customHeight="1">
      <c r="A44" s="26" t="s">
        <v>270</v>
      </c>
      <c r="B44" s="27">
        <v>0</v>
      </c>
      <c r="C44" s="27">
        <v>408826</v>
      </c>
      <c r="D44" s="27">
        <v>22242</v>
      </c>
      <c r="E44" s="27">
        <v>29517</v>
      </c>
      <c r="F44" s="27">
        <v>312684</v>
      </c>
      <c r="G44" s="27">
        <f t="shared" si="0"/>
        <v>773269</v>
      </c>
    </row>
    <row r="45" spans="1:7" ht="14.1" customHeight="1">
      <c r="A45" s="330" t="s">
        <v>271</v>
      </c>
      <c r="B45" s="331">
        <v>0</v>
      </c>
      <c r="C45" s="331">
        <v>482217</v>
      </c>
      <c r="D45" s="331">
        <v>0</v>
      </c>
      <c r="E45" s="331">
        <v>0</v>
      </c>
      <c r="F45" s="331">
        <v>207993</v>
      </c>
      <c r="G45" s="331">
        <f t="shared" si="0"/>
        <v>690210</v>
      </c>
    </row>
    <row r="46" spans="1:7" ht="14.1" customHeight="1">
      <c r="A46" s="26" t="s">
        <v>272</v>
      </c>
      <c r="B46" s="27">
        <v>276152</v>
      </c>
      <c r="C46" s="27">
        <v>14556045</v>
      </c>
      <c r="D46" s="27">
        <v>482804</v>
      </c>
      <c r="E46" s="27">
        <v>191818</v>
      </c>
      <c r="F46" s="27">
        <v>95074</v>
      </c>
      <c r="G46" s="27">
        <f t="shared" si="0"/>
        <v>15601893</v>
      </c>
    </row>
    <row r="47" spans="1:7" ht="5.0999999999999996" customHeight="1">
      <c r="A47" s="28"/>
      <c r="B47" s="29"/>
      <c r="C47" s="29"/>
      <c r="D47" s="29"/>
      <c r="E47" s="29"/>
      <c r="F47" s="29"/>
      <c r="G47" s="29"/>
    </row>
    <row r="48" spans="1:7" ht="14.1" customHeight="1">
      <c r="A48" s="332" t="s">
        <v>273</v>
      </c>
      <c r="B48" s="333">
        <f t="shared" ref="B48:G48" si="1">SUM(B11:B46)</f>
        <v>3885192</v>
      </c>
      <c r="C48" s="333">
        <f t="shared" si="1"/>
        <v>105388670</v>
      </c>
      <c r="D48" s="333">
        <f t="shared" si="1"/>
        <v>3912671</v>
      </c>
      <c r="E48" s="333">
        <f t="shared" si="1"/>
        <v>14105511</v>
      </c>
      <c r="F48" s="333">
        <f t="shared" si="1"/>
        <v>9541936</v>
      </c>
      <c r="G48" s="333">
        <f t="shared" si="1"/>
        <v>136833980</v>
      </c>
    </row>
    <row r="49" spans="1:7" ht="5.0999999999999996" customHeight="1">
      <c r="A49" s="28" t="s">
        <v>18</v>
      </c>
      <c r="B49" s="29"/>
      <c r="C49" s="29"/>
      <c r="D49" s="29"/>
      <c r="E49" s="29"/>
      <c r="F49" s="29"/>
      <c r="G49" s="29"/>
    </row>
    <row r="50" spans="1:7" ht="14.1" customHeight="1">
      <c r="A50" s="26" t="s">
        <v>274</v>
      </c>
      <c r="B50" s="27">
        <v>0</v>
      </c>
      <c r="C50" s="27">
        <v>0</v>
      </c>
      <c r="D50" s="27">
        <v>0</v>
      </c>
      <c r="E50" s="27">
        <v>0</v>
      </c>
      <c r="F50" s="27">
        <v>0</v>
      </c>
      <c r="G50" s="27">
        <f>SUM(B50:F50)</f>
        <v>0</v>
      </c>
    </row>
    <row r="51" spans="1:7" ht="14.1" customHeight="1">
      <c r="A51" s="330" t="s">
        <v>275</v>
      </c>
      <c r="B51" s="331">
        <v>0</v>
      </c>
      <c r="C51" s="331">
        <v>1414877</v>
      </c>
      <c r="D51" s="331">
        <v>51897</v>
      </c>
      <c r="E51" s="331">
        <v>79795</v>
      </c>
      <c r="F51" s="331">
        <v>16356</v>
      </c>
      <c r="G51" s="331">
        <f>SUM(B51:F51)</f>
        <v>1562925</v>
      </c>
    </row>
    <row r="52" spans="1:7" ht="50.1" customHeight="1">
      <c r="A52" s="30"/>
      <c r="B52" s="30"/>
      <c r="C52" s="30"/>
      <c r="D52" s="30"/>
      <c r="E52" s="30"/>
      <c r="F52" s="30"/>
      <c r="G52" s="30"/>
    </row>
    <row r="53" spans="1:7" ht="15" customHeight="1">
      <c r="A53" s="519" t="s">
        <v>642</v>
      </c>
    </row>
    <row r="54" spans="1:7">
      <c r="A54" s="551" t="s">
        <v>652</v>
      </c>
    </row>
    <row r="55" spans="1:7">
      <c r="A55" s="551" t="s">
        <v>529</v>
      </c>
    </row>
    <row r="56" spans="1:7">
      <c r="A56" s="551" t="s">
        <v>643</v>
      </c>
    </row>
    <row r="57" spans="1:7">
      <c r="A57" s="646" t="s">
        <v>644</v>
      </c>
    </row>
  </sheetData>
  <mergeCells count="4">
    <mergeCell ref="B8:B9"/>
    <mergeCell ref="B2:F2"/>
    <mergeCell ref="B3:F3"/>
    <mergeCell ref="B6:G6"/>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sheetPr codeName="Sheet57">
    <pageSetUpPr fitToPage="1"/>
  </sheetPr>
  <dimension ref="A1:H55"/>
  <sheetViews>
    <sheetView showGridLines="0" showZeros="0" workbookViewId="0"/>
  </sheetViews>
  <sheetFormatPr defaultColWidth="19.83203125" defaultRowHeight="12"/>
  <cols>
    <col min="1" max="1" width="30.83203125" style="1" customWidth="1"/>
    <col min="2" max="3" width="16.83203125" style="1" customWidth="1"/>
    <col min="4" max="4" width="3.83203125" style="1" customWidth="1"/>
    <col min="5" max="5" width="18.83203125" style="1" customWidth="1"/>
    <col min="6" max="7" width="16.83203125" style="1" customWidth="1"/>
    <col min="8" max="8" width="14.33203125" style="1" customWidth="1"/>
    <col min="9" max="16384" width="19.83203125" style="1"/>
  </cols>
  <sheetData>
    <row r="1" spans="1:8" ht="6.95" customHeight="1">
      <c r="A1" s="6"/>
      <c r="B1" s="6"/>
      <c r="C1" s="6"/>
      <c r="D1" s="6"/>
    </row>
    <row r="2" spans="1:8" ht="15.95" customHeight="1">
      <c r="A2" s="712" t="str">
        <f>"SPECIAL PURPOSE FUND "&amp;VALUE('- 67 -'!F9+1)&amp;"/"&amp;VALUE('- 67 -'!F9+2)&amp;" ACTUAL"</f>
        <v>SPECIAL PURPOSE FUND 2011/2012 ACTUAL</v>
      </c>
      <c r="B2" s="712"/>
      <c r="C2" s="712"/>
      <c r="D2" s="712"/>
      <c r="E2" s="712"/>
      <c r="F2" s="573" t="s">
        <v>200</v>
      </c>
      <c r="G2" s="569"/>
      <c r="H2" s="569"/>
    </row>
    <row r="3" spans="1:8" ht="15.95" customHeight="1">
      <c r="A3" s="702" t="s">
        <v>3</v>
      </c>
      <c r="B3" s="702"/>
      <c r="C3" s="702"/>
      <c r="D3" s="702"/>
      <c r="E3" s="702"/>
      <c r="F3" s="702"/>
      <c r="G3" s="702"/>
      <c r="H3" s="702"/>
    </row>
    <row r="4" spans="1:8" ht="15.95" customHeight="1">
      <c r="E4" s="7"/>
      <c r="F4" s="7"/>
      <c r="G4" s="7"/>
    </row>
    <row r="5" spans="1:8" ht="15.95" customHeight="1">
      <c r="B5"/>
      <c r="C5"/>
      <c r="D5"/>
      <c r="E5"/>
      <c r="F5"/>
      <c r="G5"/>
      <c r="H5"/>
    </row>
    <row r="6" spans="1:8" ht="15.95" customHeight="1">
      <c r="B6" s="548"/>
      <c r="C6" s="548"/>
      <c r="D6"/>
      <c r="E6" s="524" t="s">
        <v>468</v>
      </c>
      <c r="F6" s="705" t="s">
        <v>489</v>
      </c>
      <c r="G6" s="706"/>
    </row>
    <row r="7" spans="1:8" ht="15.95" customHeight="1">
      <c r="B7" s="512"/>
      <c r="C7" s="512"/>
      <c r="D7"/>
      <c r="E7" s="525" t="s">
        <v>467</v>
      </c>
      <c r="F7" s="512" t="s">
        <v>142</v>
      </c>
      <c r="G7" s="512"/>
    </row>
    <row r="8" spans="1:8" ht="15.95" customHeight="1">
      <c r="A8" s="506"/>
      <c r="B8" s="545" t="s">
        <v>69</v>
      </c>
      <c r="C8" s="545" t="s">
        <v>69</v>
      </c>
      <c r="D8"/>
      <c r="E8" s="525" t="s">
        <v>469</v>
      </c>
      <c r="F8" s="512" t="s">
        <v>492</v>
      </c>
      <c r="G8" s="512" t="s">
        <v>59</v>
      </c>
    </row>
    <row r="9" spans="1:8" ht="15.95" customHeight="1">
      <c r="A9" s="507" t="s">
        <v>95</v>
      </c>
      <c r="B9" s="547" t="s">
        <v>279</v>
      </c>
      <c r="C9" s="546" t="s">
        <v>141</v>
      </c>
      <c r="D9"/>
      <c r="E9" s="526" t="s">
        <v>470</v>
      </c>
      <c r="F9" s="513" t="s">
        <v>493</v>
      </c>
      <c r="G9" s="522" t="s">
        <v>493</v>
      </c>
    </row>
    <row r="10" spans="1:8" ht="5.0999999999999996" customHeight="1">
      <c r="A10" s="5"/>
      <c r="B10" s="236"/>
      <c r="C10" s="236"/>
      <c r="D10"/>
      <c r="E10" s="6"/>
      <c r="F10" s="236"/>
    </row>
    <row r="11" spans="1:8" ht="14.1" customHeight="1">
      <c r="A11" s="330" t="s">
        <v>238</v>
      </c>
      <c r="B11" s="331">
        <v>285384</v>
      </c>
      <c r="C11" s="331">
        <v>315207</v>
      </c>
      <c r="D11"/>
      <c r="E11" s="529">
        <v>221925</v>
      </c>
      <c r="F11" s="527">
        <v>221925</v>
      </c>
      <c r="G11" s="331">
        <v>0</v>
      </c>
    </row>
    <row r="12" spans="1:8" ht="14.1" customHeight="1">
      <c r="A12" s="26" t="s">
        <v>239</v>
      </c>
      <c r="B12" s="27">
        <v>289674</v>
      </c>
      <c r="C12" s="27">
        <v>291665</v>
      </c>
      <c r="D12"/>
      <c r="E12" s="530">
        <v>271830</v>
      </c>
      <c r="F12" s="528">
        <v>271830</v>
      </c>
      <c r="G12" s="27">
        <v>0</v>
      </c>
    </row>
    <row r="13" spans="1:8" ht="14.1" customHeight="1">
      <c r="A13" s="330" t="s">
        <v>240</v>
      </c>
      <c r="B13" s="331">
        <v>2754195</v>
      </c>
      <c r="C13" s="331">
        <v>2861118</v>
      </c>
      <c r="D13"/>
      <c r="E13" s="529">
        <v>1538753</v>
      </c>
      <c r="F13" s="527">
        <v>580568</v>
      </c>
      <c r="G13" s="331">
        <v>958185</v>
      </c>
    </row>
    <row r="14" spans="1:8" ht="14.1" customHeight="1">
      <c r="A14" s="26" t="s">
        <v>653</v>
      </c>
      <c r="B14" s="27">
        <v>1712331</v>
      </c>
      <c r="C14" s="27">
        <v>1713876</v>
      </c>
      <c r="D14"/>
      <c r="E14" s="530">
        <v>592404</v>
      </c>
      <c r="F14" s="528">
        <v>521498</v>
      </c>
      <c r="G14" s="27">
        <v>70906</v>
      </c>
    </row>
    <row r="15" spans="1:8" ht="14.1" customHeight="1">
      <c r="A15" s="330" t="s">
        <v>241</v>
      </c>
      <c r="B15" s="331">
        <v>479614</v>
      </c>
      <c r="C15" s="331">
        <v>481406</v>
      </c>
      <c r="D15"/>
      <c r="E15" s="529">
        <v>297785</v>
      </c>
      <c r="F15" s="527">
        <v>125521</v>
      </c>
      <c r="G15" s="331">
        <v>172264</v>
      </c>
    </row>
    <row r="16" spans="1:8" ht="14.1" customHeight="1">
      <c r="A16" s="26" t="s">
        <v>242</v>
      </c>
      <c r="B16" s="27">
        <v>339563</v>
      </c>
      <c r="C16" s="27">
        <v>308811</v>
      </c>
      <c r="D16"/>
      <c r="E16" s="530">
        <v>-2722</v>
      </c>
      <c r="F16" s="528">
        <v>-2722</v>
      </c>
      <c r="G16" s="27">
        <v>0</v>
      </c>
    </row>
    <row r="17" spans="1:7" ht="14.1" customHeight="1">
      <c r="A17" s="330" t="s">
        <v>243</v>
      </c>
      <c r="B17" s="331">
        <v>643253</v>
      </c>
      <c r="C17" s="331">
        <v>638570</v>
      </c>
      <c r="D17"/>
      <c r="E17" s="529">
        <v>391037</v>
      </c>
      <c r="F17" s="527">
        <v>295375</v>
      </c>
      <c r="G17" s="331">
        <v>95662</v>
      </c>
    </row>
    <row r="18" spans="1:7" ht="14.1" customHeight="1">
      <c r="A18" s="26" t="s">
        <v>244</v>
      </c>
      <c r="B18" s="27">
        <v>773989</v>
      </c>
      <c r="C18" s="27">
        <v>751822</v>
      </c>
      <c r="D18"/>
      <c r="E18" s="530">
        <v>48156</v>
      </c>
      <c r="F18" s="528">
        <v>48156</v>
      </c>
      <c r="G18" s="27">
        <v>0</v>
      </c>
    </row>
    <row r="19" spans="1:7" ht="14.1" customHeight="1">
      <c r="A19" s="330" t="s">
        <v>245</v>
      </c>
      <c r="B19" s="331">
        <v>195916</v>
      </c>
      <c r="C19" s="331">
        <v>216682</v>
      </c>
      <c r="D19"/>
      <c r="E19" s="529">
        <v>108901</v>
      </c>
      <c r="F19" s="527">
        <v>108901</v>
      </c>
      <c r="G19" s="331">
        <v>0</v>
      </c>
    </row>
    <row r="20" spans="1:7" ht="14.1" customHeight="1">
      <c r="A20" s="26" t="s">
        <v>246</v>
      </c>
      <c r="B20" s="27">
        <v>1757053</v>
      </c>
      <c r="C20" s="27">
        <v>1830821</v>
      </c>
      <c r="D20"/>
      <c r="E20" s="530">
        <v>410434</v>
      </c>
      <c r="F20" s="528">
        <v>410434</v>
      </c>
      <c r="G20" s="27">
        <v>0</v>
      </c>
    </row>
    <row r="21" spans="1:7" ht="14.1" customHeight="1">
      <c r="A21" s="330" t="s">
        <v>247</v>
      </c>
      <c r="B21" s="331">
        <v>446493</v>
      </c>
      <c r="C21" s="331">
        <v>443856</v>
      </c>
      <c r="D21"/>
      <c r="E21" s="529">
        <v>75384</v>
      </c>
      <c r="F21" s="527">
        <v>75384</v>
      </c>
      <c r="G21" s="331">
        <v>0</v>
      </c>
    </row>
    <row r="22" spans="1:7" ht="14.1" customHeight="1">
      <c r="A22" s="26" t="s">
        <v>248</v>
      </c>
      <c r="B22" s="27">
        <v>383246</v>
      </c>
      <c r="C22" s="27">
        <v>414905</v>
      </c>
      <c r="D22"/>
      <c r="E22" s="530">
        <v>225555</v>
      </c>
      <c r="F22" s="528">
        <v>225555</v>
      </c>
      <c r="G22" s="27">
        <v>0</v>
      </c>
    </row>
    <row r="23" spans="1:7" ht="14.1" customHeight="1">
      <c r="A23" s="330" t="s">
        <v>249</v>
      </c>
      <c r="B23" s="331">
        <v>296121</v>
      </c>
      <c r="C23" s="331">
        <v>300217</v>
      </c>
      <c r="D23"/>
      <c r="E23" s="529">
        <v>170194</v>
      </c>
      <c r="F23" s="527">
        <v>147705</v>
      </c>
      <c r="G23" s="331">
        <v>22489</v>
      </c>
    </row>
    <row r="24" spans="1:7" ht="14.1" customHeight="1">
      <c r="A24" s="26" t="s">
        <v>250</v>
      </c>
      <c r="B24" s="27">
        <v>1103573</v>
      </c>
      <c r="C24" s="27">
        <v>1112194</v>
      </c>
      <c r="D24"/>
      <c r="E24" s="530">
        <v>360760</v>
      </c>
      <c r="F24" s="528">
        <v>360760</v>
      </c>
      <c r="G24" s="27">
        <v>0</v>
      </c>
    </row>
    <row r="25" spans="1:7" ht="14.1" customHeight="1">
      <c r="A25" s="330" t="s">
        <v>251</v>
      </c>
      <c r="B25" s="331">
        <v>2154621</v>
      </c>
      <c r="C25" s="331">
        <v>2320264</v>
      </c>
      <c r="D25"/>
      <c r="E25" s="529">
        <v>1091436</v>
      </c>
      <c r="F25" s="527">
        <v>1091436</v>
      </c>
      <c r="G25" s="331">
        <v>0</v>
      </c>
    </row>
    <row r="26" spans="1:7" ht="14.1" customHeight="1">
      <c r="A26" s="26" t="s">
        <v>252</v>
      </c>
      <c r="B26" s="27">
        <v>845431</v>
      </c>
      <c r="C26" s="27">
        <v>910307</v>
      </c>
      <c r="D26"/>
      <c r="E26" s="530">
        <v>293883</v>
      </c>
      <c r="F26" s="528">
        <v>293883</v>
      </c>
      <c r="G26" s="27">
        <v>0</v>
      </c>
    </row>
    <row r="27" spans="1:7" ht="14.1" customHeight="1">
      <c r="A27" s="330" t="s">
        <v>253</v>
      </c>
      <c r="B27" s="331">
        <v>259991</v>
      </c>
      <c r="C27" s="331">
        <v>267888</v>
      </c>
      <c r="D27"/>
      <c r="E27" s="529">
        <v>85281</v>
      </c>
      <c r="F27" s="527">
        <v>85281</v>
      </c>
      <c r="G27" s="331">
        <v>0</v>
      </c>
    </row>
    <row r="28" spans="1:7" ht="14.1" customHeight="1">
      <c r="A28" s="26" t="s">
        <v>254</v>
      </c>
      <c r="B28" s="27">
        <v>1191315</v>
      </c>
      <c r="C28" s="27">
        <v>1177147</v>
      </c>
      <c r="D28"/>
      <c r="E28" s="530">
        <v>197308</v>
      </c>
      <c r="F28" s="528">
        <v>197308</v>
      </c>
      <c r="G28" s="27">
        <v>0</v>
      </c>
    </row>
    <row r="29" spans="1:7" ht="14.1" customHeight="1">
      <c r="A29" s="330" t="s">
        <v>255</v>
      </c>
      <c r="B29" s="331">
        <v>1279403</v>
      </c>
      <c r="C29" s="331">
        <v>1327067</v>
      </c>
      <c r="D29"/>
      <c r="E29" s="529">
        <v>522424</v>
      </c>
      <c r="F29" s="527">
        <v>522424</v>
      </c>
      <c r="G29" s="331">
        <v>0</v>
      </c>
    </row>
    <row r="30" spans="1:7" ht="14.1" customHeight="1">
      <c r="A30" s="26" t="s">
        <v>256</v>
      </c>
      <c r="B30" s="27">
        <v>309662</v>
      </c>
      <c r="C30" s="27">
        <v>307508</v>
      </c>
      <c r="D30"/>
      <c r="E30" s="530">
        <v>100284</v>
      </c>
      <c r="F30" s="528">
        <v>100284</v>
      </c>
      <c r="G30" s="27">
        <v>0</v>
      </c>
    </row>
    <row r="31" spans="1:7" ht="14.1" customHeight="1">
      <c r="A31" s="330" t="s">
        <v>257</v>
      </c>
      <c r="B31" s="331">
        <v>1664119</v>
      </c>
      <c r="C31" s="331">
        <v>1569293</v>
      </c>
      <c r="D31"/>
      <c r="E31" s="529">
        <v>291340</v>
      </c>
      <c r="F31" s="527">
        <v>291340</v>
      </c>
      <c r="G31" s="331">
        <v>0</v>
      </c>
    </row>
    <row r="32" spans="1:7" ht="14.1" customHeight="1">
      <c r="A32" s="26" t="s">
        <v>258</v>
      </c>
      <c r="B32" s="27">
        <v>533970</v>
      </c>
      <c r="C32" s="27">
        <v>536579</v>
      </c>
      <c r="D32"/>
      <c r="E32" s="530">
        <v>117119</v>
      </c>
      <c r="F32" s="528">
        <v>90135</v>
      </c>
      <c r="G32" s="27">
        <v>26984</v>
      </c>
    </row>
    <row r="33" spans="1:7" ht="14.1" customHeight="1">
      <c r="A33" s="330" t="s">
        <v>259</v>
      </c>
      <c r="B33" s="331">
        <v>650776</v>
      </c>
      <c r="C33" s="331">
        <v>661727</v>
      </c>
      <c r="D33"/>
      <c r="E33" s="529">
        <v>168935</v>
      </c>
      <c r="F33" s="527">
        <v>168935</v>
      </c>
      <c r="G33" s="331">
        <v>0</v>
      </c>
    </row>
    <row r="34" spans="1:7" ht="14.1" customHeight="1">
      <c r="A34" s="26" t="s">
        <v>260</v>
      </c>
      <c r="B34" s="27">
        <v>565740</v>
      </c>
      <c r="C34" s="27">
        <v>560685</v>
      </c>
      <c r="D34"/>
      <c r="E34" s="530">
        <v>148613</v>
      </c>
      <c r="F34" s="528">
        <v>148613</v>
      </c>
      <c r="G34" s="27">
        <v>0</v>
      </c>
    </row>
    <row r="35" spans="1:7" ht="14.1" customHeight="1">
      <c r="A35" s="330" t="s">
        <v>261</v>
      </c>
      <c r="B35" s="331">
        <v>888270</v>
      </c>
      <c r="C35" s="331">
        <v>1000687</v>
      </c>
      <c r="D35"/>
      <c r="E35" s="529">
        <v>280602</v>
      </c>
      <c r="F35" s="527">
        <v>280602</v>
      </c>
      <c r="G35" s="331">
        <v>0</v>
      </c>
    </row>
    <row r="36" spans="1:7" ht="14.1" customHeight="1">
      <c r="A36" s="26" t="s">
        <v>262</v>
      </c>
      <c r="B36" s="27">
        <v>664213</v>
      </c>
      <c r="C36" s="27">
        <v>623433</v>
      </c>
      <c r="D36"/>
      <c r="E36" s="530">
        <v>176891</v>
      </c>
      <c r="F36" s="528">
        <v>176891</v>
      </c>
      <c r="G36" s="27">
        <v>0</v>
      </c>
    </row>
    <row r="37" spans="1:7" ht="14.1" customHeight="1">
      <c r="A37" s="330" t="s">
        <v>263</v>
      </c>
      <c r="B37" s="331">
        <v>1024200</v>
      </c>
      <c r="C37" s="331">
        <v>1039875</v>
      </c>
      <c r="D37"/>
      <c r="E37" s="529">
        <v>254513</v>
      </c>
      <c r="F37" s="527">
        <v>254513</v>
      </c>
      <c r="G37" s="331">
        <v>0</v>
      </c>
    </row>
    <row r="38" spans="1:7" ht="14.1" customHeight="1">
      <c r="A38" s="26" t="s">
        <v>264</v>
      </c>
      <c r="B38" s="27">
        <v>94718</v>
      </c>
      <c r="C38" s="27">
        <v>134826</v>
      </c>
      <c r="D38"/>
      <c r="E38" s="530">
        <v>126010</v>
      </c>
      <c r="F38" s="528">
        <v>126010</v>
      </c>
      <c r="G38" s="27">
        <v>0</v>
      </c>
    </row>
    <row r="39" spans="1:7" ht="14.1" customHeight="1">
      <c r="A39" s="330" t="s">
        <v>265</v>
      </c>
      <c r="B39" s="331">
        <v>395941</v>
      </c>
      <c r="C39" s="331">
        <v>401060</v>
      </c>
      <c r="D39"/>
      <c r="E39" s="529">
        <v>175951</v>
      </c>
      <c r="F39" s="527">
        <v>175951</v>
      </c>
      <c r="G39" s="331">
        <v>0</v>
      </c>
    </row>
    <row r="40" spans="1:7" ht="14.1" customHeight="1">
      <c r="A40" s="26" t="s">
        <v>266</v>
      </c>
      <c r="B40" s="27">
        <v>967708</v>
      </c>
      <c r="C40" s="27">
        <v>932274</v>
      </c>
      <c r="D40"/>
      <c r="E40" s="530">
        <v>280122</v>
      </c>
      <c r="F40" s="528">
        <v>280122</v>
      </c>
      <c r="G40" s="27">
        <v>0</v>
      </c>
    </row>
    <row r="41" spans="1:7" ht="14.1" customHeight="1">
      <c r="A41" s="330" t="s">
        <v>267</v>
      </c>
      <c r="B41" s="331">
        <v>962244</v>
      </c>
      <c r="C41" s="331">
        <v>1028014</v>
      </c>
      <c r="D41"/>
      <c r="E41" s="529">
        <v>377605</v>
      </c>
      <c r="F41" s="527">
        <v>354632</v>
      </c>
      <c r="G41" s="331">
        <v>22973</v>
      </c>
    </row>
    <row r="42" spans="1:7" ht="14.1" customHeight="1">
      <c r="A42" s="26" t="s">
        <v>268</v>
      </c>
      <c r="B42" s="27">
        <v>462214</v>
      </c>
      <c r="C42" s="27">
        <v>444354</v>
      </c>
      <c r="D42"/>
      <c r="E42" s="530">
        <v>135196</v>
      </c>
      <c r="F42" s="528">
        <v>135196</v>
      </c>
      <c r="G42" s="27">
        <v>0</v>
      </c>
    </row>
    <row r="43" spans="1:7" ht="14.1" customHeight="1">
      <c r="A43" s="330" t="s">
        <v>269</v>
      </c>
      <c r="B43" s="331">
        <v>283715</v>
      </c>
      <c r="C43" s="331">
        <v>319607</v>
      </c>
      <c r="D43"/>
      <c r="E43" s="529">
        <v>120089</v>
      </c>
      <c r="F43" s="527">
        <v>120089</v>
      </c>
      <c r="G43" s="331">
        <v>0</v>
      </c>
    </row>
    <row r="44" spans="1:7" ht="14.1" customHeight="1">
      <c r="A44" s="26" t="s">
        <v>270</v>
      </c>
      <c r="B44" s="27">
        <v>373701</v>
      </c>
      <c r="C44" s="27">
        <v>351562</v>
      </c>
      <c r="D44"/>
      <c r="E44" s="530">
        <v>88501</v>
      </c>
      <c r="F44" s="528">
        <v>88501</v>
      </c>
      <c r="G44" s="27">
        <v>0</v>
      </c>
    </row>
    <row r="45" spans="1:7" ht="14.1" customHeight="1">
      <c r="A45" s="330" t="s">
        <v>271</v>
      </c>
      <c r="B45" s="331">
        <v>80689</v>
      </c>
      <c r="C45" s="331">
        <v>88218</v>
      </c>
      <c r="D45"/>
      <c r="E45" s="529">
        <v>12310</v>
      </c>
      <c r="F45" s="527">
        <v>12310</v>
      </c>
      <c r="G45" s="331">
        <v>0</v>
      </c>
    </row>
    <row r="46" spans="1:7" ht="14.1" customHeight="1">
      <c r="A46" s="26" t="s">
        <v>272</v>
      </c>
      <c r="B46" s="27">
        <v>1238214</v>
      </c>
      <c r="C46" s="27">
        <v>1079770</v>
      </c>
      <c r="D46"/>
      <c r="E46" s="530">
        <v>3282282</v>
      </c>
      <c r="F46" s="528">
        <v>112108</v>
      </c>
      <c r="G46" s="27">
        <v>3170174</v>
      </c>
    </row>
    <row r="47" spans="1:7" ht="5.0999999999999996" customHeight="1">
      <c r="A47" s="28"/>
      <c r="B47" s="29"/>
      <c r="C47" s="29"/>
      <c r="D47"/>
      <c r="E47" s="29"/>
      <c r="F47" s="29"/>
      <c r="G47" s="29"/>
    </row>
    <row r="48" spans="1:7" ht="14.1" customHeight="1">
      <c r="A48" s="332" t="s">
        <v>273</v>
      </c>
      <c r="B48" s="333">
        <f t="shared" ref="B48:G48" si="0">SUM(B11:B46)</f>
        <v>28351260</v>
      </c>
      <c r="C48" s="333">
        <f t="shared" si="0"/>
        <v>28763295</v>
      </c>
      <c r="D48"/>
      <c r="E48" s="532">
        <f t="shared" si="0"/>
        <v>13037091</v>
      </c>
      <c r="F48" s="531">
        <f t="shared" si="0"/>
        <v>8497454</v>
      </c>
      <c r="G48" s="333">
        <f t="shared" si="0"/>
        <v>4539637</v>
      </c>
    </row>
    <row r="49" spans="1:8" ht="5.0999999999999996" customHeight="1">
      <c r="A49" s="28" t="s">
        <v>18</v>
      </c>
      <c r="B49" s="29"/>
      <c r="C49" s="29"/>
      <c r="D49"/>
      <c r="E49" s="29"/>
      <c r="F49" s="29"/>
      <c r="G49" s="29"/>
    </row>
    <row r="50" spans="1:8" ht="14.1" customHeight="1">
      <c r="A50" s="26" t="s">
        <v>274</v>
      </c>
      <c r="B50" s="27">
        <v>72981</v>
      </c>
      <c r="C50" s="27">
        <v>74078</v>
      </c>
      <c r="D50"/>
      <c r="E50" s="530">
        <v>16152</v>
      </c>
      <c r="F50" s="528">
        <v>16152</v>
      </c>
      <c r="G50" s="27">
        <v>0</v>
      </c>
    </row>
    <row r="51" spans="1:8" ht="14.1" customHeight="1">
      <c r="A51" s="330" t="s">
        <v>275</v>
      </c>
      <c r="B51" s="331">
        <v>0</v>
      </c>
      <c r="C51" s="331">
        <v>4304</v>
      </c>
      <c r="D51"/>
      <c r="E51" s="529">
        <v>6887</v>
      </c>
      <c r="F51" s="527">
        <v>0</v>
      </c>
      <c r="G51" s="331">
        <v>6887</v>
      </c>
    </row>
    <row r="52" spans="1:8" ht="50.1" customHeight="1">
      <c r="A52" s="30"/>
      <c r="B52" s="30"/>
      <c r="C52" s="30"/>
      <c r="D52" s="647"/>
      <c r="E52" s="30"/>
      <c r="F52" s="647"/>
      <c r="G52" s="30"/>
      <c r="H52" s="30"/>
    </row>
    <row r="53" spans="1:8" ht="15" customHeight="1">
      <c r="A53" s="550" t="s">
        <v>688</v>
      </c>
      <c r="B53" s="206"/>
      <c r="C53" s="206"/>
      <c r="D53" s="206"/>
      <c r="E53" s="206"/>
      <c r="F53" s="206"/>
      <c r="G53" s="206"/>
    </row>
    <row r="54" spans="1:8">
      <c r="A54" s="550" t="s">
        <v>687</v>
      </c>
    </row>
    <row r="55" spans="1:8">
      <c r="A55" s="550" t="s">
        <v>689</v>
      </c>
    </row>
  </sheetData>
  <mergeCells count="3">
    <mergeCell ref="F6:G6"/>
    <mergeCell ref="A3:H3"/>
    <mergeCell ref="A2:E2"/>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sheetPr codeName="Sheet58">
    <pageSetUpPr fitToPage="1"/>
  </sheetPr>
  <dimension ref="A1:E56"/>
  <sheetViews>
    <sheetView showGridLines="0" showZeros="0" workbookViewId="0"/>
  </sheetViews>
  <sheetFormatPr defaultColWidth="19.83203125" defaultRowHeight="12"/>
  <cols>
    <col min="1" max="1" width="31.33203125" style="1" customWidth="1"/>
    <col min="2" max="2" width="22.1640625" style="1" customWidth="1"/>
    <col min="3" max="3" width="32.1640625" style="1" customWidth="1"/>
    <col min="4" max="4" width="24.6640625" style="1" customWidth="1"/>
    <col min="5" max="5" width="22.83203125" style="1" customWidth="1"/>
    <col min="6" max="16384" width="19.83203125" style="1"/>
  </cols>
  <sheetData>
    <row r="1" spans="1:5" ht="6.95" customHeight="1">
      <c r="A1" s="6"/>
      <c r="B1" s="6"/>
    </row>
    <row r="2" spans="1:5" ht="15.95" customHeight="1">
      <c r="A2" s="703" t="str">
        <f>+'- 50 -'!A2:E2</f>
        <v>SPECIAL PURPOSE FUND 2011/2012 ACTUAL</v>
      </c>
      <c r="B2" s="703"/>
      <c r="C2" s="703"/>
      <c r="D2" s="703"/>
      <c r="E2" s="703"/>
    </row>
    <row r="3" spans="1:5" ht="15.95" customHeight="1">
      <c r="A3" s="704" t="s">
        <v>690</v>
      </c>
      <c r="B3" s="704"/>
      <c r="C3" s="704"/>
      <c r="D3" s="704"/>
      <c r="E3" s="704"/>
    </row>
    <row r="4" spans="1:5" ht="15.95" customHeight="1">
      <c r="B4" s="7"/>
      <c r="C4" s="7"/>
      <c r="D4" s="7"/>
      <c r="E4" s="206"/>
    </row>
    <row r="5" spans="1:5" ht="15.95" customHeight="1">
      <c r="B5"/>
      <c r="C5"/>
      <c r="D5"/>
      <c r="E5"/>
    </row>
    <row r="6" spans="1:5" ht="15.95" customHeight="1">
      <c r="B6"/>
      <c r="C6"/>
      <c r="D6"/>
    </row>
    <row r="7" spans="1:5" ht="15.95" customHeight="1">
      <c r="B7" s="651"/>
      <c r="C7" s="705" t="s">
        <v>489</v>
      </c>
      <c r="D7" s="706"/>
    </row>
    <row r="8" spans="1:5" ht="15.95" customHeight="1">
      <c r="A8" s="506"/>
      <c r="B8" s="652" t="s">
        <v>691</v>
      </c>
      <c r="C8" s="653" t="s">
        <v>690</v>
      </c>
      <c r="D8" s="654" t="s">
        <v>692</v>
      </c>
    </row>
    <row r="9" spans="1:5" ht="15.95" customHeight="1">
      <c r="A9" s="507" t="s">
        <v>95</v>
      </c>
      <c r="B9" s="655" t="s">
        <v>693</v>
      </c>
      <c r="C9" s="656" t="s">
        <v>694</v>
      </c>
      <c r="D9" s="657" t="s">
        <v>695</v>
      </c>
    </row>
    <row r="10" spans="1:5" ht="5.0999999999999996" customHeight="1">
      <c r="A10" s="5"/>
      <c r="C10" s="6"/>
      <c r="D10" s="236"/>
    </row>
    <row r="11" spans="1:5" ht="14.1" customHeight="1">
      <c r="A11" s="330" t="s">
        <v>238</v>
      </c>
      <c r="B11" s="529">
        <f t="shared" ref="B11:B46" si="0">C11+D11</f>
        <v>285812</v>
      </c>
      <c r="C11" s="527">
        <f>+'- 50 -'!F11</f>
        <v>221925</v>
      </c>
      <c r="D11" s="527">
        <v>63887</v>
      </c>
    </row>
    <row r="12" spans="1:5" ht="14.1" customHeight="1">
      <c r="A12" s="26" t="s">
        <v>239</v>
      </c>
      <c r="B12" s="530">
        <f t="shared" si="0"/>
        <v>271830</v>
      </c>
      <c r="C12" s="528">
        <f>+'- 50 -'!F12</f>
        <v>271830</v>
      </c>
      <c r="D12" s="528">
        <v>0</v>
      </c>
    </row>
    <row r="13" spans="1:5" ht="14.1" customHeight="1">
      <c r="A13" s="330" t="s">
        <v>240</v>
      </c>
      <c r="B13" s="529">
        <f t="shared" si="0"/>
        <v>831973</v>
      </c>
      <c r="C13" s="527">
        <f>+'- 50 -'!F13</f>
        <v>580568</v>
      </c>
      <c r="D13" s="527">
        <v>251405</v>
      </c>
    </row>
    <row r="14" spans="1:5" ht="14.1" customHeight="1">
      <c r="A14" s="26" t="s">
        <v>276</v>
      </c>
      <c r="B14" s="530">
        <f t="shared" si="0"/>
        <v>699643</v>
      </c>
      <c r="C14" s="528">
        <f>+'- 50 -'!F14</f>
        <v>521498</v>
      </c>
      <c r="D14" s="528">
        <v>178145</v>
      </c>
    </row>
    <row r="15" spans="1:5" ht="14.1" customHeight="1">
      <c r="A15" s="330" t="s">
        <v>241</v>
      </c>
      <c r="B15" s="529">
        <f t="shared" si="0"/>
        <v>142655</v>
      </c>
      <c r="C15" s="527">
        <f>+'- 50 -'!F15</f>
        <v>125521</v>
      </c>
      <c r="D15" s="527">
        <v>17134</v>
      </c>
    </row>
    <row r="16" spans="1:5" ht="14.1" customHeight="1">
      <c r="A16" s="26" t="s">
        <v>242</v>
      </c>
      <c r="B16" s="530">
        <f t="shared" si="0"/>
        <v>137596</v>
      </c>
      <c r="C16" s="528">
        <f>+'- 50 -'!F16</f>
        <v>-2722</v>
      </c>
      <c r="D16" s="528">
        <v>140318</v>
      </c>
    </row>
    <row r="17" spans="1:4" ht="14.1" customHeight="1">
      <c r="A17" s="330" t="s">
        <v>243</v>
      </c>
      <c r="B17" s="529">
        <f t="shared" si="0"/>
        <v>309883</v>
      </c>
      <c r="C17" s="527">
        <f>+'- 50 -'!F17</f>
        <v>295375</v>
      </c>
      <c r="D17" s="527">
        <v>14508</v>
      </c>
    </row>
    <row r="18" spans="1:4" ht="14.1" customHeight="1">
      <c r="A18" s="26" t="s">
        <v>244</v>
      </c>
      <c r="B18" s="530">
        <f t="shared" si="0"/>
        <v>451314</v>
      </c>
      <c r="C18" s="528">
        <f>+'- 50 -'!F18</f>
        <v>48156</v>
      </c>
      <c r="D18" s="528">
        <v>403158</v>
      </c>
    </row>
    <row r="19" spans="1:4" ht="14.1" customHeight="1">
      <c r="A19" s="330" t="s">
        <v>245</v>
      </c>
      <c r="B19" s="529">
        <f t="shared" si="0"/>
        <v>108901</v>
      </c>
      <c r="C19" s="527">
        <f>+'- 50 -'!F19</f>
        <v>108901</v>
      </c>
      <c r="D19" s="527">
        <v>0</v>
      </c>
    </row>
    <row r="20" spans="1:4" ht="14.1" customHeight="1">
      <c r="A20" s="26" t="s">
        <v>246</v>
      </c>
      <c r="B20" s="530">
        <f t="shared" si="0"/>
        <v>541564</v>
      </c>
      <c r="C20" s="528">
        <f>+'- 50 -'!F20</f>
        <v>410434</v>
      </c>
      <c r="D20" s="528">
        <v>131130</v>
      </c>
    </row>
    <row r="21" spans="1:4" ht="14.1" customHeight="1">
      <c r="A21" s="330" t="s">
        <v>247</v>
      </c>
      <c r="B21" s="529">
        <f t="shared" si="0"/>
        <v>271233</v>
      </c>
      <c r="C21" s="527">
        <f>+'- 50 -'!F21</f>
        <v>75384</v>
      </c>
      <c r="D21" s="527">
        <v>195849</v>
      </c>
    </row>
    <row r="22" spans="1:4" ht="14.1" customHeight="1">
      <c r="A22" s="26" t="s">
        <v>248</v>
      </c>
      <c r="B22" s="530">
        <f t="shared" si="0"/>
        <v>272999</v>
      </c>
      <c r="C22" s="528">
        <f>+'- 50 -'!F22</f>
        <v>225555</v>
      </c>
      <c r="D22" s="528">
        <v>47444</v>
      </c>
    </row>
    <row r="23" spans="1:4" ht="14.1" customHeight="1">
      <c r="A23" s="330" t="s">
        <v>249</v>
      </c>
      <c r="B23" s="529">
        <f t="shared" si="0"/>
        <v>147705</v>
      </c>
      <c r="C23" s="527">
        <f>+'- 50 -'!F23</f>
        <v>147705</v>
      </c>
      <c r="D23" s="527">
        <v>0</v>
      </c>
    </row>
    <row r="24" spans="1:4" ht="14.1" customHeight="1">
      <c r="A24" s="26" t="s">
        <v>250</v>
      </c>
      <c r="B24" s="530">
        <f t="shared" si="0"/>
        <v>447033</v>
      </c>
      <c r="C24" s="528">
        <f>+'- 50 -'!F24</f>
        <v>360760</v>
      </c>
      <c r="D24" s="528">
        <v>86273</v>
      </c>
    </row>
    <row r="25" spans="1:4" ht="14.1" customHeight="1">
      <c r="A25" s="330" t="s">
        <v>251</v>
      </c>
      <c r="B25" s="529">
        <f t="shared" si="0"/>
        <v>1844819</v>
      </c>
      <c r="C25" s="527">
        <f>+'- 50 -'!F25</f>
        <v>1091436</v>
      </c>
      <c r="D25" s="527">
        <v>753383</v>
      </c>
    </row>
    <row r="26" spans="1:4" ht="14.1" customHeight="1">
      <c r="A26" s="26" t="s">
        <v>252</v>
      </c>
      <c r="B26" s="530">
        <f t="shared" si="0"/>
        <v>327732</v>
      </c>
      <c r="C26" s="528">
        <f>+'- 50 -'!F26</f>
        <v>293883</v>
      </c>
      <c r="D26" s="528">
        <v>33849</v>
      </c>
    </row>
    <row r="27" spans="1:4" ht="14.1" customHeight="1">
      <c r="A27" s="330" t="s">
        <v>253</v>
      </c>
      <c r="B27" s="529">
        <f t="shared" si="0"/>
        <v>344354</v>
      </c>
      <c r="C27" s="527">
        <f>+'- 50 -'!F27</f>
        <v>85281</v>
      </c>
      <c r="D27" s="527">
        <v>259073</v>
      </c>
    </row>
    <row r="28" spans="1:4" ht="14.1" customHeight="1">
      <c r="A28" s="26" t="s">
        <v>254</v>
      </c>
      <c r="B28" s="530">
        <f t="shared" si="0"/>
        <v>197308</v>
      </c>
      <c r="C28" s="528">
        <f>+'- 50 -'!F28</f>
        <v>197308</v>
      </c>
      <c r="D28" s="528">
        <v>0</v>
      </c>
    </row>
    <row r="29" spans="1:4" ht="14.1" customHeight="1">
      <c r="A29" s="330" t="s">
        <v>255</v>
      </c>
      <c r="B29" s="529">
        <f t="shared" si="0"/>
        <v>1248742</v>
      </c>
      <c r="C29" s="527">
        <f>+'- 50 -'!F29</f>
        <v>522424</v>
      </c>
      <c r="D29" s="527">
        <v>726318</v>
      </c>
    </row>
    <row r="30" spans="1:4" ht="14.1" customHeight="1">
      <c r="A30" s="26" t="s">
        <v>256</v>
      </c>
      <c r="B30" s="530">
        <f t="shared" si="0"/>
        <v>100284</v>
      </c>
      <c r="C30" s="528">
        <f>+'- 50 -'!F30</f>
        <v>100284</v>
      </c>
      <c r="D30" s="528">
        <v>0</v>
      </c>
    </row>
    <row r="31" spans="1:4" ht="14.1" customHeight="1">
      <c r="A31" s="330" t="s">
        <v>257</v>
      </c>
      <c r="B31" s="529">
        <f t="shared" si="0"/>
        <v>394959</v>
      </c>
      <c r="C31" s="527">
        <f>+'- 50 -'!F31</f>
        <v>291340</v>
      </c>
      <c r="D31" s="527">
        <v>103619</v>
      </c>
    </row>
    <row r="32" spans="1:4" ht="14.1" customHeight="1">
      <c r="A32" s="26" t="s">
        <v>258</v>
      </c>
      <c r="B32" s="530">
        <f t="shared" si="0"/>
        <v>111176</v>
      </c>
      <c r="C32" s="528">
        <f>+'- 50 -'!F32</f>
        <v>90135</v>
      </c>
      <c r="D32" s="528">
        <v>21041</v>
      </c>
    </row>
    <row r="33" spans="1:4" ht="14.1" customHeight="1">
      <c r="A33" s="330" t="s">
        <v>259</v>
      </c>
      <c r="B33" s="529">
        <f t="shared" si="0"/>
        <v>241562</v>
      </c>
      <c r="C33" s="527">
        <f>+'- 50 -'!F33</f>
        <v>168935</v>
      </c>
      <c r="D33" s="527">
        <v>72627</v>
      </c>
    </row>
    <row r="34" spans="1:4" ht="14.1" customHeight="1">
      <c r="A34" s="26" t="s">
        <v>260</v>
      </c>
      <c r="B34" s="530">
        <f t="shared" si="0"/>
        <v>171589</v>
      </c>
      <c r="C34" s="528">
        <f>+'- 50 -'!F34</f>
        <v>148613</v>
      </c>
      <c r="D34" s="528">
        <v>22976</v>
      </c>
    </row>
    <row r="35" spans="1:4" ht="14.1" customHeight="1">
      <c r="A35" s="330" t="s">
        <v>261</v>
      </c>
      <c r="B35" s="529">
        <f t="shared" si="0"/>
        <v>1457622</v>
      </c>
      <c r="C35" s="527">
        <f>+'- 50 -'!F35</f>
        <v>280602</v>
      </c>
      <c r="D35" s="527">
        <v>1177020</v>
      </c>
    </row>
    <row r="36" spans="1:4" ht="14.1" customHeight="1">
      <c r="A36" s="26" t="s">
        <v>262</v>
      </c>
      <c r="B36" s="530">
        <f t="shared" si="0"/>
        <v>176891</v>
      </c>
      <c r="C36" s="528">
        <f>+'- 50 -'!F36</f>
        <v>176891</v>
      </c>
      <c r="D36" s="528">
        <v>0</v>
      </c>
    </row>
    <row r="37" spans="1:4" ht="14.1" customHeight="1">
      <c r="A37" s="330" t="s">
        <v>263</v>
      </c>
      <c r="B37" s="529">
        <f t="shared" si="0"/>
        <v>289797</v>
      </c>
      <c r="C37" s="527">
        <f>+'- 50 -'!F37</f>
        <v>254513</v>
      </c>
      <c r="D37" s="527">
        <v>35284</v>
      </c>
    </row>
    <row r="38" spans="1:4" ht="14.1" customHeight="1">
      <c r="A38" s="26" t="s">
        <v>264</v>
      </c>
      <c r="B38" s="530">
        <f t="shared" si="0"/>
        <v>687415</v>
      </c>
      <c r="C38" s="528">
        <f>+'- 50 -'!F38</f>
        <v>126010</v>
      </c>
      <c r="D38" s="528">
        <v>561405</v>
      </c>
    </row>
    <row r="39" spans="1:4" ht="14.1" customHeight="1">
      <c r="A39" s="330" t="s">
        <v>265</v>
      </c>
      <c r="B39" s="529">
        <f t="shared" si="0"/>
        <v>175951</v>
      </c>
      <c r="C39" s="527">
        <f>+'- 50 -'!F39</f>
        <v>175951</v>
      </c>
      <c r="D39" s="527">
        <v>0</v>
      </c>
    </row>
    <row r="40" spans="1:4" ht="14.1" customHeight="1">
      <c r="A40" s="26" t="s">
        <v>266</v>
      </c>
      <c r="B40" s="530">
        <f t="shared" si="0"/>
        <v>463210</v>
      </c>
      <c r="C40" s="528">
        <f>+'- 50 -'!F40</f>
        <v>280122</v>
      </c>
      <c r="D40" s="528">
        <v>183088</v>
      </c>
    </row>
    <row r="41" spans="1:4" ht="14.1" customHeight="1">
      <c r="A41" s="330" t="s">
        <v>267</v>
      </c>
      <c r="B41" s="529">
        <f t="shared" si="0"/>
        <v>400011</v>
      </c>
      <c r="C41" s="527">
        <f>+'- 50 -'!F41</f>
        <v>354632</v>
      </c>
      <c r="D41" s="527">
        <v>45379</v>
      </c>
    </row>
    <row r="42" spans="1:4" ht="14.1" customHeight="1">
      <c r="A42" s="26" t="s">
        <v>268</v>
      </c>
      <c r="B42" s="530">
        <f t="shared" si="0"/>
        <v>137823</v>
      </c>
      <c r="C42" s="528">
        <f>+'- 50 -'!F42</f>
        <v>135196</v>
      </c>
      <c r="D42" s="528">
        <v>2627</v>
      </c>
    </row>
    <row r="43" spans="1:4" ht="14.1" customHeight="1">
      <c r="A43" s="330" t="s">
        <v>269</v>
      </c>
      <c r="B43" s="529">
        <f t="shared" si="0"/>
        <v>225413</v>
      </c>
      <c r="C43" s="527">
        <f>+'- 50 -'!F43</f>
        <v>120089</v>
      </c>
      <c r="D43" s="527">
        <v>105324</v>
      </c>
    </row>
    <row r="44" spans="1:4" ht="14.1" customHeight="1">
      <c r="A44" s="26" t="s">
        <v>270</v>
      </c>
      <c r="B44" s="530">
        <f t="shared" si="0"/>
        <v>88501</v>
      </c>
      <c r="C44" s="528">
        <f>+'- 50 -'!F44</f>
        <v>88501</v>
      </c>
      <c r="D44" s="528">
        <v>0</v>
      </c>
    </row>
    <row r="45" spans="1:4" ht="14.1" customHeight="1">
      <c r="A45" s="330" t="s">
        <v>271</v>
      </c>
      <c r="B45" s="529">
        <f t="shared" si="0"/>
        <v>110348</v>
      </c>
      <c r="C45" s="527">
        <f>+'- 50 -'!F45</f>
        <v>12310</v>
      </c>
      <c r="D45" s="527">
        <v>98038</v>
      </c>
    </row>
    <row r="46" spans="1:4" ht="14.1" customHeight="1">
      <c r="A46" s="26" t="s">
        <v>272</v>
      </c>
      <c r="B46" s="530">
        <f t="shared" si="0"/>
        <v>2091025</v>
      </c>
      <c r="C46" s="528">
        <f>+'- 50 -'!F46</f>
        <v>112108</v>
      </c>
      <c r="D46" s="528">
        <v>1978917</v>
      </c>
    </row>
    <row r="47" spans="1:4" ht="5.0999999999999996" customHeight="1">
      <c r="A47" s="28"/>
      <c r="B47" s="29"/>
      <c r="C47" s="29"/>
      <c r="D47" s="29"/>
    </row>
    <row r="48" spans="1:4" ht="14.1" customHeight="1">
      <c r="A48" s="332" t="s">
        <v>273</v>
      </c>
      <c r="B48" s="532">
        <f>SUM(B11:B46)</f>
        <v>16206673</v>
      </c>
      <c r="C48" s="531">
        <f>SUM(C11:C46)</f>
        <v>8497454</v>
      </c>
      <c r="D48" s="531">
        <f>SUM(D11:D46)</f>
        <v>7709219</v>
      </c>
    </row>
    <row r="49" spans="1:5" ht="5.0999999999999996" customHeight="1">
      <c r="A49" s="28" t="s">
        <v>18</v>
      </c>
      <c r="B49" s="29"/>
      <c r="C49" s="29"/>
      <c r="D49" s="29"/>
    </row>
    <row r="50" spans="1:5" ht="14.1" customHeight="1">
      <c r="A50" s="26" t="s">
        <v>274</v>
      </c>
      <c r="B50" s="530">
        <f>C50+D50</f>
        <v>16152</v>
      </c>
      <c r="C50" s="528">
        <f>+'- 50 -'!F50</f>
        <v>16152</v>
      </c>
      <c r="D50" s="528">
        <v>0</v>
      </c>
    </row>
    <row r="51" spans="1:5" ht="14.1" customHeight="1">
      <c r="A51" s="330" t="s">
        <v>275</v>
      </c>
      <c r="B51" s="529">
        <f>C51+D51</f>
        <v>0</v>
      </c>
      <c r="C51" s="527">
        <f>+'- 50 -'!F51</f>
        <v>0</v>
      </c>
      <c r="D51" s="527">
        <v>0</v>
      </c>
    </row>
    <row r="52" spans="1:5" ht="50.1" customHeight="1">
      <c r="A52" s="30"/>
      <c r="B52" s="30"/>
      <c r="C52" s="549"/>
      <c r="D52" s="30"/>
      <c r="E52" s="30"/>
    </row>
    <row r="53" spans="1:5" ht="15.75" customHeight="1">
      <c r="A53" s="550" t="s">
        <v>702</v>
      </c>
      <c r="B53" s="550"/>
      <c r="C53" s="550"/>
      <c r="D53" s="550"/>
      <c r="E53" s="550"/>
    </row>
    <row r="54" spans="1:5">
      <c r="A54" s="1" t="s">
        <v>703</v>
      </c>
      <c r="B54" s="550"/>
      <c r="C54" s="550"/>
      <c r="D54" s="550"/>
      <c r="E54" s="550"/>
    </row>
    <row r="55" spans="1:5">
      <c r="A55" s="550" t="s">
        <v>696</v>
      </c>
    </row>
    <row r="56" spans="1:5">
      <c r="A56" s="1" t="s">
        <v>697</v>
      </c>
    </row>
  </sheetData>
  <mergeCells count="3">
    <mergeCell ref="A2:E2"/>
    <mergeCell ref="A3:E3"/>
    <mergeCell ref="C7:D7"/>
  </mergeCells>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sheetPr codeName="Sheet42">
    <pageSetUpPr fitToPage="1"/>
  </sheetPr>
  <dimension ref="A1:D59"/>
  <sheetViews>
    <sheetView showGridLines="0" showZeros="0" workbookViewId="0"/>
  </sheetViews>
  <sheetFormatPr defaultColWidth="15.83203125" defaultRowHeight="12"/>
  <cols>
    <col min="1" max="1" width="35.83203125" style="1" customWidth="1"/>
    <col min="2" max="3" width="25.83203125" style="1" customWidth="1"/>
    <col min="4" max="4" width="45.83203125" style="1" customWidth="1"/>
    <col min="5" max="16384" width="15.83203125" style="1"/>
  </cols>
  <sheetData>
    <row r="1" spans="1:4" ht="6.95" customHeight="1">
      <c r="A1" s="6"/>
    </row>
    <row r="2" spans="1:4" ht="17.100000000000001" customHeight="1">
      <c r="A2" s="260"/>
      <c r="B2" s="261" t="s">
        <v>675</v>
      </c>
      <c r="C2" s="178"/>
      <c r="D2" s="173"/>
    </row>
    <row r="3" spans="1:4" ht="15" customHeight="1">
      <c r="A3" s="262"/>
      <c r="B3" s="266" t="s">
        <v>727</v>
      </c>
      <c r="C3" s="179"/>
      <c r="D3" s="263"/>
    </row>
    <row r="4" spans="1:4" ht="15.95" customHeight="1">
      <c r="A4" s="151"/>
      <c r="B4" s="7"/>
      <c r="C4" s="50"/>
    </row>
    <row r="5" spans="1:4" ht="15.95" customHeight="1">
      <c r="A5" s="1" t="str">
        <f>REPLACE(A4,5,5,"")</f>
        <v/>
      </c>
      <c r="B5" s="7"/>
      <c r="C5" s="7"/>
    </row>
    <row r="6" spans="1:4" ht="15.95" customHeight="1">
      <c r="B6"/>
      <c r="C6"/>
    </row>
    <row r="7" spans="1:4" ht="15.95" customHeight="1">
      <c r="B7" s="492" t="s">
        <v>462</v>
      </c>
      <c r="C7" s="492"/>
    </row>
    <row r="8" spans="1:4" ht="15.95" customHeight="1">
      <c r="A8" s="75"/>
      <c r="B8" s="493" t="s">
        <v>128</v>
      </c>
      <c r="C8" s="493" t="s">
        <v>91</v>
      </c>
    </row>
    <row r="9" spans="1:4" ht="15.95" customHeight="1">
      <c r="A9" s="42" t="s">
        <v>95</v>
      </c>
      <c r="B9" s="494" t="s">
        <v>161</v>
      </c>
      <c r="C9" s="494" t="s">
        <v>463</v>
      </c>
    </row>
    <row r="10" spans="1:4" ht="5.0999999999999996" customHeight="1">
      <c r="A10" s="5"/>
      <c r="B10" s="236"/>
      <c r="C10" s="254">
        <v>1.2330000000000001E-2</v>
      </c>
    </row>
    <row r="11" spans="1:4" ht="14.1" customHeight="1">
      <c r="A11" s="330" t="s">
        <v>238</v>
      </c>
      <c r="B11" s="331">
        <f>'- 54 -'!D11</f>
        <v>110594740</v>
      </c>
      <c r="C11" s="331">
        <f t="shared" ref="C11:C46" si="0">B11*C$10</f>
        <v>1363633.1442</v>
      </c>
    </row>
    <row r="12" spans="1:4" ht="14.1" customHeight="1">
      <c r="A12" s="26" t="s">
        <v>239</v>
      </c>
      <c r="B12" s="27">
        <f>'- 54 -'!D12</f>
        <v>120154760</v>
      </c>
      <c r="C12" s="27">
        <f t="shared" si="0"/>
        <v>1481508.1908</v>
      </c>
    </row>
    <row r="13" spans="1:4" ht="14.1" customHeight="1">
      <c r="A13" s="330" t="s">
        <v>240</v>
      </c>
      <c r="B13" s="331">
        <f>'- 54 -'!D13</f>
        <v>668431740</v>
      </c>
      <c r="C13" s="331">
        <f t="shared" si="0"/>
        <v>8241763.3542000009</v>
      </c>
    </row>
    <row r="14" spans="1:4" ht="14.1" customHeight="1">
      <c r="A14" s="26" t="s">
        <v>653</v>
      </c>
      <c r="B14" s="27">
        <f>'- 54 -'!D14</f>
        <v>0</v>
      </c>
      <c r="C14" s="27">
        <f t="shared" si="0"/>
        <v>0</v>
      </c>
    </row>
    <row r="15" spans="1:4" ht="14.1" customHeight="1">
      <c r="A15" s="330" t="s">
        <v>241</v>
      </c>
      <c r="B15" s="331">
        <f>'- 54 -'!D15</f>
        <v>96827970</v>
      </c>
      <c r="C15" s="331">
        <f t="shared" si="0"/>
        <v>1193888.8701000002</v>
      </c>
    </row>
    <row r="16" spans="1:4" ht="14.1" customHeight="1">
      <c r="A16" s="26" t="s">
        <v>242</v>
      </c>
      <c r="B16" s="27">
        <f>'- 54 -'!D16</f>
        <v>31280870</v>
      </c>
      <c r="C16" s="27">
        <f t="shared" si="0"/>
        <v>385693.12710000004</v>
      </c>
    </row>
    <row r="17" spans="1:3" ht="14.1" customHeight="1">
      <c r="A17" s="330" t="s">
        <v>243</v>
      </c>
      <c r="B17" s="331">
        <f>'- 54 -'!D17</f>
        <v>275780450</v>
      </c>
      <c r="C17" s="331">
        <f t="shared" si="0"/>
        <v>3400372.9485000004</v>
      </c>
    </row>
    <row r="18" spans="1:3" ht="14.1" customHeight="1">
      <c r="A18" s="26" t="s">
        <v>244</v>
      </c>
      <c r="B18" s="27">
        <f>'- 54 -'!D18</f>
        <v>55182400</v>
      </c>
      <c r="C18" s="27">
        <f t="shared" si="0"/>
        <v>680398.99200000009</v>
      </c>
    </row>
    <row r="19" spans="1:3" ht="14.1" customHeight="1">
      <c r="A19" s="330" t="s">
        <v>245</v>
      </c>
      <c r="B19" s="331">
        <f>'- 54 -'!D19</f>
        <v>186104280</v>
      </c>
      <c r="C19" s="331">
        <f t="shared" si="0"/>
        <v>2294665.7724000001</v>
      </c>
    </row>
    <row r="20" spans="1:3" ht="14.1" customHeight="1">
      <c r="A20" s="26" t="s">
        <v>246</v>
      </c>
      <c r="B20" s="27">
        <f>'- 54 -'!D20</f>
        <v>266598550</v>
      </c>
      <c r="C20" s="27">
        <f t="shared" si="0"/>
        <v>3287160.1215000004</v>
      </c>
    </row>
    <row r="21" spans="1:3" ht="14.1" customHeight="1">
      <c r="A21" s="330" t="s">
        <v>247</v>
      </c>
      <c r="B21" s="331">
        <f>'- 54 -'!D21</f>
        <v>169887630</v>
      </c>
      <c r="C21" s="331">
        <f t="shared" si="0"/>
        <v>2094714.4779000001</v>
      </c>
    </row>
    <row r="22" spans="1:3" ht="14.1" customHeight="1">
      <c r="A22" s="26" t="s">
        <v>248</v>
      </c>
      <c r="B22" s="27">
        <f>'- 54 -'!D22</f>
        <v>55026520</v>
      </c>
      <c r="C22" s="27">
        <f t="shared" si="0"/>
        <v>678476.99160000007</v>
      </c>
    </row>
    <row r="23" spans="1:3" ht="14.1" customHeight="1">
      <c r="A23" s="330" t="s">
        <v>249</v>
      </c>
      <c r="B23" s="331">
        <f>'- 54 -'!D23</f>
        <v>24808530</v>
      </c>
      <c r="C23" s="331">
        <f t="shared" si="0"/>
        <v>305889.17490000004</v>
      </c>
    </row>
    <row r="24" spans="1:3" ht="14.1" customHeight="1">
      <c r="A24" s="26" t="s">
        <v>250</v>
      </c>
      <c r="B24" s="27">
        <f>'- 54 -'!D24</f>
        <v>178893420</v>
      </c>
      <c r="C24" s="27">
        <f t="shared" si="0"/>
        <v>2205755.8686000002</v>
      </c>
    </row>
    <row r="25" spans="1:3" ht="14.1" customHeight="1">
      <c r="A25" s="330" t="s">
        <v>251</v>
      </c>
      <c r="B25" s="331">
        <f>'- 54 -'!D25</f>
        <v>866259930</v>
      </c>
      <c r="C25" s="331">
        <f t="shared" si="0"/>
        <v>10680984.936900001</v>
      </c>
    </row>
    <row r="26" spans="1:3" ht="14.1" customHeight="1">
      <c r="A26" s="26" t="s">
        <v>252</v>
      </c>
      <c r="B26" s="27">
        <f>'- 54 -'!D26</f>
        <v>102540130</v>
      </c>
      <c r="C26" s="27">
        <f t="shared" si="0"/>
        <v>1264319.8029</v>
      </c>
    </row>
    <row r="27" spans="1:3" ht="14.1" customHeight="1">
      <c r="A27" s="330" t="s">
        <v>253</v>
      </c>
      <c r="B27" s="331">
        <f>'- 54 -'!D27</f>
        <v>92239390</v>
      </c>
      <c r="C27" s="331">
        <f t="shared" si="0"/>
        <v>1137311.6787</v>
      </c>
    </row>
    <row r="28" spans="1:3" ht="14.1" customHeight="1">
      <c r="A28" s="26" t="s">
        <v>254</v>
      </c>
      <c r="B28" s="27">
        <f>'- 54 -'!D28</f>
        <v>149623250</v>
      </c>
      <c r="C28" s="27">
        <f t="shared" si="0"/>
        <v>1844854.6725000001</v>
      </c>
    </row>
    <row r="29" spans="1:3" ht="14.1" customHeight="1">
      <c r="A29" s="330" t="s">
        <v>255</v>
      </c>
      <c r="B29" s="331">
        <f>'- 54 -'!D29</f>
        <v>907984760</v>
      </c>
      <c r="C29" s="331">
        <f t="shared" si="0"/>
        <v>11195452.0908</v>
      </c>
    </row>
    <row r="30" spans="1:3" ht="14.1" customHeight="1">
      <c r="A30" s="26" t="s">
        <v>256</v>
      </c>
      <c r="B30" s="27">
        <f>'- 54 -'!D30</f>
        <v>74973080</v>
      </c>
      <c r="C30" s="27">
        <f t="shared" si="0"/>
        <v>924418.07640000002</v>
      </c>
    </row>
    <row r="31" spans="1:3" ht="14.1" customHeight="1">
      <c r="A31" s="330" t="s">
        <v>257</v>
      </c>
      <c r="B31" s="331">
        <f>'- 54 -'!D31</f>
        <v>268230120</v>
      </c>
      <c r="C31" s="331">
        <f t="shared" si="0"/>
        <v>3307277.3796000001</v>
      </c>
    </row>
    <row r="32" spans="1:3" ht="14.1" customHeight="1">
      <c r="A32" s="26" t="s">
        <v>258</v>
      </c>
      <c r="B32" s="27">
        <f>'- 54 -'!D32</f>
        <v>108922170</v>
      </c>
      <c r="C32" s="27">
        <f t="shared" si="0"/>
        <v>1343010.3561</v>
      </c>
    </row>
    <row r="33" spans="1:3" ht="14.1" customHeight="1">
      <c r="A33" s="330" t="s">
        <v>259</v>
      </c>
      <c r="B33" s="331">
        <f>'- 54 -'!D33</f>
        <v>133650230</v>
      </c>
      <c r="C33" s="331">
        <f t="shared" si="0"/>
        <v>1647907.3359000001</v>
      </c>
    </row>
    <row r="34" spans="1:3" ht="14.1" customHeight="1">
      <c r="A34" s="26" t="s">
        <v>260</v>
      </c>
      <c r="B34" s="27">
        <f>'- 54 -'!D34</f>
        <v>168139650</v>
      </c>
      <c r="C34" s="27">
        <f t="shared" si="0"/>
        <v>2073161.8845000002</v>
      </c>
    </row>
    <row r="35" spans="1:3" ht="14.1" customHeight="1">
      <c r="A35" s="330" t="s">
        <v>261</v>
      </c>
      <c r="B35" s="331">
        <f>'- 54 -'!D35</f>
        <v>680777930</v>
      </c>
      <c r="C35" s="331">
        <f t="shared" si="0"/>
        <v>8393991.8769000005</v>
      </c>
    </row>
    <row r="36" spans="1:3" ht="14.1" customHeight="1">
      <c r="A36" s="26" t="s">
        <v>262</v>
      </c>
      <c r="B36" s="27">
        <f>'- 54 -'!D36</f>
        <v>145400500</v>
      </c>
      <c r="C36" s="27">
        <f t="shared" si="0"/>
        <v>1792788.165</v>
      </c>
    </row>
    <row r="37" spans="1:3" ht="14.1" customHeight="1">
      <c r="A37" s="330" t="s">
        <v>263</v>
      </c>
      <c r="B37" s="331">
        <f>'- 54 -'!D37</f>
        <v>134187890</v>
      </c>
      <c r="C37" s="331">
        <f t="shared" si="0"/>
        <v>1654536.6837000002</v>
      </c>
    </row>
    <row r="38" spans="1:3" ht="14.1" customHeight="1">
      <c r="A38" s="26" t="s">
        <v>264</v>
      </c>
      <c r="B38" s="27">
        <f>'- 54 -'!D38</f>
        <v>268050100</v>
      </c>
      <c r="C38" s="27">
        <f t="shared" si="0"/>
        <v>3305057.733</v>
      </c>
    </row>
    <row r="39" spans="1:3" ht="14.1" customHeight="1">
      <c r="A39" s="330" t="s">
        <v>265</v>
      </c>
      <c r="B39" s="331">
        <f>'- 54 -'!D39</f>
        <v>177531340</v>
      </c>
      <c r="C39" s="331">
        <f t="shared" si="0"/>
        <v>2188961.4221999999</v>
      </c>
    </row>
    <row r="40" spans="1:3" ht="14.1" customHeight="1">
      <c r="A40" s="26" t="s">
        <v>266</v>
      </c>
      <c r="B40" s="27">
        <f>'- 54 -'!D40</f>
        <v>1091563980</v>
      </c>
      <c r="C40" s="27">
        <f t="shared" si="0"/>
        <v>13458983.873400001</v>
      </c>
    </row>
    <row r="41" spans="1:3" ht="14.1" customHeight="1">
      <c r="A41" s="330" t="s">
        <v>267</v>
      </c>
      <c r="B41" s="331">
        <f>'- 54 -'!D41</f>
        <v>283098830</v>
      </c>
      <c r="C41" s="331">
        <f t="shared" si="0"/>
        <v>3490608.5739000002</v>
      </c>
    </row>
    <row r="42" spans="1:3" ht="14.1" customHeight="1">
      <c r="A42" s="26" t="s">
        <v>268</v>
      </c>
      <c r="B42" s="27">
        <f>'- 54 -'!D42</f>
        <v>62233760</v>
      </c>
      <c r="C42" s="27">
        <f t="shared" si="0"/>
        <v>767342.26080000005</v>
      </c>
    </row>
    <row r="43" spans="1:3" ht="14.1" customHeight="1">
      <c r="A43" s="330" t="s">
        <v>269</v>
      </c>
      <c r="B43" s="331">
        <f>'- 54 -'!D43</f>
        <v>47888290</v>
      </c>
      <c r="C43" s="331">
        <f t="shared" si="0"/>
        <v>590462.61570000008</v>
      </c>
    </row>
    <row r="44" spans="1:3" ht="14.1" customHeight="1">
      <c r="A44" s="26" t="s">
        <v>270</v>
      </c>
      <c r="B44" s="27">
        <f>'- 54 -'!D44</f>
        <v>12967170</v>
      </c>
      <c r="C44" s="27">
        <f t="shared" si="0"/>
        <v>159885.20610000001</v>
      </c>
    </row>
    <row r="45" spans="1:3" ht="14.1" customHeight="1">
      <c r="A45" s="330" t="s">
        <v>271</v>
      </c>
      <c r="B45" s="331">
        <f>'- 54 -'!D45</f>
        <v>74099700</v>
      </c>
      <c r="C45" s="331">
        <f t="shared" si="0"/>
        <v>913649.30100000009</v>
      </c>
    </row>
    <row r="46" spans="1:3" ht="14.1" customHeight="1">
      <c r="A46" s="26" t="s">
        <v>272</v>
      </c>
      <c r="B46" s="27">
        <f>'- 54 -'!D46</f>
        <v>3291022910</v>
      </c>
      <c r="C46" s="27">
        <f t="shared" si="0"/>
        <v>40578312.480300002</v>
      </c>
    </row>
    <row r="47" spans="1:3" ht="6" customHeight="1">
      <c r="A47" s="28"/>
      <c r="B47" s="29"/>
      <c r="C47" s="29"/>
    </row>
    <row r="48" spans="1:3" ht="14.1" customHeight="1">
      <c r="A48" s="332" t="s">
        <v>362</v>
      </c>
      <c r="B48" s="333">
        <f>SUM(B11:B46)</f>
        <v>11380956970</v>
      </c>
      <c r="C48" s="333">
        <f>SUM(C11:C46)</f>
        <v>140327199.44010001</v>
      </c>
    </row>
    <row r="49" spans="1:4" ht="6" customHeight="1">
      <c r="A49" s="28"/>
      <c r="B49" s="29"/>
      <c r="C49" s="29"/>
    </row>
    <row r="50" spans="1:4" ht="14.1" customHeight="1">
      <c r="A50" s="26" t="s">
        <v>363</v>
      </c>
      <c r="B50" s="27">
        <f>'- 54 -'!D50</f>
        <v>2958120</v>
      </c>
      <c r="C50" s="27">
        <v>0</v>
      </c>
    </row>
    <row r="51" spans="1:4" ht="14.1" customHeight="1">
      <c r="A51" s="330" t="s">
        <v>364</v>
      </c>
      <c r="B51" s="331">
        <f>'- 54 -'!D51</f>
        <v>42797880</v>
      </c>
      <c r="C51" s="331">
        <f>B51*C$10</f>
        <v>527697.86040000001</v>
      </c>
    </row>
    <row r="52" spans="1:4" ht="6" customHeight="1">
      <c r="A52" s="148"/>
      <c r="B52" s="172"/>
      <c r="C52" s="172"/>
    </row>
    <row r="53" spans="1:4" ht="14.45" customHeight="1">
      <c r="A53" s="495" t="s">
        <v>273</v>
      </c>
      <c r="B53" s="496">
        <f>SUM(B48,B50:B51)</f>
        <v>11426712970</v>
      </c>
      <c r="C53" s="496">
        <f>SUM(C48,C50:C51)</f>
        <v>140854897.30050001</v>
      </c>
      <c r="D53" s="206"/>
    </row>
    <row r="54" spans="1:4" ht="50.1" customHeight="1">
      <c r="A54" s="255"/>
      <c r="B54" s="255"/>
      <c r="C54" s="255"/>
      <c r="D54" s="30"/>
    </row>
    <row r="55" spans="1:4" ht="14.45" customHeight="1">
      <c r="A55" s="33" t="s">
        <v>736</v>
      </c>
      <c r="B55" s="45"/>
      <c r="C55" s="45"/>
      <c r="D55" s="45"/>
    </row>
    <row r="56" spans="1:4" ht="14.45" customHeight="1">
      <c r="A56" s="32"/>
      <c r="B56" s="45"/>
      <c r="C56" s="45"/>
      <c r="D56" s="45"/>
    </row>
    <row r="57" spans="1:4" ht="14.45" customHeight="1">
      <c r="A57" s="33"/>
      <c r="B57" s="45"/>
      <c r="C57" s="45"/>
      <c r="D57" s="45"/>
    </row>
    <row r="58" spans="1:4" ht="14.45" customHeight="1">
      <c r="B58" s="90"/>
      <c r="C58" s="90"/>
    </row>
    <row r="59" spans="1:4" ht="14.45" customHeight="1"/>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48.xml><?xml version="1.0" encoding="utf-8"?>
<worksheet xmlns="http://schemas.openxmlformats.org/spreadsheetml/2006/main" xmlns:r="http://schemas.openxmlformats.org/officeDocument/2006/relationships">
  <sheetPr codeName="Sheet62">
    <pageSetUpPr fitToPage="1"/>
  </sheetPr>
  <dimension ref="A1:M57"/>
  <sheetViews>
    <sheetView showGridLines="0" showZeros="0" workbookViewId="0"/>
  </sheetViews>
  <sheetFormatPr defaultColWidth="15.83203125" defaultRowHeight="12"/>
  <cols>
    <col min="1" max="1" width="27.6640625" style="1" customWidth="1"/>
    <col min="2" max="2" width="16.1640625" style="1" bestFit="1" customWidth="1"/>
    <col min="3" max="3" width="15" style="1" bestFit="1" customWidth="1"/>
    <col min="4" max="5" width="16.1640625" style="1" bestFit="1" customWidth="1"/>
    <col min="6" max="6" width="14.5" style="1" customWidth="1"/>
    <col min="7" max="7" width="14.33203125" style="1" customWidth="1"/>
    <col min="8" max="8" width="15.83203125" style="1"/>
    <col min="9" max="9" width="21" style="1" hidden="1" customWidth="1"/>
    <col min="10" max="10" width="0" style="1" hidden="1" customWidth="1"/>
    <col min="11" max="16384" width="15.83203125" style="1"/>
  </cols>
  <sheetData>
    <row r="1" spans="1:13" ht="6.95" customHeight="1">
      <c r="A1" s="6"/>
    </row>
    <row r="2" spans="1:13" ht="15.95" customHeight="1">
      <c r="A2" s="237" t="s">
        <v>110</v>
      </c>
      <c r="B2" s="256"/>
      <c r="C2" s="256"/>
      <c r="D2" s="256"/>
      <c r="E2" s="256"/>
      <c r="F2" s="256"/>
      <c r="G2" s="256"/>
    </row>
    <row r="3" spans="1:13" ht="15.95" customHeight="1">
      <c r="A3" s="266" t="str">
        <f>TAXYEAR</f>
        <v xml:space="preserve">FOR THE 2011 TAXATION YEAR </v>
      </c>
      <c r="B3" s="257"/>
      <c r="C3" s="257"/>
      <c r="D3" s="257"/>
      <c r="E3" s="268"/>
      <c r="F3" s="268"/>
      <c r="G3" s="257"/>
    </row>
    <row r="4" spans="1:13" ht="15.95" customHeight="1">
      <c r="B4" s="7"/>
      <c r="C4" s="7"/>
      <c r="D4" s="7"/>
      <c r="E4" s="50"/>
      <c r="F4" s="50"/>
      <c r="G4" s="50"/>
    </row>
    <row r="5" spans="1:13" ht="15.95" customHeight="1">
      <c r="B5" s="7"/>
      <c r="C5" s="7"/>
      <c r="D5" s="7"/>
      <c r="E5" s="7"/>
      <c r="F5" s="7"/>
      <c r="G5" s="7"/>
    </row>
    <row r="6" spans="1:13" ht="15.95" customHeight="1">
      <c r="B6" s="235" t="s">
        <v>117</v>
      </c>
      <c r="C6" s="193"/>
      <c r="D6" s="193"/>
      <c r="E6" s="191"/>
      <c r="F6" s="7"/>
      <c r="G6" s="7"/>
      <c r="H6" s="3" t="s">
        <v>150</v>
      </c>
    </row>
    <row r="7" spans="1:13" ht="15.95" customHeight="1">
      <c r="B7" s="403" t="s">
        <v>125</v>
      </c>
      <c r="C7" s="403" t="s">
        <v>126</v>
      </c>
      <c r="D7" s="404"/>
      <c r="E7" s="352"/>
      <c r="F7" s="405"/>
      <c r="G7" s="661" t="s">
        <v>127</v>
      </c>
      <c r="H7" s="3" t="s">
        <v>141</v>
      </c>
    </row>
    <row r="8" spans="1:13" ht="15.95" customHeight="1">
      <c r="A8" s="40"/>
      <c r="B8" s="406" t="s">
        <v>147</v>
      </c>
      <c r="C8" s="406" t="s">
        <v>148</v>
      </c>
      <c r="D8" s="407" t="s">
        <v>18</v>
      </c>
      <c r="E8" s="408"/>
      <c r="F8" s="409" t="s">
        <v>127</v>
      </c>
      <c r="G8" s="662" t="s">
        <v>149</v>
      </c>
      <c r="H8" s="3" t="s">
        <v>216</v>
      </c>
    </row>
    <row r="9" spans="1:13" ht="15.95" customHeight="1">
      <c r="A9" s="269" t="s">
        <v>95</v>
      </c>
      <c r="B9" s="410" t="s">
        <v>160</v>
      </c>
      <c r="C9" s="410" t="s">
        <v>158</v>
      </c>
      <c r="D9" s="410" t="s">
        <v>161</v>
      </c>
      <c r="E9" s="356" t="s">
        <v>69</v>
      </c>
      <c r="F9" s="356" t="s">
        <v>427</v>
      </c>
      <c r="G9" s="663" t="s">
        <v>428</v>
      </c>
      <c r="H9" s="3" t="s">
        <v>217</v>
      </c>
    </row>
    <row r="10" spans="1:13" ht="5.0999999999999996" customHeight="1">
      <c r="A10" s="25"/>
      <c r="B10" s="236"/>
      <c r="C10" s="6"/>
      <c r="D10" s="236"/>
      <c r="E10" s="236"/>
      <c r="F10" s="6"/>
      <c r="G10" s="6"/>
    </row>
    <row r="11" spans="1:13" ht="14.1" customHeight="1">
      <c r="A11" s="413" t="s">
        <v>238</v>
      </c>
      <c r="B11" s="411">
        <v>161128260</v>
      </c>
      <c r="C11" s="411">
        <v>132608340</v>
      </c>
      <c r="D11" s="411">
        <v>110594740</v>
      </c>
      <c r="E11" s="411">
        <f t="shared" ref="E11:E46" si="0">SUM(B11:D11)</f>
        <v>404331340</v>
      </c>
      <c r="F11" s="411">
        <f>'- 56 -'!C11</f>
        <v>6574518</v>
      </c>
      <c r="G11" s="412">
        <f>F11/E11*1000</f>
        <v>16.260223607697586</v>
      </c>
      <c r="I11" s="267" t="str">
        <f>A11</f>
        <v xml:space="preserve"> BEAUTIFUL PLAINS</v>
      </c>
      <c r="J11" s="4">
        <f>G11</f>
        <v>16.260223607697586</v>
      </c>
      <c r="M11" s="659"/>
    </row>
    <row r="12" spans="1:13" ht="14.1" customHeight="1">
      <c r="A12" s="270" t="s">
        <v>239</v>
      </c>
      <c r="B12" s="171">
        <v>220533510</v>
      </c>
      <c r="C12" s="171">
        <v>167095560</v>
      </c>
      <c r="D12" s="171">
        <v>120154760</v>
      </c>
      <c r="E12" s="171">
        <f t="shared" si="0"/>
        <v>507783830</v>
      </c>
      <c r="F12" s="171">
        <f>'- 56 -'!C12</f>
        <v>10022378</v>
      </c>
      <c r="G12" s="271">
        <f>F12/E12*1000</f>
        <v>19.737489474605759</v>
      </c>
      <c r="I12" s="267" t="str">
        <f>A12</f>
        <v xml:space="preserve"> BORDER LAND</v>
      </c>
      <c r="J12" s="4">
        <f>G12</f>
        <v>19.737489474605759</v>
      </c>
      <c r="M12" s="659"/>
    </row>
    <row r="13" spans="1:13" ht="14.1" customHeight="1">
      <c r="A13" s="413" t="s">
        <v>240</v>
      </c>
      <c r="B13" s="411">
        <v>1258473900</v>
      </c>
      <c r="C13" s="411">
        <v>43701270</v>
      </c>
      <c r="D13" s="411">
        <v>668431740</v>
      </c>
      <c r="E13" s="411">
        <f t="shared" si="0"/>
        <v>1970606910</v>
      </c>
      <c r="F13" s="411">
        <f>'- 56 -'!C13</f>
        <v>32068494</v>
      </c>
      <c r="G13" s="412">
        <f>F13/E13*1000</f>
        <v>16.273409900912203</v>
      </c>
      <c r="I13" s="267" t="str">
        <f>A13</f>
        <v xml:space="preserve"> BRANDON</v>
      </c>
      <c r="J13" s="4">
        <f>G13</f>
        <v>16.273409900912203</v>
      </c>
      <c r="M13" s="659"/>
    </row>
    <row r="14" spans="1:13" ht="14.1" customHeight="1">
      <c r="A14" s="270" t="s">
        <v>653</v>
      </c>
      <c r="B14" s="171"/>
      <c r="C14" s="171"/>
      <c r="D14" s="171"/>
      <c r="E14" s="171">
        <f t="shared" si="0"/>
        <v>0</v>
      </c>
      <c r="F14" s="171"/>
      <c r="G14" s="271"/>
      <c r="I14" s="267" t="str">
        <f>A15</f>
        <v xml:space="preserve"> EVERGREEN</v>
      </c>
      <c r="J14" s="4">
        <f>G15</f>
        <v>11.079687843625338</v>
      </c>
      <c r="M14" s="659"/>
    </row>
    <row r="15" spans="1:13" ht="14.1" customHeight="1">
      <c r="A15" s="413" t="s">
        <v>241</v>
      </c>
      <c r="B15" s="411">
        <v>548355110</v>
      </c>
      <c r="C15" s="411">
        <v>60709280</v>
      </c>
      <c r="D15" s="411">
        <v>96827970</v>
      </c>
      <c r="E15" s="411">
        <f t="shared" si="0"/>
        <v>705892360</v>
      </c>
      <c r="F15" s="411">
        <f>'- 56 -'!C15</f>
        <v>7821067</v>
      </c>
      <c r="G15" s="412">
        <f>F15/E15*1000</f>
        <v>11.079687843625338</v>
      </c>
      <c r="I15" s="267" t="str">
        <f t="shared" ref="I15:I44" si="1">A16</f>
        <v xml:space="preserve"> FLIN FLON</v>
      </c>
      <c r="J15" s="4">
        <f t="shared" ref="J15:J44" si="2">G16</f>
        <v>17.996747644464619</v>
      </c>
      <c r="M15" s="659"/>
    </row>
    <row r="16" spans="1:13" ht="14.1" customHeight="1">
      <c r="A16" s="270" t="s">
        <v>242</v>
      </c>
      <c r="B16" s="171">
        <v>75638560</v>
      </c>
      <c r="C16" s="171">
        <v>0</v>
      </c>
      <c r="D16" s="171">
        <v>31280870</v>
      </c>
      <c r="E16" s="171">
        <f t="shared" si="0"/>
        <v>106919430</v>
      </c>
      <c r="F16" s="171">
        <f>'- 56 -'!C16</f>
        <v>3571137</v>
      </c>
      <c r="G16" s="271">
        <f>(F16-H16)/E16*1000</f>
        <v>17.996747644464619</v>
      </c>
      <c r="H16" s="1">
        <v>1646935</v>
      </c>
      <c r="I16" s="267" t="str">
        <f t="shared" si="1"/>
        <v xml:space="preserve"> FORT LA BOSSE</v>
      </c>
      <c r="J16" s="4">
        <f t="shared" si="2"/>
        <v>13.351661643482291</v>
      </c>
      <c r="M16" s="659"/>
    </row>
    <row r="17" spans="1:13" ht="14.1" customHeight="1">
      <c r="A17" s="413" t="s">
        <v>243</v>
      </c>
      <c r="B17" s="411">
        <v>148111420</v>
      </c>
      <c r="C17" s="411">
        <v>103077970</v>
      </c>
      <c r="D17" s="411">
        <v>275780450</v>
      </c>
      <c r="E17" s="411">
        <f t="shared" si="0"/>
        <v>526969840</v>
      </c>
      <c r="F17" s="411">
        <f>'- 56 -'!C17</f>
        <v>7035923</v>
      </c>
      <c r="G17" s="412">
        <f>F17/E17*1000</f>
        <v>13.351661643482291</v>
      </c>
      <c r="H17" s="562"/>
      <c r="I17" s="267" t="str">
        <f t="shared" si="1"/>
        <v xml:space="preserve"> FRONTIER</v>
      </c>
      <c r="J17" s="4">
        <f t="shared" si="2"/>
        <v>17.591001652337656</v>
      </c>
      <c r="M17" s="659"/>
    </row>
    <row r="18" spans="1:13" ht="14.1" customHeight="1">
      <c r="A18" s="270" t="s">
        <v>244</v>
      </c>
      <c r="B18" s="171">
        <v>98569280</v>
      </c>
      <c r="C18" s="171">
        <v>16867200</v>
      </c>
      <c r="D18" s="171">
        <v>55182400</v>
      </c>
      <c r="E18" s="171">
        <f t="shared" si="0"/>
        <v>170618880</v>
      </c>
      <c r="F18" s="171">
        <f>'- 56 -'!C18</f>
        <v>3001357</v>
      </c>
      <c r="G18" s="271">
        <f>(F18-H18)/E18*1000</f>
        <v>17.591001652337656</v>
      </c>
      <c r="I18" s="267" t="str">
        <f t="shared" si="1"/>
        <v xml:space="preserve"> GARDEN VALLEY</v>
      </c>
      <c r="J18" s="4">
        <f t="shared" si="2"/>
        <v>21.020000803050859</v>
      </c>
      <c r="M18" s="659"/>
    </row>
    <row r="19" spans="1:13" ht="14.1" customHeight="1">
      <c r="A19" s="413" t="s">
        <v>245</v>
      </c>
      <c r="B19" s="411">
        <v>401797260</v>
      </c>
      <c r="C19" s="411">
        <v>110933400</v>
      </c>
      <c r="D19" s="411">
        <v>186104280</v>
      </c>
      <c r="E19" s="411">
        <f t="shared" si="0"/>
        <v>698834940</v>
      </c>
      <c r="F19" s="411">
        <f>'- 56 -'!C19</f>
        <v>14689511</v>
      </c>
      <c r="G19" s="412">
        <f t="shared" ref="G19:G26" si="3">F19/E19*1000</f>
        <v>21.020000803050859</v>
      </c>
      <c r="I19" s="267" t="str">
        <f t="shared" si="1"/>
        <v xml:space="preserve"> HANOVER</v>
      </c>
      <c r="J19" s="4">
        <f t="shared" si="2"/>
        <v>17.78746939748978</v>
      </c>
      <c r="M19" s="659"/>
    </row>
    <row r="20" spans="1:13" ht="14.1" customHeight="1">
      <c r="A20" s="270" t="s">
        <v>246</v>
      </c>
      <c r="B20" s="171">
        <v>862372300</v>
      </c>
      <c r="C20" s="171">
        <v>149102410</v>
      </c>
      <c r="D20" s="171">
        <v>266598550</v>
      </c>
      <c r="E20" s="171">
        <f t="shared" si="0"/>
        <v>1278073260</v>
      </c>
      <c r="F20" s="171">
        <f>'- 56 -'!C20</f>
        <v>22733689</v>
      </c>
      <c r="G20" s="271">
        <f t="shared" si="3"/>
        <v>17.78746939748978</v>
      </c>
      <c r="I20" s="267" t="str">
        <f t="shared" si="1"/>
        <v xml:space="preserve"> INTERLAKE</v>
      </c>
      <c r="J20" s="4">
        <f t="shared" si="2"/>
        <v>15.40026891699341</v>
      </c>
      <c r="M20" s="659"/>
    </row>
    <row r="21" spans="1:13" ht="14.1" customHeight="1">
      <c r="A21" s="413" t="s">
        <v>247</v>
      </c>
      <c r="B21" s="411">
        <v>506304260</v>
      </c>
      <c r="C21" s="411">
        <v>134846480</v>
      </c>
      <c r="D21" s="411">
        <v>169887630</v>
      </c>
      <c r="E21" s="411">
        <f t="shared" si="0"/>
        <v>811038370</v>
      </c>
      <c r="F21" s="411">
        <f>'- 56 -'!C21</f>
        <v>12490209</v>
      </c>
      <c r="G21" s="412">
        <f t="shared" si="3"/>
        <v>15.40026891699341</v>
      </c>
      <c r="I21" s="267" t="str">
        <f t="shared" si="1"/>
        <v xml:space="preserve"> KELSEY</v>
      </c>
      <c r="J21" s="4">
        <f t="shared" si="2"/>
        <v>22.601921231333268</v>
      </c>
      <c r="M21" s="659"/>
    </row>
    <row r="22" spans="1:13" ht="14.1" customHeight="1">
      <c r="A22" s="270" t="s">
        <v>248</v>
      </c>
      <c r="B22" s="171">
        <v>107621500</v>
      </c>
      <c r="C22" s="171">
        <v>11175920</v>
      </c>
      <c r="D22" s="171">
        <v>55026520</v>
      </c>
      <c r="E22" s="171">
        <f t="shared" si="0"/>
        <v>173823940</v>
      </c>
      <c r="F22" s="171">
        <f>'- 56 -'!C22</f>
        <v>3928755</v>
      </c>
      <c r="G22" s="271">
        <f t="shared" si="3"/>
        <v>22.601921231333268</v>
      </c>
      <c r="I22" s="267" t="str">
        <f t="shared" si="1"/>
        <v xml:space="preserve"> LAKESHORE</v>
      </c>
      <c r="J22" s="4">
        <f t="shared" si="2"/>
        <v>19.07583416637717</v>
      </c>
      <c r="M22" s="659"/>
    </row>
    <row r="23" spans="1:13" ht="14.1" customHeight="1">
      <c r="A23" s="413" t="s">
        <v>249</v>
      </c>
      <c r="B23" s="411">
        <v>111991490</v>
      </c>
      <c r="C23" s="411">
        <v>74773480</v>
      </c>
      <c r="D23" s="411">
        <v>24808530</v>
      </c>
      <c r="E23" s="411">
        <f t="shared" si="0"/>
        <v>211573500</v>
      </c>
      <c r="F23" s="411">
        <f>'- 56 -'!C23</f>
        <v>4035941</v>
      </c>
      <c r="G23" s="412">
        <f t="shared" si="3"/>
        <v>19.07583416637717</v>
      </c>
      <c r="H23" s="272"/>
      <c r="I23" s="267" t="str">
        <f t="shared" si="1"/>
        <v xml:space="preserve"> LORD SELKIRK</v>
      </c>
      <c r="J23" s="4">
        <f t="shared" si="2"/>
        <v>14.290681012303951</v>
      </c>
      <c r="M23" s="659"/>
    </row>
    <row r="24" spans="1:13" ht="14.1" customHeight="1">
      <c r="A24" s="270" t="s">
        <v>250</v>
      </c>
      <c r="B24" s="171">
        <v>1182694640</v>
      </c>
      <c r="C24" s="171">
        <v>48308640</v>
      </c>
      <c r="D24" s="171">
        <v>178893420</v>
      </c>
      <c r="E24" s="171">
        <f t="shared" si="0"/>
        <v>1409896700</v>
      </c>
      <c r="F24" s="171">
        <f>'- 56 -'!C24</f>
        <v>20148384</v>
      </c>
      <c r="G24" s="271">
        <f t="shared" si="3"/>
        <v>14.290681012303951</v>
      </c>
      <c r="I24" s="267" t="str">
        <f t="shared" si="1"/>
        <v xml:space="preserve"> LOUIS RIEL</v>
      </c>
      <c r="J24" s="4">
        <f t="shared" si="2"/>
        <v>14.207083257968403</v>
      </c>
      <c r="M24" s="659"/>
    </row>
    <row r="25" spans="1:13" ht="14.1" customHeight="1">
      <c r="A25" s="413" t="s">
        <v>251</v>
      </c>
      <c r="B25" s="411">
        <v>4154463750</v>
      </c>
      <c r="C25" s="411">
        <v>12342200</v>
      </c>
      <c r="D25" s="411">
        <v>866259930</v>
      </c>
      <c r="E25" s="411">
        <f t="shared" si="0"/>
        <v>5033065880</v>
      </c>
      <c r="F25" s="411">
        <f>'- 56 -'!C25</f>
        <v>71505186</v>
      </c>
      <c r="G25" s="412">
        <f t="shared" si="3"/>
        <v>14.207083257968403</v>
      </c>
      <c r="I25" s="267" t="str">
        <f t="shared" si="1"/>
        <v xml:space="preserve"> MOUNTAIN VIEW</v>
      </c>
      <c r="J25" s="4">
        <f t="shared" si="2"/>
        <v>21.310099571369033</v>
      </c>
      <c r="M25" s="659"/>
    </row>
    <row r="26" spans="1:13" ht="14.1" customHeight="1">
      <c r="A26" s="270" t="s">
        <v>252</v>
      </c>
      <c r="B26" s="171">
        <v>314578600</v>
      </c>
      <c r="C26" s="171">
        <v>170421650</v>
      </c>
      <c r="D26" s="171">
        <v>102540130</v>
      </c>
      <c r="E26" s="171">
        <f t="shared" si="0"/>
        <v>587540380</v>
      </c>
      <c r="F26" s="171">
        <f>'- 56 -'!C26</f>
        <v>12520544</v>
      </c>
      <c r="G26" s="271">
        <f t="shared" si="3"/>
        <v>21.310099571369033</v>
      </c>
      <c r="I26" s="267" t="str">
        <f t="shared" si="1"/>
        <v xml:space="preserve"> MYSTERY LAKE</v>
      </c>
      <c r="J26" s="4">
        <f t="shared" si="2"/>
        <v>21.734583333079545</v>
      </c>
      <c r="M26" s="659"/>
    </row>
    <row r="27" spans="1:13" ht="14.1" customHeight="1">
      <c r="A27" s="413" t="s">
        <v>253</v>
      </c>
      <c r="B27" s="411">
        <v>252538280</v>
      </c>
      <c r="C27" s="411">
        <v>0</v>
      </c>
      <c r="D27" s="411">
        <v>92239390</v>
      </c>
      <c r="E27" s="411">
        <f t="shared" si="0"/>
        <v>344777670</v>
      </c>
      <c r="F27" s="411">
        <f>'- 56 -'!C27</f>
        <v>7493599</v>
      </c>
      <c r="G27" s="412">
        <f t="shared" ref="G27:G34" si="4">F27/E27*1000</f>
        <v>21.734583333079545</v>
      </c>
      <c r="I27" s="267" t="str">
        <f t="shared" si="1"/>
        <v xml:space="preserve"> PARK WEST</v>
      </c>
      <c r="J27" s="4">
        <f t="shared" si="2"/>
        <v>15.799986367024479</v>
      </c>
      <c r="M27" s="659"/>
    </row>
    <row r="28" spans="1:13" ht="14.1" customHeight="1">
      <c r="A28" s="270" t="s">
        <v>254</v>
      </c>
      <c r="B28" s="171">
        <v>148072000</v>
      </c>
      <c r="C28" s="171">
        <v>172048130</v>
      </c>
      <c r="D28" s="171">
        <v>149623250</v>
      </c>
      <c r="E28" s="171">
        <f t="shared" si="0"/>
        <v>469743380</v>
      </c>
      <c r="F28" s="171">
        <f>'- 56 -'!C28</f>
        <v>7421939</v>
      </c>
      <c r="G28" s="271">
        <f t="shared" si="4"/>
        <v>15.799986367024479</v>
      </c>
      <c r="I28" s="267" t="str">
        <f t="shared" si="1"/>
        <v xml:space="preserve"> PEMBINA TRAILS</v>
      </c>
      <c r="J28" s="4">
        <f t="shared" si="2"/>
        <v>14.171129536129861</v>
      </c>
      <c r="M28" s="659"/>
    </row>
    <row r="29" spans="1:13" ht="14.1" customHeight="1">
      <c r="A29" s="413" t="s">
        <v>255</v>
      </c>
      <c r="B29" s="411">
        <v>4092713260</v>
      </c>
      <c r="C29" s="411">
        <v>9290550</v>
      </c>
      <c r="D29" s="411">
        <v>907984760</v>
      </c>
      <c r="E29" s="411">
        <f t="shared" si="0"/>
        <v>5009988570</v>
      </c>
      <c r="F29" s="411">
        <f>'- 56 -'!C29</f>
        <v>70997197</v>
      </c>
      <c r="G29" s="412">
        <f t="shared" si="4"/>
        <v>14.171129536129861</v>
      </c>
      <c r="I29" s="267" t="str">
        <f t="shared" si="1"/>
        <v xml:space="preserve"> PINE CREEK</v>
      </c>
      <c r="J29" s="4">
        <f t="shared" si="2"/>
        <v>18.890004331886431</v>
      </c>
      <c r="M29" s="659"/>
    </row>
    <row r="30" spans="1:13" ht="14.1" customHeight="1">
      <c r="A30" s="270" t="s">
        <v>256</v>
      </c>
      <c r="B30" s="171">
        <v>81292290</v>
      </c>
      <c r="C30" s="171">
        <v>106530070</v>
      </c>
      <c r="D30" s="171">
        <v>74973080</v>
      </c>
      <c r="E30" s="171">
        <f t="shared" si="0"/>
        <v>262795440</v>
      </c>
      <c r="F30" s="171">
        <f>'- 56 -'!C30</f>
        <v>4964207</v>
      </c>
      <c r="G30" s="271">
        <f t="shared" si="4"/>
        <v>18.890004331886431</v>
      </c>
      <c r="I30" s="267" t="str">
        <f t="shared" si="1"/>
        <v xml:space="preserve"> PORTAGE LA PRAIRIE</v>
      </c>
      <c r="J30" s="4">
        <f t="shared" si="2"/>
        <v>16.849638303999118</v>
      </c>
      <c r="M30" s="659"/>
    </row>
    <row r="31" spans="1:13" ht="14.1" customHeight="1">
      <c r="A31" s="413" t="s">
        <v>257</v>
      </c>
      <c r="B31" s="411">
        <v>358510980</v>
      </c>
      <c r="C31" s="411">
        <v>158233020</v>
      </c>
      <c r="D31" s="411">
        <v>268230120</v>
      </c>
      <c r="E31" s="411">
        <f t="shared" si="0"/>
        <v>784974120</v>
      </c>
      <c r="F31" s="411">
        <f>'- 56 -'!C31</f>
        <v>13226530</v>
      </c>
      <c r="G31" s="412">
        <f t="shared" si="4"/>
        <v>16.849638303999118</v>
      </c>
      <c r="I31" s="267" t="str">
        <f t="shared" si="1"/>
        <v xml:space="preserve"> PRAIRIE ROSE</v>
      </c>
      <c r="J31" s="4">
        <f t="shared" si="2"/>
        <v>14.800594313118088</v>
      </c>
      <c r="M31" s="659"/>
    </row>
    <row r="32" spans="1:13" ht="14.1" customHeight="1">
      <c r="A32" s="270" t="s">
        <v>258</v>
      </c>
      <c r="B32" s="171">
        <v>325823440</v>
      </c>
      <c r="C32" s="171">
        <v>259898320</v>
      </c>
      <c r="D32" s="171">
        <v>108922170</v>
      </c>
      <c r="E32" s="171">
        <f t="shared" si="0"/>
        <v>694643930</v>
      </c>
      <c r="F32" s="171">
        <f>'- 56 -'!C32</f>
        <v>10281143</v>
      </c>
      <c r="G32" s="271">
        <f t="shared" si="4"/>
        <v>14.800594313118088</v>
      </c>
      <c r="I32" s="267" t="str">
        <f t="shared" si="1"/>
        <v xml:space="preserve"> PRAIRIE SPIRIT</v>
      </c>
      <c r="J32" s="4">
        <f t="shared" si="2"/>
        <v>17.128675060382932</v>
      </c>
      <c r="M32" s="659"/>
    </row>
    <row r="33" spans="1:13" ht="14.1" customHeight="1">
      <c r="A33" s="413" t="s">
        <v>259</v>
      </c>
      <c r="B33" s="411">
        <v>182334520</v>
      </c>
      <c r="C33" s="411">
        <v>336558950</v>
      </c>
      <c r="D33" s="411">
        <v>133650230</v>
      </c>
      <c r="E33" s="411">
        <f t="shared" si="0"/>
        <v>652543700</v>
      </c>
      <c r="F33" s="411">
        <f>'- 56 -'!C33</f>
        <v>11177209</v>
      </c>
      <c r="G33" s="412">
        <f t="shared" si="4"/>
        <v>17.128675060382932</v>
      </c>
      <c r="I33" s="267" t="str">
        <f t="shared" si="1"/>
        <v xml:space="preserve"> RED RIVER VALLEY</v>
      </c>
      <c r="J33" s="4">
        <f t="shared" si="2"/>
        <v>18.46967131856848</v>
      </c>
      <c r="M33" s="659"/>
    </row>
    <row r="34" spans="1:13" ht="14.1" customHeight="1">
      <c r="A34" s="270" t="s">
        <v>260</v>
      </c>
      <c r="B34" s="171">
        <v>306330760</v>
      </c>
      <c r="C34" s="171">
        <v>205120460</v>
      </c>
      <c r="D34" s="171">
        <v>168139650</v>
      </c>
      <c r="E34" s="171">
        <f t="shared" si="0"/>
        <v>679590870</v>
      </c>
      <c r="F34" s="171">
        <f>'- 56 -'!C34</f>
        <v>12551820</v>
      </c>
      <c r="G34" s="271">
        <f t="shared" si="4"/>
        <v>18.46967131856848</v>
      </c>
      <c r="I34" s="267" t="str">
        <f t="shared" si="1"/>
        <v xml:space="preserve"> RIVER EAST TRANSCONA</v>
      </c>
      <c r="J34" s="4">
        <f t="shared" si="2"/>
        <v>15.81319500556242</v>
      </c>
      <c r="M34" s="659"/>
    </row>
    <row r="35" spans="1:13" ht="14.1" customHeight="1">
      <c r="A35" s="413" t="s">
        <v>261</v>
      </c>
      <c r="B35" s="411">
        <v>3649048490</v>
      </c>
      <c r="C35" s="411">
        <v>11036320</v>
      </c>
      <c r="D35" s="411">
        <v>680777930</v>
      </c>
      <c r="E35" s="411">
        <f t="shared" si="0"/>
        <v>4340862740</v>
      </c>
      <c r="F35" s="411">
        <f>'- 56 -'!C35</f>
        <v>68642909</v>
      </c>
      <c r="G35" s="412">
        <f t="shared" ref="G35:G46" si="5">F35/E35*1000</f>
        <v>15.81319500556242</v>
      </c>
      <c r="I35" s="267" t="str">
        <f t="shared" si="1"/>
        <v xml:space="preserve"> ROLLING RIVER</v>
      </c>
      <c r="J35" s="4">
        <f t="shared" si="2"/>
        <v>16.790204899083534</v>
      </c>
      <c r="M35" s="659"/>
    </row>
    <row r="36" spans="1:13" ht="14.1" customHeight="1">
      <c r="A36" s="270" t="s">
        <v>262</v>
      </c>
      <c r="B36" s="171">
        <v>266588260</v>
      </c>
      <c r="C36" s="171">
        <v>108534310</v>
      </c>
      <c r="D36" s="171">
        <v>145400500</v>
      </c>
      <c r="E36" s="171">
        <f t="shared" si="0"/>
        <v>520523070</v>
      </c>
      <c r="F36" s="171">
        <f>'- 56 -'!C36</f>
        <v>8739689</v>
      </c>
      <c r="G36" s="271">
        <f t="shared" si="5"/>
        <v>16.790204899083534</v>
      </c>
      <c r="I36" s="267" t="str">
        <f t="shared" si="1"/>
        <v xml:space="preserve"> SEINE RIVER</v>
      </c>
      <c r="J36" s="4">
        <f t="shared" si="2"/>
        <v>15.991872465850269</v>
      </c>
      <c r="M36" s="659"/>
    </row>
    <row r="37" spans="1:13" ht="14.1" customHeight="1">
      <c r="A37" s="413" t="s">
        <v>263</v>
      </c>
      <c r="B37" s="411">
        <v>808722490</v>
      </c>
      <c r="C37" s="411">
        <v>82561780</v>
      </c>
      <c r="D37" s="411">
        <v>134187890</v>
      </c>
      <c r="E37" s="411">
        <f t="shared" si="0"/>
        <v>1025472160</v>
      </c>
      <c r="F37" s="411">
        <f>'- 56 -'!C37</f>
        <v>16399220</v>
      </c>
      <c r="G37" s="412">
        <f t="shared" si="5"/>
        <v>15.991872465850269</v>
      </c>
      <c r="I37" s="267" t="str">
        <f t="shared" si="1"/>
        <v xml:space="preserve"> SEVEN OAKS</v>
      </c>
      <c r="J37" s="4">
        <f t="shared" si="2"/>
        <v>17.385442281349981</v>
      </c>
      <c r="M37" s="659"/>
    </row>
    <row r="38" spans="1:13" ht="14.1" customHeight="1">
      <c r="A38" s="270" t="s">
        <v>264</v>
      </c>
      <c r="B38" s="171">
        <v>1921203290</v>
      </c>
      <c r="C38" s="171">
        <v>8598950</v>
      </c>
      <c r="D38" s="171">
        <v>268050100</v>
      </c>
      <c r="E38" s="171">
        <f t="shared" si="0"/>
        <v>2197852340</v>
      </c>
      <c r="F38" s="171">
        <f>'- 56 -'!C38</f>
        <v>38210635</v>
      </c>
      <c r="G38" s="271">
        <f t="shared" si="5"/>
        <v>17.385442281349981</v>
      </c>
      <c r="I38" s="267" t="str">
        <f t="shared" si="1"/>
        <v xml:space="preserve"> SOUTHWEST HORIZON</v>
      </c>
      <c r="J38" s="4">
        <f t="shared" si="2"/>
        <v>15.197590880923656</v>
      </c>
      <c r="M38" s="659"/>
    </row>
    <row r="39" spans="1:13" ht="14.1" customHeight="1">
      <c r="A39" s="413" t="s">
        <v>265</v>
      </c>
      <c r="B39" s="411">
        <v>164055900</v>
      </c>
      <c r="C39" s="411">
        <v>219912610</v>
      </c>
      <c r="D39" s="411">
        <v>177531340</v>
      </c>
      <c r="E39" s="411">
        <f t="shared" si="0"/>
        <v>561499850</v>
      </c>
      <c r="F39" s="411">
        <f>'- 56 -'!C39</f>
        <v>8533445</v>
      </c>
      <c r="G39" s="412">
        <f t="shared" si="5"/>
        <v>15.197590880923656</v>
      </c>
      <c r="I39" s="267" t="str">
        <f t="shared" si="1"/>
        <v xml:space="preserve"> ST. JAMES-ASSINIBOIA</v>
      </c>
      <c r="J39" s="4">
        <f t="shared" si="2"/>
        <v>14.077534892091405</v>
      </c>
      <c r="M39" s="659"/>
    </row>
    <row r="40" spans="1:13" ht="14.1" customHeight="1">
      <c r="A40" s="270" t="s">
        <v>266</v>
      </c>
      <c r="B40" s="171">
        <v>2062055790</v>
      </c>
      <c r="C40" s="171">
        <v>10491940</v>
      </c>
      <c r="D40" s="171">
        <v>1091563980</v>
      </c>
      <c r="E40" s="171">
        <f t="shared" si="0"/>
        <v>3164111710</v>
      </c>
      <c r="F40" s="171">
        <f>'- 56 -'!C40</f>
        <v>44542893</v>
      </c>
      <c r="G40" s="271">
        <f t="shared" si="5"/>
        <v>14.077534892091405</v>
      </c>
      <c r="I40" s="267" t="str">
        <f t="shared" si="1"/>
        <v xml:space="preserve"> SUNRISE</v>
      </c>
      <c r="J40" s="4">
        <f t="shared" si="2"/>
        <v>16.489849022298277</v>
      </c>
      <c r="M40" s="659"/>
    </row>
    <row r="41" spans="1:13" ht="14.1" customHeight="1">
      <c r="A41" s="413" t="s">
        <v>267</v>
      </c>
      <c r="B41" s="411">
        <v>1176773770</v>
      </c>
      <c r="C41" s="411">
        <v>142114960</v>
      </c>
      <c r="D41" s="411">
        <v>283098830</v>
      </c>
      <c r="E41" s="411">
        <f t="shared" si="0"/>
        <v>1601987560</v>
      </c>
      <c r="F41" s="411">
        <f>'- 56 -'!C41</f>
        <v>26416533</v>
      </c>
      <c r="G41" s="412">
        <f t="shared" si="5"/>
        <v>16.489849022298277</v>
      </c>
      <c r="I41" s="267" t="str">
        <f t="shared" si="1"/>
        <v xml:space="preserve"> SWAN VALLEY</v>
      </c>
      <c r="J41" s="4">
        <f t="shared" si="2"/>
        <v>21.210105703935742</v>
      </c>
      <c r="M41" s="659"/>
    </row>
    <row r="42" spans="1:13" ht="14.1" customHeight="1">
      <c r="A42" s="270" t="s">
        <v>268</v>
      </c>
      <c r="B42" s="171">
        <v>142842670</v>
      </c>
      <c r="C42" s="171">
        <v>82797430</v>
      </c>
      <c r="D42" s="171">
        <v>62233760</v>
      </c>
      <c r="E42" s="171">
        <f t="shared" si="0"/>
        <v>287873860</v>
      </c>
      <c r="F42" s="171">
        <f>'- 56 -'!C42</f>
        <v>6105835</v>
      </c>
      <c r="G42" s="271">
        <f t="shared" si="5"/>
        <v>21.210105703935742</v>
      </c>
      <c r="I42" s="267" t="str">
        <f t="shared" si="1"/>
        <v xml:space="preserve"> TURTLE MOUNTAIN</v>
      </c>
      <c r="J42" s="4">
        <f t="shared" si="2"/>
        <v>17.561963451040366</v>
      </c>
      <c r="M42" s="659"/>
    </row>
    <row r="43" spans="1:13" ht="14.1" customHeight="1">
      <c r="A43" s="413" t="s">
        <v>269</v>
      </c>
      <c r="B43" s="411">
        <v>133288940</v>
      </c>
      <c r="C43" s="411">
        <v>110782380</v>
      </c>
      <c r="D43" s="411">
        <v>47888290</v>
      </c>
      <c r="E43" s="411">
        <f t="shared" si="0"/>
        <v>291959610</v>
      </c>
      <c r="F43" s="411">
        <f>'- 56 -'!C43</f>
        <v>5127384</v>
      </c>
      <c r="G43" s="412">
        <f t="shared" si="5"/>
        <v>17.561963451040366</v>
      </c>
      <c r="I43" s="267" t="str">
        <f t="shared" si="1"/>
        <v xml:space="preserve"> TURTLE RIVER</v>
      </c>
      <c r="J43" s="4">
        <f t="shared" si="2"/>
        <v>19.725150319648225</v>
      </c>
      <c r="M43" s="659"/>
    </row>
    <row r="44" spans="1:13" ht="14.1" customHeight="1">
      <c r="A44" s="270" t="s">
        <v>270</v>
      </c>
      <c r="B44" s="171">
        <v>66202150</v>
      </c>
      <c r="C44" s="171">
        <v>59975830</v>
      </c>
      <c r="D44" s="171">
        <v>12967170</v>
      </c>
      <c r="E44" s="171">
        <f t="shared" si="0"/>
        <v>139145150</v>
      </c>
      <c r="F44" s="171">
        <f>'- 56 -'!C44</f>
        <v>2744659</v>
      </c>
      <c r="G44" s="271">
        <f t="shared" si="5"/>
        <v>19.725150319648225</v>
      </c>
      <c r="I44" s="267" t="str">
        <f t="shared" si="1"/>
        <v xml:space="preserve"> WESTERN</v>
      </c>
      <c r="J44" s="4">
        <f t="shared" si="2"/>
        <v>17.9818897121751</v>
      </c>
      <c r="M44" s="659"/>
    </row>
    <row r="45" spans="1:13" ht="14.1" customHeight="1">
      <c r="A45" s="413" t="s">
        <v>271</v>
      </c>
      <c r="B45" s="411">
        <v>229275040</v>
      </c>
      <c r="C45" s="411">
        <v>41770520</v>
      </c>
      <c r="D45" s="411">
        <v>74099700</v>
      </c>
      <c r="E45" s="411">
        <f t="shared" si="0"/>
        <v>345145260</v>
      </c>
      <c r="F45" s="411">
        <f>'- 56 -'!C45</f>
        <v>6206364</v>
      </c>
      <c r="G45" s="412">
        <f t="shared" si="5"/>
        <v>17.9818897121751</v>
      </c>
      <c r="I45" s="267" t="str">
        <f>A46</f>
        <v xml:space="preserve"> WINNIPEG</v>
      </c>
      <c r="J45" s="4">
        <f>G46</f>
        <v>16.513226807077594</v>
      </c>
      <c r="M45" s="659"/>
    </row>
    <row r="46" spans="1:13" ht="14.1" customHeight="1">
      <c r="A46" s="270" t="s">
        <v>272</v>
      </c>
      <c r="B46" s="171">
        <v>4717118800</v>
      </c>
      <c r="C46" s="171">
        <v>1309050</v>
      </c>
      <c r="D46" s="171">
        <v>3291022910</v>
      </c>
      <c r="E46" s="171">
        <f t="shared" si="0"/>
        <v>8009450760</v>
      </c>
      <c r="F46" s="171">
        <f>'- 56 -'!C46</f>
        <v>132261877</v>
      </c>
      <c r="G46" s="271">
        <f t="shared" si="5"/>
        <v>16.513226807077594</v>
      </c>
      <c r="M46" s="659"/>
    </row>
    <row r="47" spans="1:13" ht="5.0999999999999996" customHeight="1">
      <c r="A47" s="148"/>
      <c r="B47" s="172"/>
      <c r="C47" s="172"/>
      <c r="D47" s="172"/>
      <c r="E47" s="172"/>
      <c r="F47" s="172"/>
      <c r="G47" s="273"/>
      <c r="M47" s="659"/>
    </row>
    <row r="48" spans="1:13" ht="14.1" customHeight="1">
      <c r="A48" s="414" t="s">
        <v>362</v>
      </c>
      <c r="B48" s="415">
        <f>SUM(B11:B46)</f>
        <v>31237424960</v>
      </c>
      <c r="C48" s="415">
        <f>SUM(C11:C46)</f>
        <v>3363529380</v>
      </c>
      <c r="D48" s="415">
        <f>SUM(D11:D46)</f>
        <v>11380956970</v>
      </c>
      <c r="E48" s="415">
        <f>SUM(E11:E46)</f>
        <v>45981911310</v>
      </c>
      <c r="F48" s="415">
        <f>SUM(F11:F46)</f>
        <v>734192180</v>
      </c>
      <c r="G48" s="416">
        <f>F48/E48*1000</f>
        <v>15.966978298275526</v>
      </c>
      <c r="M48" s="659"/>
    </row>
    <row r="49" spans="1:10" ht="5.0999999999999996" customHeight="1">
      <c r="A49" s="148"/>
      <c r="B49" s="172"/>
      <c r="C49" s="172"/>
      <c r="D49" s="172"/>
      <c r="E49" s="172"/>
      <c r="F49" s="172"/>
      <c r="G49" s="172"/>
    </row>
    <row r="50" spans="1:10" ht="14.1" customHeight="1">
      <c r="A50" s="270" t="s">
        <v>363</v>
      </c>
      <c r="B50" s="171">
        <v>50617080</v>
      </c>
      <c r="C50" s="171">
        <v>704860</v>
      </c>
      <c r="D50" s="171">
        <v>2958120</v>
      </c>
      <c r="E50" s="171">
        <f>SUM(B50:D50)</f>
        <v>54280060</v>
      </c>
      <c r="F50" s="172"/>
      <c r="G50" s="172"/>
    </row>
    <row r="51" spans="1:10" ht="14.1" customHeight="1">
      <c r="A51" s="413" t="s">
        <v>364</v>
      </c>
      <c r="B51" s="411">
        <v>14455360</v>
      </c>
      <c r="C51" s="411">
        <v>11535870</v>
      </c>
      <c r="D51" s="411">
        <v>42797880</v>
      </c>
      <c r="E51" s="411">
        <f>SUM(B51:D51)</f>
        <v>68789110</v>
      </c>
      <c r="F51" s="172"/>
      <c r="G51" s="274"/>
    </row>
    <row r="52" spans="1:10" ht="5.0999999999999996" customHeight="1">
      <c r="A52" s="148"/>
      <c r="B52" s="172"/>
      <c r="C52" s="172"/>
      <c r="D52" s="172"/>
      <c r="E52" s="172"/>
      <c r="F52" s="172"/>
      <c r="G52" s="172"/>
    </row>
    <row r="53" spans="1:10" ht="14.1" customHeight="1">
      <c r="A53" s="414" t="s">
        <v>273</v>
      </c>
      <c r="B53" s="415">
        <f>SUM(B48,B50:B51)</f>
        <v>31302497400</v>
      </c>
      <c r="C53" s="415">
        <f>SUM(C48,C50:C51)</f>
        <v>3375770110</v>
      </c>
      <c r="D53" s="415">
        <f>SUM(D48,D50:D51)</f>
        <v>11426712970</v>
      </c>
      <c r="E53" s="415">
        <f>SUM(E48,E50:E51)</f>
        <v>46104980480</v>
      </c>
      <c r="F53" s="172"/>
      <c r="G53" s="274"/>
    </row>
    <row r="54" spans="1:10" ht="50.1" customHeight="1">
      <c r="A54" s="30"/>
      <c r="B54" s="30"/>
      <c r="C54" s="30"/>
      <c r="D54" s="30"/>
      <c r="E54" s="30"/>
      <c r="F54" s="30"/>
      <c r="G54" s="30"/>
    </row>
    <row r="55" spans="1:10" ht="15" customHeight="1">
      <c r="A55" s="151" t="s">
        <v>744</v>
      </c>
      <c r="B55" s="45"/>
      <c r="C55" s="45"/>
      <c r="D55" s="45"/>
      <c r="E55" s="45"/>
      <c r="F55" s="45"/>
      <c r="G55" s="45"/>
      <c r="H55" s="45"/>
      <c r="I55" s="45"/>
      <c r="J55" s="45"/>
    </row>
    <row r="56" spans="1:10" ht="12" customHeight="1">
      <c r="A56" s="151" t="s">
        <v>745</v>
      </c>
      <c r="B56" s="45"/>
      <c r="C56" s="45"/>
      <c r="D56" s="45"/>
      <c r="E56" s="45"/>
      <c r="F56" s="45"/>
      <c r="G56" s="45"/>
      <c r="H56" s="45"/>
      <c r="I56" s="45"/>
      <c r="J56" s="45"/>
    </row>
    <row r="57" spans="1:10" ht="12" customHeight="1">
      <c r="A57" s="1" t="s">
        <v>645</v>
      </c>
      <c r="B57" s="45"/>
      <c r="C57" s="45"/>
      <c r="D57" s="45"/>
      <c r="E57" s="45"/>
      <c r="F57" s="45"/>
      <c r="G57" s="45"/>
      <c r="H57" s="45"/>
      <c r="I57" s="45"/>
      <c r="J57" s="45"/>
    </row>
  </sheetData>
  <phoneticPr fontId="0" type="noConversion"/>
  <pageMargins left="0.5" right="0.5" top="0.6" bottom="0.2" header="0.3" footer="0.5"/>
  <pageSetup scale="95" orientation="portrait" r:id="rId1"/>
  <headerFooter alignWithMargins="0">
    <oddHeader>&amp;C&amp;"Arial,Regular"&amp;11&amp;A</oddHeader>
  </headerFooter>
  <legacyDrawing r:id="rId2"/>
</worksheet>
</file>

<file path=xl/worksheets/sheet49.xml><?xml version="1.0" encoding="utf-8"?>
<worksheet xmlns="http://schemas.openxmlformats.org/spreadsheetml/2006/main" xmlns:r="http://schemas.openxmlformats.org/officeDocument/2006/relationships">
  <sheetPr codeName="Sheet56">
    <pageSetUpPr fitToPage="1"/>
  </sheetPr>
  <dimension ref="A1:F64"/>
  <sheetViews>
    <sheetView showGridLines="0" showZeros="0" workbookViewId="0">
      <selection activeCell="F27" sqref="F27"/>
    </sheetView>
  </sheetViews>
  <sheetFormatPr defaultColWidth="13.6640625" defaultRowHeight="12"/>
  <cols>
    <col min="1" max="1" width="37.5" style="1" customWidth="1"/>
    <col min="2" max="2" width="22" style="1" customWidth="1"/>
    <col min="3" max="4" width="22.5" style="1" customWidth="1"/>
    <col min="5" max="5" width="14.33203125" style="1" customWidth="1"/>
    <col min="6" max="6" width="19.6640625" style="1" customWidth="1"/>
    <col min="7" max="16384" width="13.6640625" style="1"/>
  </cols>
  <sheetData>
    <row r="1" spans="1:6" ht="6.95" customHeight="1">
      <c r="A1" s="658"/>
      <c r="B1" s="30"/>
      <c r="C1" s="30"/>
      <c r="D1" s="30"/>
      <c r="E1" s="30"/>
      <c r="F1" s="30"/>
    </row>
    <row r="2" spans="1:6" ht="15.95" customHeight="1">
      <c r="A2" s="701" t="s">
        <v>589</v>
      </c>
      <c r="B2" s="701"/>
      <c r="C2" s="701"/>
      <c r="D2" s="701"/>
      <c r="E2" s="701"/>
      <c r="F2" s="701"/>
    </row>
    <row r="3" spans="1:6" ht="21" customHeight="1">
      <c r="A3" s="266" t="str">
        <f>+'- 54 -'!A3</f>
        <v xml:space="preserve">FOR THE 2011 TAXATION YEAR </v>
      </c>
      <c r="B3" s="257"/>
      <c r="C3" s="257"/>
      <c r="D3" s="257"/>
      <c r="E3" s="268"/>
      <c r="F3" s="268"/>
    </row>
    <row r="4" spans="1:6" ht="14.25" customHeight="1">
      <c r="B4" s="7"/>
      <c r="C4" s="7"/>
      <c r="D4" s="7"/>
    </row>
    <row r="5" spans="1:6" ht="15.95" customHeight="1">
      <c r="B5" s="7"/>
      <c r="C5" s="7"/>
      <c r="D5" s="7"/>
    </row>
    <row r="6" spans="1:6" ht="15.95" customHeight="1">
      <c r="B6" s="619"/>
      <c r="C6" s="619"/>
      <c r="D6" s="619"/>
    </row>
    <row r="7" spans="1:6" ht="15.95" customHeight="1">
      <c r="B7" s="621"/>
      <c r="C7" s="622"/>
      <c r="D7" s="623"/>
    </row>
    <row r="8" spans="1:6" ht="15.95" customHeight="1">
      <c r="A8" s="20"/>
      <c r="B8" s="624" t="s">
        <v>590</v>
      </c>
      <c r="C8" s="625" t="s">
        <v>591</v>
      </c>
      <c r="D8" s="625" t="s">
        <v>592</v>
      </c>
    </row>
    <row r="9" spans="1:6" ht="15.95" customHeight="1">
      <c r="A9" s="22" t="s">
        <v>95</v>
      </c>
      <c r="B9" s="626" t="s">
        <v>149</v>
      </c>
      <c r="C9" s="627" t="s">
        <v>593</v>
      </c>
      <c r="D9" s="627" t="s">
        <v>149</v>
      </c>
    </row>
    <row r="10" spans="1:6" ht="5.0999999999999996" customHeight="1">
      <c r="A10" s="25"/>
      <c r="B10" s="236"/>
      <c r="C10" s="236"/>
      <c r="D10" s="236"/>
    </row>
    <row r="11" spans="1:6" ht="14.1" customHeight="1">
      <c r="A11" s="413" t="s">
        <v>238</v>
      </c>
      <c r="B11" s="411">
        <f>+Data!Q11</f>
        <v>7078849</v>
      </c>
      <c r="C11" s="411">
        <v>504331</v>
      </c>
      <c r="D11" s="411">
        <f>+Data!R11</f>
        <v>6574518</v>
      </c>
    </row>
    <row r="12" spans="1:6" ht="14.1" customHeight="1">
      <c r="A12" s="270" t="s">
        <v>239</v>
      </c>
      <c r="B12" s="171">
        <f>+Data!Q12</f>
        <v>12759333</v>
      </c>
      <c r="C12" s="171">
        <v>2736955</v>
      </c>
      <c r="D12" s="171">
        <f>+Data!R12</f>
        <v>10022378</v>
      </c>
    </row>
    <row r="13" spans="1:6" ht="14.1" customHeight="1">
      <c r="A13" s="413" t="s">
        <v>240</v>
      </c>
      <c r="B13" s="411">
        <f>+Data!Q13</f>
        <v>33916507</v>
      </c>
      <c r="C13" s="411">
        <v>1848013</v>
      </c>
      <c r="D13" s="411">
        <f>+Data!R13</f>
        <v>32068494</v>
      </c>
    </row>
    <row r="14" spans="1:6" ht="14.1" customHeight="1">
      <c r="A14" s="270" t="s">
        <v>653</v>
      </c>
      <c r="B14" s="171">
        <f>+Data!Q14</f>
        <v>0</v>
      </c>
      <c r="C14" s="171">
        <v>0</v>
      </c>
      <c r="D14" s="171">
        <f>+Data!R14</f>
        <v>0</v>
      </c>
    </row>
    <row r="15" spans="1:6" ht="14.1" customHeight="1">
      <c r="A15" s="413" t="s">
        <v>241</v>
      </c>
      <c r="B15" s="411">
        <f>+Data!Q15</f>
        <v>9416384</v>
      </c>
      <c r="C15" s="411">
        <v>1595317</v>
      </c>
      <c r="D15" s="411">
        <f>+Data!R15</f>
        <v>7821067</v>
      </c>
    </row>
    <row r="16" spans="1:6" ht="14.1" customHeight="1">
      <c r="A16" s="270" t="s">
        <v>242</v>
      </c>
      <c r="B16" s="171">
        <f>+Data!Q16</f>
        <v>4323850</v>
      </c>
      <c r="C16" s="171">
        <v>752713</v>
      </c>
      <c r="D16" s="171">
        <f>+Data!R16</f>
        <v>3571137</v>
      </c>
    </row>
    <row r="17" spans="1:4" ht="14.1" customHeight="1">
      <c r="A17" s="413" t="s">
        <v>243</v>
      </c>
      <c r="B17" s="411">
        <f>+Data!Q17</f>
        <v>7523708</v>
      </c>
      <c r="C17" s="411">
        <v>487785</v>
      </c>
      <c r="D17" s="411">
        <f>+Data!R17</f>
        <v>7035923</v>
      </c>
    </row>
    <row r="18" spans="1:4" ht="14.1" customHeight="1">
      <c r="A18" s="270" t="s">
        <v>244</v>
      </c>
      <c r="B18" s="171">
        <f>+Data!Q18</f>
        <v>3319831</v>
      </c>
      <c r="C18" s="171">
        <v>318474</v>
      </c>
      <c r="D18" s="171">
        <f>+Data!R18</f>
        <v>3001357</v>
      </c>
    </row>
    <row r="19" spans="1:4" ht="14.1" customHeight="1">
      <c r="A19" s="413" t="s">
        <v>245</v>
      </c>
      <c r="B19" s="411">
        <f>+Data!Q19</f>
        <v>15335684</v>
      </c>
      <c r="C19" s="411">
        <v>646173</v>
      </c>
      <c r="D19" s="411">
        <f>+Data!R19</f>
        <v>14689511</v>
      </c>
    </row>
    <row r="20" spans="1:4" ht="14.1" customHeight="1">
      <c r="A20" s="270" t="s">
        <v>246</v>
      </c>
      <c r="B20" s="171">
        <f>+Data!Q20</f>
        <v>24241815</v>
      </c>
      <c r="C20" s="171">
        <v>1508126</v>
      </c>
      <c r="D20" s="171">
        <f>+Data!R20</f>
        <v>22733689</v>
      </c>
    </row>
    <row r="21" spans="1:4" ht="14.1" customHeight="1">
      <c r="A21" s="413" t="s">
        <v>247</v>
      </c>
      <c r="B21" s="411">
        <f>+Data!Q21</f>
        <v>13779760</v>
      </c>
      <c r="C21" s="411">
        <v>1289551</v>
      </c>
      <c r="D21" s="411">
        <f>+Data!R21</f>
        <v>12490209</v>
      </c>
    </row>
    <row r="22" spans="1:4" ht="14.1" customHeight="1">
      <c r="A22" s="270" t="s">
        <v>248</v>
      </c>
      <c r="B22" s="171">
        <f>+Data!Q22</f>
        <v>4238162</v>
      </c>
      <c r="C22" s="171">
        <v>309407</v>
      </c>
      <c r="D22" s="171">
        <f>+Data!R22</f>
        <v>3928755</v>
      </c>
    </row>
    <row r="23" spans="1:4" ht="14.1" customHeight="1">
      <c r="A23" s="413" t="s">
        <v>249</v>
      </c>
      <c r="B23" s="411">
        <f>+Data!Q23</f>
        <v>4476014</v>
      </c>
      <c r="C23" s="411">
        <v>440073</v>
      </c>
      <c r="D23" s="411">
        <f>+Data!R23</f>
        <v>4035941</v>
      </c>
    </row>
    <row r="24" spans="1:4" ht="14.1" customHeight="1">
      <c r="A24" s="270" t="s">
        <v>250</v>
      </c>
      <c r="B24" s="171">
        <f>+Data!Q24</f>
        <v>22841287</v>
      </c>
      <c r="C24" s="171">
        <v>2692903</v>
      </c>
      <c r="D24" s="171">
        <f>+Data!R24</f>
        <v>20148384</v>
      </c>
    </row>
    <row r="25" spans="1:4" ht="14.1" customHeight="1">
      <c r="A25" s="413" t="s">
        <v>251</v>
      </c>
      <c r="B25" s="411">
        <f>+Data!Q25</f>
        <v>78046189</v>
      </c>
      <c r="C25" s="411">
        <v>6541003</v>
      </c>
      <c r="D25" s="411">
        <f>+Data!R25</f>
        <v>71505186</v>
      </c>
    </row>
    <row r="26" spans="1:4" ht="14.1" customHeight="1">
      <c r="A26" s="270" t="s">
        <v>252</v>
      </c>
      <c r="B26" s="171">
        <f>+Data!Q26</f>
        <v>13210904</v>
      </c>
      <c r="C26" s="171">
        <v>690360</v>
      </c>
      <c r="D26" s="171">
        <f>+Data!R26</f>
        <v>12520544</v>
      </c>
    </row>
    <row r="27" spans="1:4" ht="14.1" customHeight="1">
      <c r="A27" s="413" t="s">
        <v>253</v>
      </c>
      <c r="B27" s="411">
        <f>+Data!Q27</f>
        <v>8579649</v>
      </c>
      <c r="C27" s="411">
        <v>1086050</v>
      </c>
      <c r="D27" s="411">
        <f>+Data!R27</f>
        <v>7493599</v>
      </c>
    </row>
    <row r="28" spans="1:4" ht="14.1" customHeight="1">
      <c r="A28" s="270" t="s">
        <v>254</v>
      </c>
      <c r="B28" s="171">
        <f>+Data!Q28</f>
        <v>8239292</v>
      </c>
      <c r="C28" s="171">
        <v>817353</v>
      </c>
      <c r="D28" s="171">
        <f>+Data!R28</f>
        <v>7421939</v>
      </c>
    </row>
    <row r="29" spans="1:4" ht="14.1" customHeight="1">
      <c r="A29" s="413" t="s">
        <v>255</v>
      </c>
      <c r="B29" s="411">
        <f>+Data!Q29</f>
        <v>75856886</v>
      </c>
      <c r="C29" s="411">
        <v>4859689</v>
      </c>
      <c r="D29" s="411">
        <f>+Data!R29</f>
        <v>70997197</v>
      </c>
    </row>
    <row r="30" spans="1:4" ht="14.1" customHeight="1">
      <c r="A30" s="270" t="s">
        <v>256</v>
      </c>
      <c r="B30" s="171">
        <f>+Data!Q30</f>
        <v>5296422</v>
      </c>
      <c r="C30" s="171">
        <v>332215</v>
      </c>
      <c r="D30" s="171">
        <f>+Data!R30</f>
        <v>4964207</v>
      </c>
    </row>
    <row r="31" spans="1:4" ht="14.1" customHeight="1">
      <c r="A31" s="413" t="s">
        <v>257</v>
      </c>
      <c r="B31" s="411">
        <f>+Data!Q31</f>
        <v>13749566</v>
      </c>
      <c r="C31" s="411">
        <v>523036</v>
      </c>
      <c r="D31" s="411">
        <f>+Data!R31</f>
        <v>13226530</v>
      </c>
    </row>
    <row r="32" spans="1:4" ht="14.1" customHeight="1">
      <c r="A32" s="270" t="s">
        <v>258</v>
      </c>
      <c r="B32" s="171">
        <f>+Data!Q32</f>
        <v>11434252</v>
      </c>
      <c r="C32" s="171">
        <v>1153109</v>
      </c>
      <c r="D32" s="171">
        <f>+Data!R32</f>
        <v>10281143</v>
      </c>
    </row>
    <row r="33" spans="1:4" ht="14.1" customHeight="1">
      <c r="A33" s="413" t="s">
        <v>259</v>
      </c>
      <c r="B33" s="411">
        <f>+Data!Q33</f>
        <v>12071194</v>
      </c>
      <c r="C33" s="411">
        <v>893985</v>
      </c>
      <c r="D33" s="411">
        <f>+Data!R33</f>
        <v>11177209</v>
      </c>
    </row>
    <row r="34" spans="1:4" ht="14.1" customHeight="1">
      <c r="A34" s="270" t="s">
        <v>260</v>
      </c>
      <c r="B34" s="171">
        <f>+Data!Q34</f>
        <v>13421696</v>
      </c>
      <c r="C34" s="171">
        <v>869876</v>
      </c>
      <c r="D34" s="171">
        <f>+Data!R34</f>
        <v>12551820</v>
      </c>
    </row>
    <row r="35" spans="1:4" ht="14.1" customHeight="1">
      <c r="A35" s="413" t="s">
        <v>261</v>
      </c>
      <c r="B35" s="411">
        <f>+Data!Q35</f>
        <v>70133432</v>
      </c>
      <c r="C35" s="411">
        <v>1490523</v>
      </c>
      <c r="D35" s="411">
        <f>+Data!R35</f>
        <v>68642909</v>
      </c>
    </row>
    <row r="36" spans="1:4" ht="14.1" customHeight="1">
      <c r="A36" s="270" t="s">
        <v>262</v>
      </c>
      <c r="B36" s="171">
        <f>+Data!Q36</f>
        <v>9503580</v>
      </c>
      <c r="C36" s="171">
        <v>763891</v>
      </c>
      <c r="D36" s="171">
        <f>+Data!R36</f>
        <v>8739689</v>
      </c>
    </row>
    <row r="37" spans="1:4" ht="14.1" customHeight="1">
      <c r="A37" s="413" t="s">
        <v>263</v>
      </c>
      <c r="B37" s="411">
        <f>+Data!Q37</f>
        <v>18978314</v>
      </c>
      <c r="C37" s="411">
        <v>2579094</v>
      </c>
      <c r="D37" s="411">
        <f>+Data!R37</f>
        <v>16399220</v>
      </c>
    </row>
    <row r="38" spans="1:4" ht="14.1" customHeight="1">
      <c r="A38" s="270" t="s">
        <v>264</v>
      </c>
      <c r="B38" s="171">
        <f>+Data!Q38</f>
        <v>43574469</v>
      </c>
      <c r="C38" s="171">
        <v>5363834</v>
      </c>
      <c r="D38" s="171">
        <f>+Data!R38</f>
        <v>38210635</v>
      </c>
    </row>
    <row r="39" spans="1:4" ht="14.1" customHeight="1">
      <c r="A39" s="413" t="s">
        <v>265</v>
      </c>
      <c r="B39" s="411">
        <f>+Data!Q39</f>
        <v>9291903</v>
      </c>
      <c r="C39" s="411">
        <v>758458</v>
      </c>
      <c r="D39" s="411">
        <f>+Data!R39</f>
        <v>8533445</v>
      </c>
    </row>
    <row r="40" spans="1:4" ht="14.1" customHeight="1">
      <c r="A40" s="270" t="s">
        <v>266</v>
      </c>
      <c r="B40" s="171">
        <f>+Data!Q40</f>
        <v>48023416</v>
      </c>
      <c r="C40" s="171">
        <v>3480523</v>
      </c>
      <c r="D40" s="171">
        <f>+Data!R40</f>
        <v>44542893</v>
      </c>
    </row>
    <row r="41" spans="1:4" ht="14.1" customHeight="1">
      <c r="A41" s="413" t="s">
        <v>267</v>
      </c>
      <c r="B41" s="411">
        <f>+Data!Q41</f>
        <v>29396230</v>
      </c>
      <c r="C41" s="411">
        <v>2979697</v>
      </c>
      <c r="D41" s="411">
        <f>+Data!R41</f>
        <v>26416533</v>
      </c>
    </row>
    <row r="42" spans="1:4" ht="14.1" customHeight="1">
      <c r="A42" s="270" t="s">
        <v>268</v>
      </c>
      <c r="B42" s="171">
        <f>+Data!Q42</f>
        <v>7162332</v>
      </c>
      <c r="C42" s="171">
        <v>1056497</v>
      </c>
      <c r="D42" s="171">
        <f>+Data!R42</f>
        <v>6105835</v>
      </c>
    </row>
    <row r="43" spans="1:4" ht="14.1" customHeight="1">
      <c r="A43" s="413" t="s">
        <v>269</v>
      </c>
      <c r="B43" s="411">
        <f>+Data!Q43</f>
        <v>5127384</v>
      </c>
      <c r="C43" s="411">
        <v>0</v>
      </c>
      <c r="D43" s="411">
        <f>+Data!R43</f>
        <v>5127384</v>
      </c>
    </row>
    <row r="44" spans="1:4" ht="14.1" customHeight="1">
      <c r="A44" s="270" t="s">
        <v>270</v>
      </c>
      <c r="B44" s="171">
        <f>+Data!Q44</f>
        <v>3213578</v>
      </c>
      <c r="C44" s="171">
        <v>468919</v>
      </c>
      <c r="D44" s="171">
        <f>+Data!R44</f>
        <v>2744659</v>
      </c>
    </row>
    <row r="45" spans="1:4" ht="14.1" customHeight="1">
      <c r="A45" s="413" t="s">
        <v>271</v>
      </c>
      <c r="B45" s="411">
        <f>+Data!Q45</f>
        <v>6206364</v>
      </c>
      <c r="C45" s="411">
        <v>0</v>
      </c>
      <c r="D45" s="411">
        <f>+Data!R45</f>
        <v>6206364</v>
      </c>
    </row>
    <row r="46" spans="1:4" ht="14.1" customHeight="1">
      <c r="A46" s="270" t="s">
        <v>272</v>
      </c>
      <c r="B46" s="171">
        <f>+Data!Q46</f>
        <v>141842273</v>
      </c>
      <c r="C46" s="171">
        <v>9580396</v>
      </c>
      <c r="D46" s="171">
        <f>+Data!R46</f>
        <v>132261877</v>
      </c>
    </row>
    <row r="47" spans="1:4" ht="5.0999999999999996" customHeight="1">
      <c r="A47" s="148"/>
      <c r="B47" s="172"/>
      <c r="C47" s="172"/>
      <c r="D47" s="172"/>
    </row>
    <row r="48" spans="1:4" ht="14.1" customHeight="1">
      <c r="A48" s="414" t="s">
        <v>273</v>
      </c>
      <c r="B48" s="415">
        <f>SUM(B11:B47)</f>
        <v>795610509</v>
      </c>
      <c r="C48" s="415">
        <f>SUM(C11:C47)</f>
        <v>61418329</v>
      </c>
      <c r="D48" s="415">
        <f>SUM(D11:D47)</f>
        <v>734192180</v>
      </c>
    </row>
    <row r="49" spans="1:6" s="206" customFormat="1" ht="53.25" customHeight="1">
      <c r="A49" s="620"/>
      <c r="B49" s="620"/>
      <c r="C49" s="620"/>
      <c r="D49" s="620"/>
      <c r="E49" s="30"/>
      <c r="F49" s="30"/>
    </row>
    <row r="50" spans="1:6" s="206" customFormat="1" ht="15" customHeight="1">
      <c r="A50" s="1" t="s">
        <v>749</v>
      </c>
      <c r="B50" s="1"/>
      <c r="C50" s="1"/>
      <c r="D50" s="1"/>
      <c r="E50" s="1"/>
      <c r="F50" s="1"/>
    </row>
    <row r="51" spans="1:6" ht="12" customHeight="1">
      <c r="A51" s="151" t="s">
        <v>763</v>
      </c>
    </row>
    <row r="52" spans="1:6" ht="12" customHeight="1">
      <c r="A52" s="519" t="s">
        <v>764</v>
      </c>
    </row>
    <row r="53" spans="1:6" ht="14.45" customHeight="1"/>
    <row r="54" spans="1:6" ht="14.45" customHeight="1"/>
    <row r="55" spans="1:6" ht="14.45" customHeight="1"/>
    <row r="56" spans="1:6" ht="14.45" customHeight="1"/>
    <row r="57" spans="1:6" ht="14.45" customHeight="1"/>
    <row r="58" spans="1:6" ht="14.45" customHeight="1"/>
    <row r="64" spans="1:6">
      <c r="D64" s="1" t="s">
        <v>733</v>
      </c>
    </row>
  </sheetData>
  <mergeCells count="1">
    <mergeCell ref="A2:F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5.xml><?xml version="1.0" encoding="utf-8"?>
<worksheet xmlns="http://schemas.openxmlformats.org/spreadsheetml/2006/main" xmlns:r="http://schemas.openxmlformats.org/officeDocument/2006/relationships">
  <sheetPr codeName="Sheet4"/>
  <dimension ref="A1:G55"/>
  <sheetViews>
    <sheetView showGridLines="0" showZeros="0" workbookViewId="0"/>
  </sheetViews>
  <sheetFormatPr defaultColWidth="15.83203125" defaultRowHeight="12"/>
  <cols>
    <col min="1" max="1" width="34.83203125" style="1" customWidth="1"/>
    <col min="2" max="3" width="18.83203125" style="1" customWidth="1"/>
    <col min="4" max="4" width="1.83203125" style="1" customWidth="1"/>
    <col min="5" max="6" width="18.83203125" style="1" customWidth="1"/>
    <col min="7" max="7" width="21.1640625" style="1" customWidth="1"/>
    <col min="8" max="16384" width="15.83203125" style="1"/>
  </cols>
  <sheetData>
    <row r="1" spans="1:7" ht="6.95" customHeight="1">
      <c r="A1" s="6"/>
      <c r="B1" s="6"/>
      <c r="C1" s="6"/>
      <c r="D1" s="7"/>
      <c r="E1" s="7"/>
    </row>
    <row r="2" spans="1:7" ht="15.95" customHeight="1">
      <c r="A2" s="71"/>
      <c r="B2" s="8" t="s">
        <v>21</v>
      </c>
      <c r="C2" s="9"/>
      <c r="D2" s="9"/>
      <c r="E2" s="82"/>
      <c r="F2" s="92"/>
      <c r="G2" s="92" t="s">
        <v>23</v>
      </c>
    </row>
    <row r="3" spans="1:7" ht="15.95" customHeight="1">
      <c r="A3" s="73"/>
      <c r="B3" s="10" t="str">
        <f>STATDATE</f>
        <v>ACTUAL SEPTEMBER 30, 2011</v>
      </c>
      <c r="C3" s="11"/>
      <c r="D3" s="11"/>
      <c r="E3" s="84"/>
      <c r="F3" s="84"/>
      <c r="G3" s="84"/>
    </row>
    <row r="4" spans="1:7" ht="15.95" customHeight="1">
      <c r="D4" s="7"/>
      <c r="E4" s="7"/>
    </row>
    <row r="5" spans="1:7" ht="15.95" customHeight="1"/>
    <row r="6" spans="1:7" ht="15.95" customHeight="1">
      <c r="B6" s="632"/>
      <c r="C6" s="633"/>
      <c r="D6" s="206"/>
      <c r="E6" s="517"/>
    </row>
    <row r="7" spans="1:7" ht="15.95" customHeight="1">
      <c r="B7" s="634" t="s">
        <v>597</v>
      </c>
      <c r="C7" s="635"/>
      <c r="D7" s="206"/>
      <c r="E7" s="518" t="s">
        <v>69</v>
      </c>
    </row>
    <row r="8" spans="1:7" ht="15.95" customHeight="1">
      <c r="A8" s="40"/>
      <c r="B8" s="17" t="s">
        <v>198</v>
      </c>
      <c r="C8" s="156"/>
      <c r="D8" s="17"/>
      <c r="E8" s="85" t="s">
        <v>424</v>
      </c>
    </row>
    <row r="9" spans="1:7" ht="15.95" customHeight="1">
      <c r="A9" s="93" t="s">
        <v>95</v>
      </c>
      <c r="B9" s="88" t="s">
        <v>37</v>
      </c>
      <c r="C9" s="88" t="s">
        <v>69</v>
      </c>
      <c r="D9" s="95"/>
      <c r="E9" s="88" t="s">
        <v>186</v>
      </c>
    </row>
    <row r="10" spans="1:7" ht="5.0999999999999996" customHeight="1">
      <c r="A10" s="5"/>
      <c r="B10" s="96"/>
      <c r="C10" s="5"/>
      <c r="D10" s="97"/>
    </row>
    <row r="11" spans="1:7" ht="14.1" customHeight="1">
      <c r="A11" s="330" t="s">
        <v>238</v>
      </c>
      <c r="B11" s="337">
        <v>0</v>
      </c>
      <c r="C11" s="337">
        <f>SUM('- 6 -'!B11:H11,B11)</f>
        <v>1432.5</v>
      </c>
      <c r="D11" s="98"/>
      <c r="E11" s="337">
        <f>C11</f>
        <v>1432.5</v>
      </c>
    </row>
    <row r="12" spans="1:7" ht="14.1" customHeight="1">
      <c r="A12" s="26" t="s">
        <v>239</v>
      </c>
      <c r="B12" s="79">
        <v>155.43</v>
      </c>
      <c r="C12" s="79">
        <f>SUM('- 6 -'!B12:H12,B12)</f>
        <v>2339.3199999999997</v>
      </c>
      <c r="D12" s="98"/>
      <c r="E12" s="79">
        <f t="shared" ref="E12:E46" si="0">C12</f>
        <v>2339.3199999999997</v>
      </c>
    </row>
    <row r="13" spans="1:7" ht="14.1" customHeight="1">
      <c r="A13" s="330" t="s">
        <v>240</v>
      </c>
      <c r="B13" s="337">
        <v>406</v>
      </c>
      <c r="C13" s="337">
        <f>SUM('- 6 -'!B13:H13,B13)</f>
        <v>7609</v>
      </c>
      <c r="D13" s="98"/>
      <c r="E13" s="337">
        <f t="shared" si="0"/>
        <v>7609</v>
      </c>
    </row>
    <row r="14" spans="1:7" ht="14.1" customHeight="1">
      <c r="A14" s="26" t="s">
        <v>653</v>
      </c>
      <c r="B14" s="79">
        <v>0</v>
      </c>
      <c r="C14" s="79">
        <f>SUM('- 6 -'!B14:H14,B14)</f>
        <v>4952</v>
      </c>
      <c r="D14" s="98"/>
      <c r="E14" s="79">
        <f t="shared" si="0"/>
        <v>4952</v>
      </c>
    </row>
    <row r="15" spans="1:7" ht="14.1" customHeight="1">
      <c r="A15" s="330" t="s">
        <v>241</v>
      </c>
      <c r="B15" s="337">
        <v>20</v>
      </c>
      <c r="C15" s="337">
        <f>SUM('- 6 -'!B15:H15,B15)</f>
        <v>1533</v>
      </c>
      <c r="D15" s="98"/>
      <c r="E15" s="337">
        <f t="shared" si="0"/>
        <v>1533</v>
      </c>
    </row>
    <row r="16" spans="1:7" ht="14.1" customHeight="1">
      <c r="A16" s="26" t="s">
        <v>242</v>
      </c>
      <c r="B16" s="79">
        <v>11</v>
      </c>
      <c r="C16" s="79">
        <f>SUM('- 6 -'!B16:H16,B16)</f>
        <v>989.5</v>
      </c>
      <c r="D16" s="98"/>
      <c r="E16" s="79">
        <f t="shared" si="0"/>
        <v>989.5</v>
      </c>
    </row>
    <row r="17" spans="1:5" ht="14.1" customHeight="1">
      <c r="A17" s="330" t="s">
        <v>243</v>
      </c>
      <c r="B17" s="337">
        <v>34.9</v>
      </c>
      <c r="C17" s="337">
        <f>SUM('- 6 -'!B17:H17,B17)</f>
        <v>1322.5</v>
      </c>
      <c r="D17" s="98"/>
      <c r="E17" s="337">
        <f t="shared" si="0"/>
        <v>1322.5</v>
      </c>
    </row>
    <row r="18" spans="1:5" ht="14.1" customHeight="1">
      <c r="A18" s="26" t="s">
        <v>244</v>
      </c>
      <c r="B18" s="79">
        <v>0</v>
      </c>
      <c r="C18" s="79">
        <f>SUM('- 6 -'!B18:H18,B18)</f>
        <v>5780.1</v>
      </c>
      <c r="D18" s="98"/>
      <c r="E18" s="79">
        <f t="shared" si="0"/>
        <v>5780.1</v>
      </c>
    </row>
    <row r="19" spans="1:5" ht="14.1" customHeight="1">
      <c r="A19" s="330" t="s">
        <v>245</v>
      </c>
      <c r="B19" s="337">
        <v>108.2</v>
      </c>
      <c r="C19" s="337">
        <f>SUM('- 6 -'!B19:H19,B19)</f>
        <v>4140.3999999999996</v>
      </c>
      <c r="D19" s="98"/>
      <c r="E19" s="337">
        <f t="shared" si="0"/>
        <v>4140.3999999999996</v>
      </c>
    </row>
    <row r="20" spans="1:5" ht="14.1" customHeight="1">
      <c r="A20" s="26" t="s">
        <v>246</v>
      </c>
      <c r="B20" s="79">
        <v>401</v>
      </c>
      <c r="C20" s="79">
        <f>SUM('- 6 -'!B20:H20,B20)</f>
        <v>7297</v>
      </c>
      <c r="D20" s="98"/>
      <c r="E20" s="79">
        <f t="shared" si="0"/>
        <v>7297</v>
      </c>
    </row>
    <row r="21" spans="1:5" ht="14.1" customHeight="1">
      <c r="A21" s="330" t="s">
        <v>247</v>
      </c>
      <c r="B21" s="337">
        <v>0</v>
      </c>
      <c r="C21" s="337">
        <f>SUM('- 6 -'!B21:H21,B21)</f>
        <v>2843</v>
      </c>
      <c r="D21" s="98"/>
      <c r="E21" s="337">
        <f t="shared" si="0"/>
        <v>2843</v>
      </c>
    </row>
    <row r="22" spans="1:5" ht="14.1" customHeight="1">
      <c r="A22" s="26" t="s">
        <v>248</v>
      </c>
      <c r="B22" s="79">
        <v>0</v>
      </c>
      <c r="C22" s="79">
        <f>SUM('- 6 -'!B22:H22,B22)</f>
        <v>1565.2</v>
      </c>
      <c r="D22" s="98"/>
      <c r="E22" s="79">
        <f t="shared" si="0"/>
        <v>1565.2</v>
      </c>
    </row>
    <row r="23" spans="1:5" ht="14.1" customHeight="1">
      <c r="A23" s="330" t="s">
        <v>249</v>
      </c>
      <c r="B23" s="337">
        <v>22</v>
      </c>
      <c r="C23" s="337">
        <f>SUM('- 6 -'!B23:H23,B23)</f>
        <v>1193.5</v>
      </c>
      <c r="D23" s="98"/>
      <c r="E23" s="337">
        <f t="shared" si="0"/>
        <v>1193.5</v>
      </c>
    </row>
    <row r="24" spans="1:5" ht="14.1" customHeight="1">
      <c r="A24" s="26" t="s">
        <v>250</v>
      </c>
      <c r="B24" s="79">
        <v>358</v>
      </c>
      <c r="C24" s="79">
        <f>SUM('- 6 -'!B24:H24,B24)</f>
        <v>4331.5</v>
      </c>
      <c r="D24" s="98"/>
      <c r="E24" s="79">
        <f t="shared" si="0"/>
        <v>4331.5</v>
      </c>
    </row>
    <row r="25" spans="1:5" ht="14.1" customHeight="1">
      <c r="A25" s="330" t="s">
        <v>251</v>
      </c>
      <c r="B25" s="337">
        <v>118</v>
      </c>
      <c r="C25" s="337">
        <f>SUM('- 6 -'!B25:H25,B25)</f>
        <v>13780</v>
      </c>
      <c r="D25" s="98"/>
      <c r="E25" s="337">
        <f t="shared" si="0"/>
        <v>13780</v>
      </c>
    </row>
    <row r="26" spans="1:5" ht="14.1" customHeight="1">
      <c r="A26" s="26" t="s">
        <v>252</v>
      </c>
      <c r="B26" s="79">
        <v>182.3</v>
      </c>
      <c r="C26" s="79">
        <f>SUM('- 6 -'!B26:H26,B26)</f>
        <v>3108.5</v>
      </c>
      <c r="D26" s="98"/>
      <c r="E26" s="79">
        <f t="shared" si="0"/>
        <v>3108.5</v>
      </c>
    </row>
    <row r="27" spans="1:5" ht="14.1" customHeight="1">
      <c r="A27" s="330" t="s">
        <v>253</v>
      </c>
      <c r="B27" s="337">
        <v>209</v>
      </c>
      <c r="C27" s="337">
        <f>SUM('- 6 -'!B27:H27,B27)</f>
        <v>2795.3</v>
      </c>
      <c r="D27" s="98"/>
      <c r="E27" s="337">
        <f t="shared" si="0"/>
        <v>2795.3</v>
      </c>
    </row>
    <row r="28" spans="1:5" ht="14.1" customHeight="1">
      <c r="A28" s="26" t="s">
        <v>254</v>
      </c>
      <c r="B28" s="79">
        <v>0</v>
      </c>
      <c r="C28" s="79">
        <f>SUM('- 6 -'!B28:H28,B28)</f>
        <v>2003</v>
      </c>
      <c r="D28" s="98"/>
      <c r="E28" s="79">
        <f t="shared" si="0"/>
        <v>2003</v>
      </c>
    </row>
    <row r="29" spans="1:5" ht="14.1" customHeight="1">
      <c r="A29" s="330" t="s">
        <v>255</v>
      </c>
      <c r="B29" s="337">
        <v>0</v>
      </c>
      <c r="C29" s="337">
        <f>SUM('- 6 -'!B29:H29,B29)</f>
        <v>12184.4</v>
      </c>
      <c r="D29" s="98"/>
      <c r="E29" s="337">
        <f t="shared" si="0"/>
        <v>12184.4</v>
      </c>
    </row>
    <row r="30" spans="1:5" ht="14.1" customHeight="1">
      <c r="A30" s="26" t="s">
        <v>256</v>
      </c>
      <c r="B30" s="79">
        <v>0</v>
      </c>
      <c r="C30" s="79">
        <f>SUM('- 6 -'!B30:H30,B30)</f>
        <v>1098</v>
      </c>
      <c r="D30" s="98"/>
      <c r="E30" s="79">
        <f t="shared" si="0"/>
        <v>1098</v>
      </c>
    </row>
    <row r="31" spans="1:5" ht="14.1" customHeight="1">
      <c r="A31" s="330" t="s">
        <v>257</v>
      </c>
      <c r="B31" s="337">
        <v>108</v>
      </c>
      <c r="C31" s="337">
        <f>SUM('- 6 -'!B31:H31,B31)</f>
        <v>3198.5</v>
      </c>
      <c r="D31" s="98"/>
      <c r="E31" s="337">
        <f t="shared" si="0"/>
        <v>3198.5</v>
      </c>
    </row>
    <row r="32" spans="1:5" ht="14.1" customHeight="1">
      <c r="A32" s="26" t="s">
        <v>258</v>
      </c>
      <c r="B32" s="79">
        <v>47.4</v>
      </c>
      <c r="C32" s="79">
        <f>SUM('- 6 -'!B32:H32,B32)</f>
        <v>2062.5</v>
      </c>
      <c r="D32" s="98"/>
      <c r="E32" s="79">
        <f t="shared" si="0"/>
        <v>2062.5</v>
      </c>
    </row>
    <row r="33" spans="1:7" ht="14.1" customHeight="1">
      <c r="A33" s="330" t="s">
        <v>259</v>
      </c>
      <c r="B33" s="337">
        <v>68.099999999999994</v>
      </c>
      <c r="C33" s="337">
        <f>SUM('- 6 -'!B33:H33,B33)</f>
        <v>2037.5</v>
      </c>
      <c r="D33" s="98"/>
      <c r="E33" s="337">
        <f t="shared" si="0"/>
        <v>2037.5</v>
      </c>
    </row>
    <row r="34" spans="1:7" ht="14.1" customHeight="1">
      <c r="A34" s="26" t="s">
        <v>260</v>
      </c>
      <c r="B34" s="79">
        <v>18.2</v>
      </c>
      <c r="C34" s="79">
        <f>SUM('- 6 -'!B34:H34,B34)</f>
        <v>1993.3</v>
      </c>
      <c r="D34" s="98"/>
      <c r="E34" s="79">
        <f t="shared" si="0"/>
        <v>1993.3</v>
      </c>
    </row>
    <row r="35" spans="1:7" ht="14.1" customHeight="1">
      <c r="A35" s="330" t="s">
        <v>261</v>
      </c>
      <c r="B35" s="337">
        <v>498</v>
      </c>
      <c r="C35" s="337">
        <f>SUM('- 6 -'!B35:H35,B35)</f>
        <v>15765.5</v>
      </c>
      <c r="D35" s="98"/>
      <c r="E35" s="337">
        <f t="shared" si="0"/>
        <v>15765.5</v>
      </c>
    </row>
    <row r="36" spans="1:7" ht="14.1" customHeight="1">
      <c r="A36" s="26" t="s">
        <v>262</v>
      </c>
      <c r="B36" s="79">
        <v>9.4</v>
      </c>
      <c r="C36" s="79">
        <f>SUM('- 6 -'!B36:H36,B36)</f>
        <v>1669</v>
      </c>
      <c r="D36" s="98"/>
      <c r="E36" s="79">
        <f t="shared" si="0"/>
        <v>1669</v>
      </c>
    </row>
    <row r="37" spans="1:7" ht="14.1" customHeight="1">
      <c r="A37" s="330" t="s">
        <v>263</v>
      </c>
      <c r="B37" s="337">
        <v>0</v>
      </c>
      <c r="C37" s="337">
        <f>SUM('- 6 -'!B37:H37,B37)</f>
        <v>3677.5</v>
      </c>
      <c r="D37" s="98"/>
      <c r="E37" s="337">
        <f t="shared" si="0"/>
        <v>3677.5</v>
      </c>
    </row>
    <row r="38" spans="1:7" ht="14.1" customHeight="1">
      <c r="A38" s="26" t="s">
        <v>264</v>
      </c>
      <c r="B38" s="79">
        <v>130.6</v>
      </c>
      <c r="C38" s="79">
        <f>SUM('- 6 -'!B38:H38,B38)</f>
        <v>10157.6</v>
      </c>
      <c r="D38" s="98"/>
      <c r="E38" s="79">
        <f t="shared" si="0"/>
        <v>10157.6</v>
      </c>
    </row>
    <row r="39" spans="1:7" ht="14.1" customHeight="1">
      <c r="A39" s="330" t="s">
        <v>265</v>
      </c>
      <c r="B39" s="337">
        <v>43</v>
      </c>
      <c r="C39" s="337">
        <f>SUM('- 6 -'!B39:H39,B39)</f>
        <v>1589.1</v>
      </c>
      <c r="D39" s="98"/>
      <c r="E39" s="337">
        <f t="shared" si="0"/>
        <v>1589.1</v>
      </c>
    </row>
    <row r="40" spans="1:7" ht="14.1" customHeight="1">
      <c r="A40" s="26" t="s">
        <v>266</v>
      </c>
      <c r="B40" s="79">
        <v>383.1</v>
      </c>
      <c r="C40" s="79">
        <f>SUM('- 6 -'!B40:H40,B40)</f>
        <v>8199</v>
      </c>
      <c r="D40" s="98"/>
      <c r="E40" s="79">
        <f t="shared" si="0"/>
        <v>8199</v>
      </c>
    </row>
    <row r="41" spans="1:7" ht="14.1" customHeight="1">
      <c r="A41" s="330" t="s">
        <v>267</v>
      </c>
      <c r="B41" s="337">
        <v>0</v>
      </c>
      <c r="C41" s="337">
        <f>SUM('- 6 -'!B41:H41,B41)</f>
        <v>4547.5</v>
      </c>
      <c r="D41" s="98"/>
      <c r="E41" s="337">
        <f t="shared" si="0"/>
        <v>4547.5</v>
      </c>
    </row>
    <row r="42" spans="1:7" ht="14.1" customHeight="1">
      <c r="A42" s="26" t="s">
        <v>268</v>
      </c>
      <c r="B42" s="79">
        <v>136.69999999999999</v>
      </c>
      <c r="C42" s="79">
        <f>SUM('- 6 -'!B42:H42,B42)</f>
        <v>1463.8</v>
      </c>
      <c r="D42" s="98"/>
      <c r="E42" s="79">
        <f t="shared" si="0"/>
        <v>1463.8</v>
      </c>
    </row>
    <row r="43" spans="1:7" ht="14.1" customHeight="1">
      <c r="A43" s="330" t="s">
        <v>269</v>
      </c>
      <c r="B43" s="337">
        <v>12.6</v>
      </c>
      <c r="C43" s="337">
        <f>SUM('- 6 -'!B43:H43,B43)</f>
        <v>972.80000000000007</v>
      </c>
      <c r="D43" s="98"/>
      <c r="E43" s="337">
        <f t="shared" si="0"/>
        <v>972.80000000000007</v>
      </c>
    </row>
    <row r="44" spans="1:7" ht="14.1" customHeight="1">
      <c r="A44" s="26" t="s">
        <v>270</v>
      </c>
      <c r="B44" s="79">
        <v>0</v>
      </c>
      <c r="C44" s="79">
        <f>SUM('- 6 -'!B44:H44,B44)</f>
        <v>715.5</v>
      </c>
      <c r="D44" s="98"/>
      <c r="E44" s="79">
        <f t="shared" si="0"/>
        <v>715.5</v>
      </c>
    </row>
    <row r="45" spans="1:7" ht="14.1" customHeight="1">
      <c r="A45" s="330" t="s">
        <v>271</v>
      </c>
      <c r="B45" s="337">
        <v>47</v>
      </c>
      <c r="C45" s="337">
        <f>SUM('- 6 -'!B45:H45,B45)</f>
        <v>1657</v>
      </c>
      <c r="D45" s="98"/>
      <c r="E45" s="337">
        <f t="shared" si="0"/>
        <v>1657</v>
      </c>
    </row>
    <row r="46" spans="1:7" ht="14.1" customHeight="1">
      <c r="A46" s="26" t="s">
        <v>272</v>
      </c>
      <c r="B46" s="79">
        <v>599.79999999999995</v>
      </c>
      <c r="C46" s="79">
        <f>SUM('- 6 -'!B46:H46,B46)</f>
        <v>30246.7</v>
      </c>
      <c r="D46" s="98"/>
      <c r="E46" s="79">
        <f t="shared" si="0"/>
        <v>30246.7</v>
      </c>
    </row>
    <row r="47" spans="1:7" ht="5.0999999999999996" customHeight="1">
      <c r="A47"/>
      <c r="B47"/>
      <c r="C47"/>
      <c r="D47"/>
      <c r="E47"/>
      <c r="F47"/>
      <c r="G47"/>
    </row>
    <row r="48" spans="1:7" ht="14.1" customHeight="1">
      <c r="A48" s="332" t="s">
        <v>273</v>
      </c>
      <c r="B48" s="340">
        <f>SUM(B11:B46)</f>
        <v>4127.7299999999996</v>
      </c>
      <c r="C48" s="340">
        <f>SUM(C11:C46)</f>
        <v>172250.52</v>
      </c>
      <c r="D48" s="99"/>
      <c r="E48" s="340">
        <f>SUM(E11:E46)</f>
        <v>172250.52</v>
      </c>
    </row>
    <row r="49" spans="1:7" ht="5.0999999999999996" customHeight="1">
      <c r="A49" s="28" t="s">
        <v>18</v>
      </c>
      <c r="B49" s="80"/>
      <c r="C49" s="80"/>
      <c r="D49" s="97"/>
      <c r="E49" s="80"/>
    </row>
    <row r="50" spans="1:7" ht="14.1" customHeight="1">
      <c r="A50" s="26" t="s">
        <v>274</v>
      </c>
      <c r="B50" s="79">
        <v>0</v>
      </c>
      <c r="C50" s="79">
        <f>SUM('- 6 -'!B50:H50,B50)</f>
        <v>181</v>
      </c>
      <c r="D50" s="98"/>
      <c r="E50" s="79">
        <f>C50</f>
        <v>181</v>
      </c>
    </row>
    <row r="51" spans="1:7" ht="14.1" customHeight="1">
      <c r="A51" s="330" t="s">
        <v>275</v>
      </c>
      <c r="B51" s="337">
        <v>577</v>
      </c>
      <c r="C51" s="337">
        <f>SUM('- 6 -'!B51:H51,B51)</f>
        <v>642.5</v>
      </c>
      <c r="D51" s="98"/>
      <c r="E51" s="337">
        <f>C51</f>
        <v>642.5</v>
      </c>
    </row>
    <row r="52" spans="1:7" ht="50.1" customHeight="1">
      <c r="A52" s="549"/>
      <c r="B52" s="549"/>
      <c r="C52" s="549"/>
      <c r="D52" s="549"/>
      <c r="E52" s="549"/>
      <c r="F52" s="549"/>
      <c r="G52" s="549"/>
    </row>
    <row r="53" spans="1:7">
      <c r="A53" s="151" t="s">
        <v>718</v>
      </c>
    </row>
    <row r="54" spans="1:7">
      <c r="A54" s="32" t="s">
        <v>717</v>
      </c>
    </row>
    <row r="55" spans="1:7">
      <c r="A55" s="32"/>
    </row>
  </sheetData>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sheetPr codeName="Sheet64">
    <pageSetUpPr fitToPage="1"/>
  </sheetPr>
  <dimension ref="A1:U52"/>
  <sheetViews>
    <sheetView showGridLines="0" showZeros="0" workbookViewId="0"/>
  </sheetViews>
  <sheetFormatPr defaultColWidth="15.83203125" defaultRowHeight="12"/>
  <cols>
    <col min="1" max="1" width="35.83203125" style="1" customWidth="1"/>
    <col min="2" max="3" width="21.83203125" style="1" customWidth="1"/>
    <col min="4" max="4" width="23.83203125" style="1" customWidth="1"/>
    <col min="5" max="5" width="2.83203125" style="1" customWidth="1"/>
    <col min="6" max="6" width="27.83203125" style="1" customWidth="1"/>
    <col min="7" max="19" width="15.83203125" style="1"/>
    <col min="20" max="20" width="21" style="1" bestFit="1" customWidth="1"/>
    <col min="21" max="21" width="15" style="1" bestFit="1" customWidth="1"/>
    <col min="22" max="16384" width="15.83203125" style="1"/>
  </cols>
  <sheetData>
    <row r="1" spans="1:21" ht="6.95" customHeight="1">
      <c r="A1" s="6"/>
    </row>
    <row r="2" spans="1:21" ht="15.95" customHeight="1">
      <c r="A2" s="498"/>
      <c r="B2" s="237" t="s">
        <v>358</v>
      </c>
      <c r="C2" s="238"/>
      <c r="D2" s="238"/>
      <c r="E2" s="239"/>
      <c r="F2" s="239"/>
    </row>
    <row r="3" spans="1:21" ht="15.95" customHeight="1">
      <c r="A3" s="30"/>
      <c r="B3" s="478" t="str">
        <f>TAXYEAR</f>
        <v xml:space="preserve">FOR THE 2011 TAXATION YEAR </v>
      </c>
      <c r="C3" s="477"/>
      <c r="D3" s="477"/>
      <c r="E3" s="497"/>
      <c r="F3" s="497"/>
    </row>
    <row r="4" spans="1:21" ht="15.95" customHeight="1">
      <c r="B4"/>
      <c r="C4" s="7"/>
      <c r="D4" s="7"/>
      <c r="E4" s="7"/>
      <c r="F4" s="7"/>
    </row>
    <row r="5" spans="1:21" ht="15.95" customHeight="1">
      <c r="B5"/>
      <c r="C5" s="7"/>
      <c r="D5" s="7"/>
      <c r="E5" s="7"/>
      <c r="F5" s="7"/>
    </row>
    <row r="6" spans="1:21" ht="15.95" customHeight="1">
      <c r="B6"/>
      <c r="C6" s="7"/>
      <c r="D6" s="7"/>
      <c r="E6" s="7"/>
      <c r="F6" s="7"/>
    </row>
    <row r="7" spans="1:21" ht="15.95" customHeight="1">
      <c r="B7" s="352" t="s">
        <v>91</v>
      </c>
      <c r="C7" s="417"/>
      <c r="D7" s="417"/>
      <c r="E7" s="7"/>
      <c r="F7" s="417" t="s">
        <v>128</v>
      </c>
    </row>
    <row r="8" spans="1:21" ht="15.95" customHeight="1">
      <c r="A8" s="20"/>
      <c r="B8" s="395" t="s">
        <v>151</v>
      </c>
      <c r="C8" s="418"/>
      <c r="D8" s="418"/>
      <c r="E8" s="7"/>
      <c r="F8" s="409" t="s">
        <v>75</v>
      </c>
    </row>
    <row r="9" spans="1:21" ht="15.95" customHeight="1">
      <c r="A9" s="22" t="s">
        <v>95</v>
      </c>
      <c r="B9" s="346" t="s">
        <v>149</v>
      </c>
      <c r="C9" s="356" t="s">
        <v>162</v>
      </c>
      <c r="D9" s="356" t="s">
        <v>69</v>
      </c>
      <c r="E9" s="7"/>
      <c r="F9" s="356" t="s">
        <v>6</v>
      </c>
      <c r="T9" s="1" t="str">
        <f>+F9</f>
        <v>RESIDENT PUPIL (1)</v>
      </c>
      <c r="U9" s="1" t="str">
        <f>+C9</f>
        <v>SPECIAL LEVY</v>
      </c>
    </row>
    <row r="10" spans="1:21" ht="5.0999999999999996" customHeight="1">
      <c r="A10" s="25"/>
      <c r="B10" s="236">
        <v>38577</v>
      </c>
      <c r="C10" s="236"/>
      <c r="D10" s="236"/>
      <c r="E10" s="236"/>
      <c r="F10" s="236"/>
    </row>
    <row r="11" spans="1:21" ht="14.1" customHeight="1">
      <c r="A11" s="413" t="s">
        <v>238</v>
      </c>
      <c r="B11" s="411">
        <f>'- 52 -'!C11</f>
        <v>1363633.1442</v>
      </c>
      <c r="C11" s="411">
        <f>+U11</f>
        <v>6574518</v>
      </c>
      <c r="D11" s="411">
        <f t="shared" ref="D11:D46" si="0">SUM(B11,C11)</f>
        <v>7938151.1442</v>
      </c>
      <c r="F11" s="411">
        <f>+T11</f>
        <v>281078</v>
      </c>
      <c r="T11" s="1">
        <f>+Data!O11</f>
        <v>281078</v>
      </c>
      <c r="U11" s="1">
        <v>6574518</v>
      </c>
    </row>
    <row r="12" spans="1:21" ht="14.1" customHeight="1">
      <c r="A12" s="270" t="s">
        <v>239</v>
      </c>
      <c r="B12" s="171">
        <f>'- 52 -'!C12</f>
        <v>1481508.1908</v>
      </c>
      <c r="C12" s="171">
        <f t="shared" ref="C12:C46" si="1">+U12</f>
        <v>10022378</v>
      </c>
      <c r="D12" s="171">
        <f t="shared" si="0"/>
        <v>11503886.1908</v>
      </c>
      <c r="F12" s="171">
        <f>+T12</f>
        <v>222424</v>
      </c>
      <c r="T12" s="1">
        <f>+Data!O12</f>
        <v>222424</v>
      </c>
      <c r="U12" s="1">
        <v>10022378</v>
      </c>
    </row>
    <row r="13" spans="1:21" ht="14.1" customHeight="1">
      <c r="A13" s="413" t="s">
        <v>240</v>
      </c>
      <c r="B13" s="411">
        <f>'- 52 -'!C13</f>
        <v>8241763.3542000009</v>
      </c>
      <c r="C13" s="411">
        <f t="shared" si="1"/>
        <v>32068494</v>
      </c>
      <c r="D13" s="411">
        <f t="shared" si="0"/>
        <v>40310257.354199998</v>
      </c>
      <c r="F13" s="411">
        <f t="shared" ref="F13:F46" si="2">+T13</f>
        <v>267002</v>
      </c>
      <c r="T13" s="1">
        <f>+Data!O13</f>
        <v>267002</v>
      </c>
      <c r="U13" s="1">
        <v>32068494</v>
      </c>
    </row>
    <row r="14" spans="1:21" ht="14.1" customHeight="1">
      <c r="A14" s="270" t="s">
        <v>653</v>
      </c>
      <c r="B14" s="171">
        <f>'- 52 -'!C14</f>
        <v>0</v>
      </c>
      <c r="C14" s="171">
        <f t="shared" si="1"/>
        <v>0</v>
      </c>
      <c r="D14" s="171">
        <f t="shared" si="0"/>
        <v>0</v>
      </c>
      <c r="F14" s="171">
        <f t="shared" si="2"/>
        <v>283590</v>
      </c>
      <c r="T14" s="1">
        <f>+Data!O14</f>
        <v>283590</v>
      </c>
      <c r="U14" s="1">
        <v>0</v>
      </c>
    </row>
    <row r="15" spans="1:21" ht="14.1" customHeight="1">
      <c r="A15" s="413" t="s">
        <v>241</v>
      </c>
      <c r="B15" s="411">
        <f>'- 52 -'!C15</f>
        <v>1193888.8701000002</v>
      </c>
      <c r="C15" s="411">
        <f t="shared" si="1"/>
        <v>7821067</v>
      </c>
      <c r="D15" s="411">
        <f t="shared" si="0"/>
        <v>9014955.8701000009</v>
      </c>
      <c r="F15" s="411">
        <f t="shared" si="2"/>
        <v>450100</v>
      </c>
      <c r="T15" s="1">
        <f>+Data!O15</f>
        <v>450100</v>
      </c>
      <c r="U15" s="1">
        <v>7821067</v>
      </c>
    </row>
    <row r="16" spans="1:21" ht="14.1" customHeight="1">
      <c r="A16" s="270" t="s">
        <v>242</v>
      </c>
      <c r="B16" s="171">
        <f>'- 52 -'!C16</f>
        <v>385693.12710000004</v>
      </c>
      <c r="C16" s="171">
        <f t="shared" si="1"/>
        <v>3571137</v>
      </c>
      <c r="D16" s="171">
        <f t="shared" si="0"/>
        <v>3956830.1271000002</v>
      </c>
      <c r="F16" s="171">
        <f t="shared" si="2"/>
        <v>143513</v>
      </c>
      <c r="T16" s="1">
        <f>+Data!O16</f>
        <v>143513</v>
      </c>
      <c r="U16" s="1">
        <v>3571137</v>
      </c>
    </row>
    <row r="17" spans="1:21" ht="14.1" customHeight="1">
      <c r="A17" s="413" t="s">
        <v>243</v>
      </c>
      <c r="B17" s="411">
        <f>'- 52 -'!C17</f>
        <v>3400372.9485000004</v>
      </c>
      <c r="C17" s="411">
        <f t="shared" si="1"/>
        <v>7035923</v>
      </c>
      <c r="D17" s="411">
        <f t="shared" si="0"/>
        <v>10436295.9485</v>
      </c>
      <c r="F17" s="411">
        <f t="shared" si="2"/>
        <v>405673</v>
      </c>
      <c r="T17" s="1">
        <f>+Data!O17</f>
        <v>405673</v>
      </c>
      <c r="U17" s="1">
        <v>7035923</v>
      </c>
    </row>
    <row r="18" spans="1:21" ht="14.1" customHeight="1">
      <c r="A18" s="270" t="s">
        <v>244</v>
      </c>
      <c r="B18" s="171">
        <f>'- 52 -'!C18</f>
        <v>680398.99200000009</v>
      </c>
      <c r="C18" s="171">
        <f t="shared" si="1"/>
        <v>3001357</v>
      </c>
      <c r="D18" s="171">
        <f t="shared" si="0"/>
        <v>3681755.9920000001</v>
      </c>
      <c r="F18" s="171">
        <f t="shared" si="2"/>
        <v>65258</v>
      </c>
      <c r="T18" s="1">
        <f>+Data!O18</f>
        <v>65258</v>
      </c>
      <c r="U18" s="1">
        <v>3001357</v>
      </c>
    </row>
    <row r="19" spans="1:21" ht="14.1" customHeight="1">
      <c r="A19" s="413" t="s">
        <v>245</v>
      </c>
      <c r="B19" s="411">
        <f>'- 52 -'!C19</f>
        <v>2294665.7724000001</v>
      </c>
      <c r="C19" s="411">
        <f t="shared" si="1"/>
        <v>14689511</v>
      </c>
      <c r="D19" s="411">
        <f t="shared" si="0"/>
        <v>16984176.772399999</v>
      </c>
      <c r="F19" s="411">
        <f t="shared" si="2"/>
        <v>171006</v>
      </c>
      <c r="T19" s="1">
        <f>+Data!O19</f>
        <v>171006</v>
      </c>
      <c r="U19" s="1">
        <v>14689511</v>
      </c>
    </row>
    <row r="20" spans="1:21" ht="14.1" customHeight="1">
      <c r="A20" s="270" t="s">
        <v>246</v>
      </c>
      <c r="B20" s="171">
        <f>'- 52 -'!C20</f>
        <v>3287160.1215000004</v>
      </c>
      <c r="C20" s="171">
        <f t="shared" si="1"/>
        <v>22733689</v>
      </c>
      <c r="D20" s="171">
        <f t="shared" si="0"/>
        <v>26020849.1215</v>
      </c>
      <c r="F20" s="171">
        <f t="shared" si="2"/>
        <v>172748</v>
      </c>
      <c r="T20" s="1">
        <f>+Data!O20</f>
        <v>172748</v>
      </c>
      <c r="U20" s="1">
        <v>22733689</v>
      </c>
    </row>
    <row r="21" spans="1:21" ht="14.1" customHeight="1">
      <c r="A21" s="413" t="s">
        <v>247</v>
      </c>
      <c r="B21" s="411">
        <f>'- 52 -'!C21</f>
        <v>2094714.4779000001</v>
      </c>
      <c r="C21" s="411">
        <f t="shared" si="1"/>
        <v>12490209</v>
      </c>
      <c r="D21" s="411">
        <f t="shared" si="0"/>
        <v>14584923.4779</v>
      </c>
      <c r="F21" s="411">
        <f t="shared" si="2"/>
        <v>267246</v>
      </c>
      <c r="T21" s="1">
        <f>+Data!O21</f>
        <v>267246</v>
      </c>
      <c r="U21" s="1">
        <v>12490209</v>
      </c>
    </row>
    <row r="22" spans="1:21" ht="14.1" customHeight="1">
      <c r="A22" s="270" t="s">
        <v>248</v>
      </c>
      <c r="B22" s="171">
        <f>'- 52 -'!C22</f>
        <v>678476.99160000007</v>
      </c>
      <c r="C22" s="171">
        <f t="shared" si="1"/>
        <v>3928755</v>
      </c>
      <c r="D22" s="171">
        <f t="shared" si="0"/>
        <v>4607231.9916000003</v>
      </c>
      <c r="F22" s="171">
        <f t="shared" si="2"/>
        <v>109227</v>
      </c>
      <c r="T22" s="1">
        <f>+Data!O22</f>
        <v>109227</v>
      </c>
      <c r="U22" s="1">
        <v>3928755</v>
      </c>
    </row>
    <row r="23" spans="1:21" ht="14.1" customHeight="1">
      <c r="A23" s="413" t="s">
        <v>249</v>
      </c>
      <c r="B23" s="411">
        <f>'- 52 -'!C23</f>
        <v>305889.17490000004</v>
      </c>
      <c r="C23" s="411">
        <f t="shared" si="1"/>
        <v>4035941</v>
      </c>
      <c r="D23" s="411">
        <f t="shared" si="0"/>
        <v>4341830.1749</v>
      </c>
      <c r="F23" s="411">
        <f t="shared" si="2"/>
        <v>186080</v>
      </c>
      <c r="T23" s="1">
        <f>+Data!O23</f>
        <v>186080</v>
      </c>
      <c r="U23" s="1">
        <v>4035941</v>
      </c>
    </row>
    <row r="24" spans="1:21" ht="14.1" customHeight="1">
      <c r="A24" s="270" t="s">
        <v>250</v>
      </c>
      <c r="B24" s="171">
        <f>'- 52 -'!C24</f>
        <v>2205755.8686000002</v>
      </c>
      <c r="C24" s="171">
        <f t="shared" si="1"/>
        <v>20148384</v>
      </c>
      <c r="D24" s="171">
        <f t="shared" si="0"/>
        <v>22354139.8686</v>
      </c>
      <c r="F24" s="171">
        <f t="shared" si="2"/>
        <v>323683</v>
      </c>
      <c r="T24" s="1">
        <f>+Data!O24</f>
        <v>323683</v>
      </c>
      <c r="U24" s="1">
        <v>20148384</v>
      </c>
    </row>
    <row r="25" spans="1:21" ht="14.1" customHeight="1">
      <c r="A25" s="413" t="s">
        <v>251</v>
      </c>
      <c r="B25" s="411">
        <f>'- 52 -'!C25</f>
        <v>10680984.936900001</v>
      </c>
      <c r="C25" s="411">
        <f t="shared" si="1"/>
        <v>71505186</v>
      </c>
      <c r="D25" s="411">
        <f t="shared" si="0"/>
        <v>82186170.936900005</v>
      </c>
      <c r="F25" s="411">
        <f t="shared" si="2"/>
        <v>322805</v>
      </c>
      <c r="T25" s="1">
        <f>+Data!O25</f>
        <v>322805</v>
      </c>
      <c r="U25" s="1">
        <v>71505186</v>
      </c>
    </row>
    <row r="26" spans="1:21" ht="14.1" customHeight="1">
      <c r="A26" s="270" t="s">
        <v>252</v>
      </c>
      <c r="B26" s="171">
        <f>'- 52 -'!C26</f>
        <v>1264319.8029</v>
      </c>
      <c r="C26" s="171">
        <f t="shared" si="1"/>
        <v>12520544</v>
      </c>
      <c r="D26" s="171">
        <f t="shared" si="0"/>
        <v>13784863.8029</v>
      </c>
      <c r="F26" s="171">
        <f t="shared" si="2"/>
        <v>200580</v>
      </c>
      <c r="T26" s="1">
        <f>+Data!O26</f>
        <v>200580</v>
      </c>
      <c r="U26" s="1">
        <v>12520544</v>
      </c>
    </row>
    <row r="27" spans="1:21" ht="14.1" customHeight="1">
      <c r="A27" s="413" t="s">
        <v>253</v>
      </c>
      <c r="B27" s="411">
        <f>'- 52 -'!C27</f>
        <v>1137311.6787</v>
      </c>
      <c r="C27" s="411">
        <f t="shared" si="1"/>
        <v>7493599</v>
      </c>
      <c r="D27" s="411">
        <f t="shared" si="0"/>
        <v>8630910.6787</v>
      </c>
      <c r="F27" s="411">
        <f t="shared" si="2"/>
        <v>144246</v>
      </c>
      <c r="T27" s="1">
        <f>+Data!O27</f>
        <v>144246</v>
      </c>
      <c r="U27" s="1">
        <v>7493599</v>
      </c>
    </row>
    <row r="28" spans="1:21" ht="14.1" customHeight="1">
      <c r="A28" s="270" t="s">
        <v>254</v>
      </c>
      <c r="B28" s="171">
        <f>'- 52 -'!C28</f>
        <v>1844854.6725000001</v>
      </c>
      <c r="C28" s="171">
        <f t="shared" si="1"/>
        <v>7421939</v>
      </c>
      <c r="D28" s="171">
        <f t="shared" si="0"/>
        <v>9266793.6724999994</v>
      </c>
      <c r="F28" s="171">
        <f t="shared" si="2"/>
        <v>276207</v>
      </c>
      <c r="T28" s="1">
        <f>+Data!O28</f>
        <v>276207</v>
      </c>
      <c r="U28" s="1">
        <v>7421939</v>
      </c>
    </row>
    <row r="29" spans="1:21" ht="14.1" customHeight="1">
      <c r="A29" s="413" t="s">
        <v>255</v>
      </c>
      <c r="B29" s="411">
        <f>'- 52 -'!C29</f>
        <v>11195452.0908</v>
      </c>
      <c r="C29" s="411">
        <f t="shared" si="1"/>
        <v>70997197</v>
      </c>
      <c r="D29" s="411">
        <f t="shared" si="0"/>
        <v>82192649.090800002</v>
      </c>
      <c r="F29" s="411">
        <f t="shared" si="2"/>
        <v>409243</v>
      </c>
      <c r="T29" s="1">
        <f>+Data!O29</f>
        <v>409243</v>
      </c>
      <c r="U29" s="1">
        <v>70997197</v>
      </c>
    </row>
    <row r="30" spans="1:21" ht="14.1" customHeight="1">
      <c r="A30" s="270" t="s">
        <v>256</v>
      </c>
      <c r="B30" s="171">
        <f>'- 52 -'!C30</f>
        <v>924418.07640000002</v>
      </c>
      <c r="C30" s="171">
        <f t="shared" si="1"/>
        <v>4964207</v>
      </c>
      <c r="D30" s="171">
        <f t="shared" si="0"/>
        <v>5888625.0763999997</v>
      </c>
      <c r="F30" s="171">
        <f t="shared" si="2"/>
        <v>231885</v>
      </c>
      <c r="T30" s="1">
        <f>+Data!O30</f>
        <v>231885</v>
      </c>
      <c r="U30" s="1">
        <v>4964207</v>
      </c>
    </row>
    <row r="31" spans="1:21" ht="14.1" customHeight="1">
      <c r="A31" s="413" t="s">
        <v>257</v>
      </c>
      <c r="B31" s="411">
        <f>'- 52 -'!C31</f>
        <v>3307277.3796000001</v>
      </c>
      <c r="C31" s="411">
        <f t="shared" si="1"/>
        <v>13226530</v>
      </c>
      <c r="D31" s="411">
        <f t="shared" si="0"/>
        <v>16533807.3796</v>
      </c>
      <c r="F31" s="411">
        <f t="shared" si="2"/>
        <v>257290</v>
      </c>
      <c r="T31" s="1">
        <f>+Data!O31</f>
        <v>257290</v>
      </c>
      <c r="U31" s="1">
        <v>13226530</v>
      </c>
    </row>
    <row r="32" spans="1:21" ht="14.1" customHeight="1">
      <c r="A32" s="270" t="s">
        <v>258</v>
      </c>
      <c r="B32" s="171">
        <f>'- 52 -'!C32</f>
        <v>1343010.3561</v>
      </c>
      <c r="C32" s="171">
        <f t="shared" si="1"/>
        <v>10281143</v>
      </c>
      <c r="D32" s="171">
        <f t="shared" si="0"/>
        <v>11624153.3561</v>
      </c>
      <c r="F32" s="171">
        <f t="shared" si="2"/>
        <v>308251</v>
      </c>
      <c r="T32" s="1">
        <f>+Data!O32</f>
        <v>308251</v>
      </c>
      <c r="U32" s="1">
        <v>10281143</v>
      </c>
    </row>
    <row r="33" spans="1:21" ht="14.1" customHeight="1">
      <c r="A33" s="413" t="s">
        <v>259</v>
      </c>
      <c r="B33" s="411">
        <f>'- 52 -'!C33</f>
        <v>1647907.3359000001</v>
      </c>
      <c r="C33" s="411">
        <f t="shared" si="1"/>
        <v>11177209</v>
      </c>
      <c r="D33" s="411">
        <f t="shared" si="0"/>
        <v>12825116.335899999</v>
      </c>
      <c r="F33" s="411">
        <f t="shared" si="2"/>
        <v>275524</v>
      </c>
      <c r="T33" s="1">
        <f>+Data!O33</f>
        <v>275524</v>
      </c>
      <c r="U33" s="1">
        <v>11177209</v>
      </c>
    </row>
    <row r="34" spans="1:21" ht="14.1" customHeight="1">
      <c r="A34" s="270" t="s">
        <v>260</v>
      </c>
      <c r="B34" s="171">
        <f>'- 52 -'!C34</f>
        <v>2073161.8845000002</v>
      </c>
      <c r="C34" s="171">
        <f t="shared" si="1"/>
        <v>12551820</v>
      </c>
      <c r="D34" s="171">
        <f t="shared" si="0"/>
        <v>14624981.884500001</v>
      </c>
      <c r="F34" s="171">
        <f t="shared" si="2"/>
        <v>294942</v>
      </c>
      <c r="T34" s="1">
        <f>+Data!O34</f>
        <v>294942</v>
      </c>
      <c r="U34" s="1">
        <v>12551820</v>
      </c>
    </row>
    <row r="35" spans="1:21" ht="14.1" customHeight="1">
      <c r="A35" s="413" t="s">
        <v>261</v>
      </c>
      <c r="B35" s="411">
        <f>'- 52 -'!C35</f>
        <v>8393991.8769000005</v>
      </c>
      <c r="C35" s="411">
        <f t="shared" si="1"/>
        <v>68642909</v>
      </c>
      <c r="D35" s="411">
        <f t="shared" si="0"/>
        <v>77036900.876900002</v>
      </c>
      <c r="F35" s="411">
        <f t="shared" si="2"/>
        <v>274647</v>
      </c>
      <c r="T35" s="1">
        <f>+Data!O35</f>
        <v>274647</v>
      </c>
      <c r="U35" s="1">
        <v>68642909</v>
      </c>
    </row>
    <row r="36" spans="1:21" ht="14.1" customHeight="1">
      <c r="A36" s="270" t="s">
        <v>262</v>
      </c>
      <c r="B36" s="171">
        <f>'- 52 -'!C36</f>
        <v>1792788.165</v>
      </c>
      <c r="C36" s="171">
        <f t="shared" si="1"/>
        <v>8739689</v>
      </c>
      <c r="D36" s="171">
        <f t="shared" si="0"/>
        <v>10532477.164999999</v>
      </c>
      <c r="F36" s="171">
        <f t="shared" si="2"/>
        <v>305689</v>
      </c>
      <c r="T36" s="1">
        <f>+Data!O36</f>
        <v>305689</v>
      </c>
      <c r="U36" s="1">
        <v>8739689</v>
      </c>
    </row>
    <row r="37" spans="1:21" ht="14.1" customHeight="1">
      <c r="A37" s="413" t="s">
        <v>263</v>
      </c>
      <c r="B37" s="411">
        <f>'- 52 -'!C37</f>
        <v>1654536.6837000002</v>
      </c>
      <c r="C37" s="411">
        <f t="shared" si="1"/>
        <v>16399220</v>
      </c>
      <c r="D37" s="411">
        <f t="shared" si="0"/>
        <v>18053756.683699999</v>
      </c>
      <c r="F37" s="411">
        <f t="shared" si="2"/>
        <v>208049</v>
      </c>
      <c r="T37" s="1">
        <f>+Data!O37</f>
        <v>208049</v>
      </c>
      <c r="U37" s="1">
        <v>16399220</v>
      </c>
    </row>
    <row r="38" spans="1:21" ht="14.1" customHeight="1">
      <c r="A38" s="270" t="s">
        <v>264</v>
      </c>
      <c r="B38" s="171">
        <f>'- 52 -'!C38</f>
        <v>3305057.733</v>
      </c>
      <c r="C38" s="171">
        <f t="shared" si="1"/>
        <v>38210635</v>
      </c>
      <c r="D38" s="171">
        <f t="shared" si="0"/>
        <v>41515692.733000003</v>
      </c>
      <c r="F38" s="171">
        <f t="shared" si="2"/>
        <v>229098</v>
      </c>
      <c r="T38" s="1">
        <f>+Data!O38</f>
        <v>229098</v>
      </c>
      <c r="U38" s="1">
        <v>38210635</v>
      </c>
    </row>
    <row r="39" spans="1:21" ht="14.1" customHeight="1">
      <c r="A39" s="413" t="s">
        <v>265</v>
      </c>
      <c r="B39" s="411">
        <f>'- 52 -'!C39</f>
        <v>2188961.4221999999</v>
      </c>
      <c r="C39" s="411">
        <f t="shared" si="1"/>
        <v>8533445</v>
      </c>
      <c r="D39" s="411">
        <f t="shared" si="0"/>
        <v>10722406.4222</v>
      </c>
      <c r="F39" s="411">
        <f t="shared" si="2"/>
        <v>356056</v>
      </c>
      <c r="T39" s="1">
        <f>+Data!O39</f>
        <v>356056</v>
      </c>
      <c r="U39" s="1">
        <v>8533445</v>
      </c>
    </row>
    <row r="40" spans="1:21" ht="14.1" customHeight="1">
      <c r="A40" s="270" t="s">
        <v>266</v>
      </c>
      <c r="B40" s="171">
        <f>'- 52 -'!C40</f>
        <v>13458983.873400001</v>
      </c>
      <c r="C40" s="171">
        <f t="shared" si="1"/>
        <v>44542893</v>
      </c>
      <c r="D40" s="171">
        <f t="shared" si="0"/>
        <v>58001876.873400003</v>
      </c>
      <c r="F40" s="171">
        <f t="shared" si="2"/>
        <v>393537</v>
      </c>
      <c r="T40" s="1">
        <f>+Data!O40</f>
        <v>393537</v>
      </c>
      <c r="U40" s="1">
        <v>44542893</v>
      </c>
    </row>
    <row r="41" spans="1:21" ht="14.1" customHeight="1">
      <c r="A41" s="413" t="s">
        <v>267</v>
      </c>
      <c r="B41" s="411">
        <f>'- 52 -'!C41</f>
        <v>3490608.5739000002</v>
      </c>
      <c r="C41" s="411">
        <f t="shared" si="1"/>
        <v>26416533</v>
      </c>
      <c r="D41" s="411">
        <f t="shared" si="0"/>
        <v>29907141.573899999</v>
      </c>
      <c r="F41" s="411">
        <f t="shared" si="2"/>
        <v>326546</v>
      </c>
      <c r="T41" s="1">
        <f>+Data!O41</f>
        <v>326546</v>
      </c>
      <c r="U41" s="1">
        <v>26416533</v>
      </c>
    </row>
    <row r="42" spans="1:21" ht="14.1" customHeight="1">
      <c r="A42" s="270" t="s">
        <v>268</v>
      </c>
      <c r="B42" s="171">
        <f>'- 52 -'!C42</f>
        <v>767342.26080000005</v>
      </c>
      <c r="C42" s="171">
        <f t="shared" si="1"/>
        <v>6105835</v>
      </c>
      <c r="D42" s="171">
        <f t="shared" si="0"/>
        <v>6873177.2608000003</v>
      </c>
      <c r="F42" s="171">
        <f t="shared" si="2"/>
        <v>191941</v>
      </c>
      <c r="T42" s="1">
        <f>+Data!O42</f>
        <v>191941</v>
      </c>
      <c r="U42" s="1">
        <v>6105835</v>
      </c>
    </row>
    <row r="43" spans="1:21" ht="14.1" customHeight="1">
      <c r="A43" s="413" t="s">
        <v>269</v>
      </c>
      <c r="B43" s="411">
        <f>'- 52 -'!C43</f>
        <v>590462.61570000008</v>
      </c>
      <c r="C43" s="411">
        <f t="shared" si="1"/>
        <v>5127384</v>
      </c>
      <c r="D43" s="411">
        <f t="shared" si="0"/>
        <v>5717846.6157</v>
      </c>
      <c r="F43" s="411">
        <f t="shared" si="2"/>
        <v>294611</v>
      </c>
      <c r="T43" s="1">
        <f>+Data!O43</f>
        <v>294611</v>
      </c>
      <c r="U43" s="1">
        <v>5127384</v>
      </c>
    </row>
    <row r="44" spans="1:21" ht="14.1" customHeight="1">
      <c r="A44" s="270" t="s">
        <v>270</v>
      </c>
      <c r="B44" s="171">
        <f>'- 52 -'!C44</f>
        <v>159885.20610000001</v>
      </c>
      <c r="C44" s="171">
        <f t="shared" si="1"/>
        <v>2744659</v>
      </c>
      <c r="D44" s="171">
        <f t="shared" si="0"/>
        <v>2904544.2061000001</v>
      </c>
      <c r="F44" s="171">
        <f t="shared" si="2"/>
        <v>171103</v>
      </c>
      <c r="T44" s="1">
        <f>+Data!O44</f>
        <v>171103</v>
      </c>
      <c r="U44" s="1">
        <v>2744659</v>
      </c>
    </row>
    <row r="45" spans="1:21" ht="14.1" customHeight="1">
      <c r="A45" s="413" t="s">
        <v>271</v>
      </c>
      <c r="B45" s="411">
        <f>'- 52 -'!C45</f>
        <v>913649.30100000009</v>
      </c>
      <c r="C45" s="411">
        <f t="shared" si="1"/>
        <v>6206364</v>
      </c>
      <c r="D45" s="411">
        <f t="shared" si="0"/>
        <v>7120013.301</v>
      </c>
      <c r="F45" s="411">
        <f t="shared" si="2"/>
        <v>218959</v>
      </c>
      <c r="T45" s="1">
        <f>+Data!O45</f>
        <v>218959</v>
      </c>
      <c r="U45" s="1">
        <v>6206364</v>
      </c>
    </row>
    <row r="46" spans="1:21" ht="14.1" customHeight="1">
      <c r="A46" s="270" t="s">
        <v>272</v>
      </c>
      <c r="B46" s="171">
        <f>'- 52 -'!C46</f>
        <v>40578312.480300002</v>
      </c>
      <c r="C46" s="171">
        <f t="shared" si="1"/>
        <v>132261877</v>
      </c>
      <c r="D46" s="171">
        <f t="shared" si="0"/>
        <v>172840189.48030001</v>
      </c>
      <c r="F46" s="171">
        <f t="shared" si="2"/>
        <v>279949</v>
      </c>
      <c r="T46" s="1">
        <f>+Data!O46</f>
        <v>279949</v>
      </c>
      <c r="U46" s="1">
        <v>132261877</v>
      </c>
    </row>
    <row r="47" spans="1:21" ht="5.0999999999999996" customHeight="1">
      <c r="A47" s="148"/>
      <c r="B47" s="172"/>
      <c r="C47" s="172"/>
      <c r="D47" s="172"/>
      <c r="F47" s="172"/>
    </row>
    <row r="48" spans="1:21" ht="14.1" customHeight="1">
      <c r="A48" s="414" t="s">
        <v>273</v>
      </c>
      <c r="B48" s="415">
        <f>SUM(B11:B46)</f>
        <v>140327199.44010001</v>
      </c>
      <c r="C48" s="415">
        <f>SUM(C11:C46)</f>
        <v>734192180</v>
      </c>
      <c r="D48" s="415">
        <f>SUM(D11:D46)</f>
        <v>874519379.44010019</v>
      </c>
      <c r="F48" s="415">
        <f>+T48</f>
        <v>278077.70765977941</v>
      </c>
      <c r="T48" s="1">
        <f>+Data!O48</f>
        <v>278077.70765977941</v>
      </c>
      <c r="U48" s="1">
        <v>734192180</v>
      </c>
    </row>
    <row r="49" spans="1:6" ht="50.1" customHeight="1">
      <c r="A49" s="277" t="s">
        <v>18</v>
      </c>
      <c r="B49" s="30"/>
      <c r="C49" s="30"/>
      <c r="D49" s="30"/>
      <c r="E49" s="30"/>
      <c r="F49" s="30"/>
    </row>
    <row r="50" spans="1:6" ht="15" customHeight="1">
      <c r="A50" s="31" t="s">
        <v>654</v>
      </c>
    </row>
    <row r="51" spans="1:6" ht="12" customHeight="1">
      <c r="A51" s="31" t="s">
        <v>710</v>
      </c>
    </row>
    <row r="52" spans="1:6" ht="12" customHeight="1">
      <c r="A52" s="148" t="s">
        <v>655</v>
      </c>
    </row>
  </sheetData>
  <phoneticPr fontId="0" type="noConversion"/>
  <pageMargins left="0.5" right="0.5" top="0.6" bottom="0.2" header="0.3" footer="0.5"/>
  <pageSetup scale="88" orientation="portrait" r:id="rId1"/>
  <headerFooter alignWithMargins="0">
    <oddHeader>&amp;C&amp;"Arial,Regular"&amp;11&amp;A</oddHeader>
  </headerFooter>
  <legacyDrawing r:id="rId2"/>
</worksheet>
</file>

<file path=xl/worksheets/sheet51.xml><?xml version="1.0" encoding="utf-8"?>
<worksheet xmlns="http://schemas.openxmlformats.org/spreadsheetml/2006/main" xmlns:r="http://schemas.openxmlformats.org/officeDocument/2006/relationships">
  <sheetPr codeName="Sheet45">
    <pageSetUpPr fitToPage="1"/>
  </sheetPr>
  <dimension ref="A1:G54"/>
  <sheetViews>
    <sheetView showGridLines="0" showZeros="0" workbookViewId="0"/>
  </sheetViews>
  <sheetFormatPr defaultColWidth="19.83203125" defaultRowHeight="12"/>
  <cols>
    <col min="1" max="1" width="32.83203125" style="1" customWidth="1"/>
    <col min="2" max="2" width="18.1640625" style="1" customWidth="1"/>
    <col min="3" max="3" width="19.33203125" style="1" customWidth="1"/>
    <col min="4" max="4" width="15" style="1" customWidth="1"/>
    <col min="5" max="6" width="16" style="1" customWidth="1"/>
    <col min="7" max="7" width="15.6640625" style="1" customWidth="1"/>
    <col min="8" max="16384" width="19.83203125" style="1"/>
  </cols>
  <sheetData>
    <row r="1" spans="1:7" ht="6.95" customHeight="1">
      <c r="A1" s="6"/>
      <c r="B1" s="6"/>
      <c r="C1" s="6"/>
      <c r="D1" s="6"/>
      <c r="E1" s="6"/>
      <c r="F1" s="6"/>
      <c r="G1" s="6"/>
    </row>
    <row r="2" spans="1:7" ht="15.95" customHeight="1">
      <c r="A2" s="300"/>
      <c r="B2" s="308" t="str">
        <f>REVYEAR</f>
        <v>ANALYSIS OF OPERATING FUND REVENUE: 2011/2012 ACTUAL</v>
      </c>
      <c r="C2" s="308"/>
      <c r="D2" s="309"/>
      <c r="E2" s="305"/>
      <c r="F2" s="305"/>
      <c r="G2" s="244" t="s">
        <v>207</v>
      </c>
    </row>
    <row r="3" spans="1:7" ht="9.75" customHeight="1">
      <c r="A3" s="234"/>
      <c r="B3" s="6"/>
      <c r="C3" s="6"/>
      <c r="D3" s="6"/>
      <c r="E3" s="6"/>
      <c r="F3" s="6"/>
      <c r="G3" s="6"/>
    </row>
    <row r="4" spans="1:7" ht="15.95" customHeight="1">
      <c r="B4" s="440" t="s">
        <v>91</v>
      </c>
      <c r="C4" s="443"/>
      <c r="D4" s="365"/>
      <c r="E4" s="365"/>
      <c r="F4" s="365"/>
      <c r="G4" s="355"/>
    </row>
    <row r="5" spans="1:7" ht="15.95" customHeight="1">
      <c r="B5" s="441" t="s">
        <v>230</v>
      </c>
      <c r="C5" s="444"/>
      <c r="D5" s="436"/>
      <c r="E5" s="357"/>
      <c r="F5" s="357"/>
      <c r="G5" s="366"/>
    </row>
    <row r="6" spans="1:7" ht="15.95" customHeight="1">
      <c r="B6" s="130" t="s">
        <v>113</v>
      </c>
      <c r="C6" s="47"/>
      <c r="D6" s="48"/>
      <c r="E6" s="48"/>
      <c r="F6" s="241"/>
      <c r="G6" s="312"/>
    </row>
    <row r="7" spans="1:7" ht="15.95" customHeight="1">
      <c r="B7" s="250"/>
      <c r="C7" s="713" t="s">
        <v>676</v>
      </c>
      <c r="D7" s="40"/>
      <c r="E7" s="40"/>
      <c r="F7" s="40"/>
      <c r="G7" s="40"/>
    </row>
    <row r="8" spans="1:7" ht="20.25" customHeight="1">
      <c r="A8" s="75"/>
      <c r="B8" s="304" t="s">
        <v>226</v>
      </c>
      <c r="C8" s="714"/>
      <c r="D8" s="252" t="s">
        <v>236</v>
      </c>
      <c r="E8" s="252" t="s">
        <v>203</v>
      </c>
      <c r="F8" s="252" t="s">
        <v>204</v>
      </c>
      <c r="G8" s="252" t="s">
        <v>130</v>
      </c>
    </row>
    <row r="9" spans="1:7" ht="14.25">
      <c r="A9" s="42" t="s">
        <v>95</v>
      </c>
      <c r="B9" s="53" t="s">
        <v>7</v>
      </c>
      <c r="C9" s="715"/>
      <c r="D9" s="94" t="s">
        <v>8</v>
      </c>
      <c r="E9" s="94" t="s">
        <v>169</v>
      </c>
      <c r="F9" s="94" t="s">
        <v>37</v>
      </c>
      <c r="G9" s="94" t="s">
        <v>154</v>
      </c>
    </row>
    <row r="10" spans="1:7" ht="5.0999999999999996" customHeight="1">
      <c r="A10" s="5"/>
      <c r="E10" s="6"/>
      <c r="F10" s="6"/>
      <c r="G10" s="6"/>
    </row>
    <row r="11" spans="1:7" ht="14.1" customHeight="1">
      <c r="A11" s="413" t="s">
        <v>238</v>
      </c>
      <c r="B11" s="411">
        <v>2790681</v>
      </c>
      <c r="C11" s="411">
        <v>84436</v>
      </c>
      <c r="D11" s="411">
        <v>164217</v>
      </c>
      <c r="E11" s="411">
        <v>86892</v>
      </c>
      <c r="F11" s="411">
        <v>65169</v>
      </c>
      <c r="G11" s="411">
        <v>133234</v>
      </c>
    </row>
    <row r="12" spans="1:7" ht="14.1" customHeight="1">
      <c r="A12" s="270" t="s">
        <v>239</v>
      </c>
      <c r="B12" s="171">
        <v>4315131</v>
      </c>
      <c r="C12" s="171">
        <v>10111</v>
      </c>
      <c r="D12" s="171">
        <v>398767</v>
      </c>
      <c r="E12" s="171">
        <v>123617</v>
      </c>
      <c r="F12" s="171">
        <v>100769</v>
      </c>
      <c r="G12" s="171">
        <v>206016</v>
      </c>
    </row>
    <row r="13" spans="1:7" ht="14.1" customHeight="1">
      <c r="A13" s="413" t="s">
        <v>240</v>
      </c>
      <c r="B13" s="411">
        <v>14132618</v>
      </c>
      <c r="C13" s="411">
        <v>0</v>
      </c>
      <c r="D13" s="411">
        <v>98950</v>
      </c>
      <c r="E13" s="411">
        <v>440040</v>
      </c>
      <c r="F13" s="411">
        <v>330030</v>
      </c>
      <c r="G13" s="411">
        <v>674728</v>
      </c>
    </row>
    <row r="14" spans="1:7" ht="14.1" customHeight="1">
      <c r="A14" s="270" t="s">
        <v>653</v>
      </c>
      <c r="B14" s="171">
        <v>9057864</v>
      </c>
      <c r="C14" s="171">
        <v>113595</v>
      </c>
      <c r="D14" s="171">
        <v>757549</v>
      </c>
      <c r="E14" s="171">
        <v>282030</v>
      </c>
      <c r="F14" s="171">
        <v>211523</v>
      </c>
      <c r="G14" s="171">
        <v>432446</v>
      </c>
    </row>
    <row r="15" spans="1:7" ht="14.1" customHeight="1">
      <c r="A15" s="413" t="s">
        <v>241</v>
      </c>
      <c r="B15" s="411">
        <v>2969892</v>
      </c>
      <c r="C15" s="411">
        <v>0</v>
      </c>
      <c r="D15" s="411">
        <v>240567</v>
      </c>
      <c r="E15" s="411">
        <v>92472</v>
      </c>
      <c r="F15" s="411">
        <v>69354</v>
      </c>
      <c r="G15" s="411">
        <v>141790</v>
      </c>
    </row>
    <row r="16" spans="1:7" ht="14.1" customHeight="1">
      <c r="A16" s="270" t="s">
        <v>242</v>
      </c>
      <c r="B16" s="171">
        <v>1909850</v>
      </c>
      <c r="C16" s="171">
        <v>32504</v>
      </c>
      <c r="D16" s="171">
        <v>0</v>
      </c>
      <c r="E16" s="171">
        <v>59466</v>
      </c>
      <c r="F16" s="171">
        <v>44600</v>
      </c>
      <c r="G16" s="171">
        <v>91181</v>
      </c>
    </row>
    <row r="17" spans="1:7" ht="14.1" customHeight="1">
      <c r="A17" s="413" t="s">
        <v>243</v>
      </c>
      <c r="B17" s="411">
        <v>2496429</v>
      </c>
      <c r="C17" s="411">
        <v>0</v>
      </c>
      <c r="D17" s="411">
        <v>293510</v>
      </c>
      <c r="E17" s="411">
        <v>77730</v>
      </c>
      <c r="F17" s="411">
        <v>58298</v>
      </c>
      <c r="G17" s="411">
        <v>119186</v>
      </c>
    </row>
    <row r="18" spans="1:7" ht="14.1" customHeight="1">
      <c r="A18" s="270" t="s">
        <v>244</v>
      </c>
      <c r="B18" s="171">
        <v>4945453</v>
      </c>
      <c r="C18" s="171">
        <v>0</v>
      </c>
      <c r="D18" s="171">
        <v>1094062</v>
      </c>
      <c r="E18" s="171">
        <v>153984</v>
      </c>
      <c r="F18" s="171">
        <v>115488</v>
      </c>
      <c r="G18" s="171">
        <v>236109</v>
      </c>
    </row>
    <row r="19" spans="1:7" ht="14.1" customHeight="1">
      <c r="A19" s="413" t="s">
        <v>245</v>
      </c>
      <c r="B19" s="411">
        <v>7931532</v>
      </c>
      <c r="C19" s="411">
        <v>16307</v>
      </c>
      <c r="D19" s="411">
        <v>189926</v>
      </c>
      <c r="E19" s="411">
        <v>246960</v>
      </c>
      <c r="F19" s="411">
        <v>185220</v>
      </c>
      <c r="G19" s="411">
        <v>378672</v>
      </c>
    </row>
    <row r="20" spans="1:7" ht="14.1" customHeight="1">
      <c r="A20" s="270" t="s">
        <v>246</v>
      </c>
      <c r="B20" s="171">
        <v>13917179</v>
      </c>
      <c r="C20" s="171">
        <v>0</v>
      </c>
      <c r="D20" s="171">
        <v>240979</v>
      </c>
      <c r="E20" s="171">
        <v>433332</v>
      </c>
      <c r="F20" s="171">
        <v>324999</v>
      </c>
      <c r="G20" s="171">
        <v>664442</v>
      </c>
    </row>
    <row r="21" spans="1:7" ht="14.1" customHeight="1">
      <c r="A21" s="413" t="s">
        <v>247</v>
      </c>
      <c r="B21" s="411">
        <v>5558624</v>
      </c>
      <c r="C21" s="411">
        <v>69081</v>
      </c>
      <c r="D21" s="411">
        <v>449901</v>
      </c>
      <c r="E21" s="411">
        <v>156068</v>
      </c>
      <c r="F21" s="411">
        <v>129807</v>
      </c>
      <c r="G21" s="411">
        <v>265383</v>
      </c>
    </row>
    <row r="22" spans="1:7" ht="14.1" customHeight="1">
      <c r="A22" s="270" t="s">
        <v>248</v>
      </c>
      <c r="B22" s="171">
        <v>3070675</v>
      </c>
      <c r="C22" s="171">
        <v>0</v>
      </c>
      <c r="D22" s="171">
        <v>38483</v>
      </c>
      <c r="E22" s="171">
        <v>95610</v>
      </c>
      <c r="F22" s="171">
        <v>71708</v>
      </c>
      <c r="G22" s="171">
        <v>146602</v>
      </c>
    </row>
    <row r="23" spans="1:7" ht="14.1" customHeight="1">
      <c r="A23" s="413" t="s">
        <v>249</v>
      </c>
      <c r="B23" s="411">
        <v>2143980</v>
      </c>
      <c r="C23" s="411">
        <v>0</v>
      </c>
      <c r="D23" s="411">
        <v>393299</v>
      </c>
      <c r="E23" s="411">
        <v>66756</v>
      </c>
      <c r="F23" s="411">
        <v>50067</v>
      </c>
      <c r="G23" s="411">
        <v>102359</v>
      </c>
    </row>
    <row r="24" spans="1:7" ht="14.1" customHeight="1">
      <c r="A24" s="270" t="s">
        <v>250</v>
      </c>
      <c r="B24" s="171">
        <v>8231951</v>
      </c>
      <c r="C24" s="171">
        <v>0</v>
      </c>
      <c r="D24" s="171">
        <v>362886</v>
      </c>
      <c r="E24" s="171">
        <v>256314</v>
      </c>
      <c r="F24" s="171">
        <v>192236</v>
      </c>
      <c r="G24" s="171">
        <v>393015</v>
      </c>
    </row>
    <row r="25" spans="1:7" ht="14.1" customHeight="1">
      <c r="A25" s="413" t="s">
        <v>251</v>
      </c>
      <c r="B25" s="411">
        <v>26225892</v>
      </c>
      <c r="C25" s="411">
        <v>0</v>
      </c>
      <c r="D25" s="411">
        <v>0</v>
      </c>
      <c r="E25" s="411">
        <v>829643</v>
      </c>
      <c r="F25" s="411">
        <v>612436</v>
      </c>
      <c r="G25" s="411">
        <v>1252093</v>
      </c>
    </row>
    <row r="26" spans="1:7" ht="14.1" customHeight="1">
      <c r="A26" s="270" t="s">
        <v>252</v>
      </c>
      <c r="B26" s="171">
        <v>5764428</v>
      </c>
      <c r="C26" s="171">
        <v>0</v>
      </c>
      <c r="D26" s="171">
        <v>582191</v>
      </c>
      <c r="E26" s="171">
        <v>179484</v>
      </c>
      <c r="F26" s="171">
        <v>134613</v>
      </c>
      <c r="G26" s="171">
        <v>275209</v>
      </c>
    </row>
    <row r="27" spans="1:7" ht="14.1" customHeight="1">
      <c r="A27" s="413" t="s">
        <v>253</v>
      </c>
      <c r="B27" s="411">
        <v>5400610</v>
      </c>
      <c r="C27" s="411">
        <v>0</v>
      </c>
      <c r="D27" s="411">
        <v>0</v>
      </c>
      <c r="E27" s="411">
        <v>168156</v>
      </c>
      <c r="F27" s="411">
        <v>126117</v>
      </c>
      <c r="G27" s="411">
        <v>257839</v>
      </c>
    </row>
    <row r="28" spans="1:7" ht="14.1" customHeight="1">
      <c r="A28" s="270" t="s">
        <v>254</v>
      </c>
      <c r="B28" s="171">
        <v>3024234</v>
      </c>
      <c r="C28" s="171">
        <v>115109</v>
      </c>
      <c r="D28" s="171">
        <v>534364</v>
      </c>
      <c r="E28" s="171">
        <v>94164</v>
      </c>
      <c r="F28" s="171">
        <v>70623</v>
      </c>
      <c r="G28" s="171">
        <v>144385</v>
      </c>
    </row>
    <row r="29" spans="1:7" ht="14.1" customHeight="1">
      <c r="A29" s="413" t="s">
        <v>255</v>
      </c>
      <c r="B29" s="411">
        <v>23163504</v>
      </c>
      <c r="C29" s="411">
        <v>0</v>
      </c>
      <c r="D29" s="411">
        <v>0</v>
      </c>
      <c r="E29" s="411">
        <v>721230</v>
      </c>
      <c r="F29" s="411">
        <v>540923</v>
      </c>
      <c r="G29" s="411">
        <v>1105886</v>
      </c>
    </row>
    <row r="30" spans="1:7" ht="14.1" customHeight="1">
      <c r="A30" s="270" t="s">
        <v>256</v>
      </c>
      <c r="B30" s="171">
        <v>2169802</v>
      </c>
      <c r="C30" s="171">
        <v>39481</v>
      </c>
      <c r="D30" s="171">
        <v>308817</v>
      </c>
      <c r="E30" s="171">
        <v>67560</v>
      </c>
      <c r="F30" s="171">
        <v>50670</v>
      </c>
      <c r="G30" s="171">
        <v>103592</v>
      </c>
    </row>
    <row r="31" spans="1:7" ht="14.1" customHeight="1">
      <c r="A31" s="413" t="s">
        <v>257</v>
      </c>
      <c r="B31" s="411">
        <v>5763850</v>
      </c>
      <c r="C31" s="411">
        <v>0</v>
      </c>
      <c r="D31" s="411">
        <v>179431</v>
      </c>
      <c r="E31" s="411">
        <v>180559</v>
      </c>
      <c r="F31" s="411">
        <v>134600</v>
      </c>
      <c r="G31" s="411">
        <v>275181</v>
      </c>
    </row>
    <row r="32" spans="1:7" ht="14.1" customHeight="1">
      <c r="A32" s="270" t="s">
        <v>258</v>
      </c>
      <c r="B32" s="171">
        <v>3913352</v>
      </c>
      <c r="C32" s="171">
        <v>0</v>
      </c>
      <c r="D32" s="171">
        <v>593673</v>
      </c>
      <c r="E32" s="171">
        <v>121848</v>
      </c>
      <c r="F32" s="171">
        <v>91386</v>
      </c>
      <c r="G32" s="171">
        <v>186834</v>
      </c>
    </row>
    <row r="33" spans="1:7" ht="14.1" customHeight="1">
      <c r="A33" s="413" t="s">
        <v>259</v>
      </c>
      <c r="B33" s="411">
        <v>3970391</v>
      </c>
      <c r="C33" s="411">
        <v>56047</v>
      </c>
      <c r="D33" s="411">
        <v>835501</v>
      </c>
      <c r="E33" s="411">
        <v>123624</v>
      </c>
      <c r="F33" s="411">
        <v>92718</v>
      </c>
      <c r="G33" s="411">
        <v>189557</v>
      </c>
    </row>
    <row r="34" spans="1:7" ht="14.1" customHeight="1">
      <c r="A34" s="270" t="s">
        <v>260</v>
      </c>
      <c r="B34" s="171">
        <v>3911425</v>
      </c>
      <c r="C34" s="171">
        <v>81008</v>
      </c>
      <c r="D34" s="171">
        <v>554134</v>
      </c>
      <c r="E34" s="171">
        <v>121367</v>
      </c>
      <c r="F34" s="171">
        <v>91341</v>
      </c>
      <c r="G34" s="171">
        <v>186742</v>
      </c>
    </row>
    <row r="35" spans="1:7" ht="14.1" customHeight="1">
      <c r="A35" s="413" t="s">
        <v>261</v>
      </c>
      <c r="B35" s="411">
        <v>30133655</v>
      </c>
      <c r="C35" s="411">
        <v>0</v>
      </c>
      <c r="D35" s="411">
        <v>0</v>
      </c>
      <c r="E35" s="411">
        <v>928384</v>
      </c>
      <c r="F35" s="411">
        <v>703692</v>
      </c>
      <c r="G35" s="411">
        <v>1438659</v>
      </c>
    </row>
    <row r="36" spans="1:7" ht="14.1" customHeight="1">
      <c r="A36" s="270" t="s">
        <v>262</v>
      </c>
      <c r="B36" s="171">
        <v>3183404</v>
      </c>
      <c r="C36" s="171">
        <v>71184</v>
      </c>
      <c r="D36" s="171">
        <v>402931</v>
      </c>
      <c r="E36" s="171">
        <v>99120</v>
      </c>
      <c r="F36" s="171">
        <v>74340</v>
      </c>
      <c r="G36" s="171">
        <v>151984</v>
      </c>
    </row>
    <row r="37" spans="1:7" ht="14.1" customHeight="1">
      <c r="A37" s="413" t="s">
        <v>263</v>
      </c>
      <c r="B37" s="411">
        <v>6953001</v>
      </c>
      <c r="C37" s="411">
        <v>0</v>
      </c>
      <c r="D37" s="411">
        <v>468249</v>
      </c>
      <c r="E37" s="411">
        <v>197634</v>
      </c>
      <c r="F37" s="411">
        <v>162369</v>
      </c>
      <c r="G37" s="411">
        <v>331954</v>
      </c>
    </row>
    <row r="38" spans="1:7" ht="14.1" customHeight="1">
      <c r="A38" s="270" t="s">
        <v>264</v>
      </c>
      <c r="B38" s="171">
        <v>18720227</v>
      </c>
      <c r="C38" s="171">
        <v>0</v>
      </c>
      <c r="D38" s="171">
        <v>0</v>
      </c>
      <c r="E38" s="171">
        <v>582882</v>
      </c>
      <c r="F38" s="171">
        <v>437162</v>
      </c>
      <c r="G38" s="171">
        <v>893752</v>
      </c>
    </row>
    <row r="39" spans="1:7" ht="14.1" customHeight="1">
      <c r="A39" s="413" t="s">
        <v>265</v>
      </c>
      <c r="B39" s="411">
        <v>3122896</v>
      </c>
      <c r="C39" s="411">
        <v>0</v>
      </c>
      <c r="D39" s="411">
        <v>516269</v>
      </c>
      <c r="E39" s="411">
        <v>97236</v>
      </c>
      <c r="F39" s="411">
        <v>72927</v>
      </c>
      <c r="G39" s="411">
        <v>149095</v>
      </c>
    </row>
    <row r="40" spans="1:7" ht="14.1" customHeight="1">
      <c r="A40" s="270" t="s">
        <v>266</v>
      </c>
      <c r="B40" s="171">
        <v>15547614</v>
      </c>
      <c r="C40" s="171">
        <v>0</v>
      </c>
      <c r="D40" s="171">
        <v>0</v>
      </c>
      <c r="E40" s="171">
        <v>484098</v>
      </c>
      <c r="F40" s="171">
        <v>363074</v>
      </c>
      <c r="G40" s="171">
        <v>742284</v>
      </c>
    </row>
    <row r="41" spans="1:7" ht="14.1" customHeight="1">
      <c r="A41" s="413" t="s">
        <v>267</v>
      </c>
      <c r="B41" s="411">
        <v>8744836</v>
      </c>
      <c r="C41" s="411">
        <v>82134</v>
      </c>
      <c r="D41" s="411">
        <v>514344</v>
      </c>
      <c r="E41" s="411">
        <v>272334</v>
      </c>
      <c r="F41" s="411">
        <v>204251</v>
      </c>
      <c r="G41" s="411">
        <v>417578</v>
      </c>
    </row>
    <row r="42" spans="1:7" ht="14.1" customHeight="1">
      <c r="A42" s="270" t="s">
        <v>268</v>
      </c>
      <c r="B42" s="171">
        <v>2912853</v>
      </c>
      <c r="C42" s="171">
        <v>0</v>
      </c>
      <c r="D42" s="171">
        <v>306251</v>
      </c>
      <c r="E42" s="171">
        <v>90696</v>
      </c>
      <c r="F42" s="171">
        <v>68022</v>
      </c>
      <c r="G42" s="171">
        <v>139067</v>
      </c>
    </row>
    <row r="43" spans="1:7" ht="14.1" customHeight="1">
      <c r="A43" s="413" t="s">
        <v>269</v>
      </c>
      <c r="B43" s="411">
        <v>1887497</v>
      </c>
      <c r="C43" s="411">
        <v>29070</v>
      </c>
      <c r="D43" s="411">
        <v>240847</v>
      </c>
      <c r="E43" s="411">
        <v>58770</v>
      </c>
      <c r="F43" s="411">
        <v>41415</v>
      </c>
      <c r="G43" s="411">
        <v>90114</v>
      </c>
    </row>
    <row r="44" spans="1:7" ht="14.1" customHeight="1">
      <c r="A44" s="270" t="s">
        <v>270</v>
      </c>
      <c r="B44" s="171">
        <v>1408637</v>
      </c>
      <c r="C44" s="171">
        <v>16010</v>
      </c>
      <c r="D44" s="171">
        <v>307160</v>
      </c>
      <c r="E44" s="171">
        <v>43860</v>
      </c>
      <c r="F44" s="171">
        <v>32895</v>
      </c>
      <c r="G44" s="171">
        <v>67252</v>
      </c>
    </row>
    <row r="45" spans="1:7" ht="14.1" customHeight="1">
      <c r="A45" s="413" t="s">
        <v>271</v>
      </c>
      <c r="B45" s="411">
        <v>3091486</v>
      </c>
      <c r="C45" s="411">
        <v>0</v>
      </c>
      <c r="D45" s="411">
        <v>16949</v>
      </c>
      <c r="E45" s="411">
        <v>86597</v>
      </c>
      <c r="F45" s="411">
        <v>72194</v>
      </c>
      <c r="G45" s="411">
        <v>147596</v>
      </c>
    </row>
    <row r="46" spans="1:7" ht="14.1" customHeight="1">
      <c r="A46" s="270" t="s">
        <v>272</v>
      </c>
      <c r="B46" s="171">
        <v>56386525</v>
      </c>
      <c r="C46" s="171">
        <v>0</v>
      </c>
      <c r="D46" s="171">
        <v>0</v>
      </c>
      <c r="E46" s="171">
        <v>2344859</v>
      </c>
      <c r="F46" s="171">
        <v>1316759</v>
      </c>
      <c r="G46" s="171">
        <v>2692040</v>
      </c>
    </row>
    <row r="47" spans="1:7" ht="5.0999999999999996" customHeight="1">
      <c r="A47" s="148"/>
      <c r="B47" s="172"/>
      <c r="C47" s="172"/>
      <c r="D47" s="172"/>
      <c r="E47" s="172"/>
      <c r="F47" s="172"/>
      <c r="G47" s="172"/>
    </row>
    <row r="48" spans="1:7" ht="14.1" customHeight="1">
      <c r="A48" s="414" t="s">
        <v>273</v>
      </c>
      <c r="B48" s="415">
        <f t="shared" ref="B48:G48" si="0">SUM(B11:B46)</f>
        <v>318871978</v>
      </c>
      <c r="C48" s="415">
        <f t="shared" si="0"/>
        <v>816077</v>
      </c>
      <c r="D48" s="415">
        <f t="shared" si="0"/>
        <v>11084207</v>
      </c>
      <c r="E48" s="415">
        <f t="shared" si="0"/>
        <v>10465376</v>
      </c>
      <c r="F48" s="415">
        <f t="shared" si="0"/>
        <v>7443795</v>
      </c>
      <c r="G48" s="415">
        <f t="shared" si="0"/>
        <v>15223856</v>
      </c>
    </row>
    <row r="49" spans="1:7" ht="5.0999999999999996" customHeight="1">
      <c r="A49" s="148" t="s">
        <v>18</v>
      </c>
      <c r="B49" s="172"/>
      <c r="C49" s="172"/>
      <c r="D49" s="172"/>
      <c r="E49" s="172"/>
      <c r="F49" s="172"/>
      <c r="G49" s="172"/>
    </row>
    <row r="50" spans="1:7" ht="14.1" customHeight="1">
      <c r="A50" s="270" t="s">
        <v>274</v>
      </c>
      <c r="B50" s="171">
        <v>225055</v>
      </c>
      <c r="C50" s="171">
        <v>33055</v>
      </c>
      <c r="D50" s="171">
        <v>0</v>
      </c>
      <c r="E50" s="171">
        <v>11040</v>
      </c>
      <c r="F50" s="171">
        <v>8280</v>
      </c>
      <c r="G50" s="171">
        <v>16928</v>
      </c>
    </row>
    <row r="51" spans="1:7" ht="14.1" customHeight="1">
      <c r="A51" s="413" t="s">
        <v>275</v>
      </c>
      <c r="B51" s="411">
        <v>0</v>
      </c>
      <c r="C51" s="411">
        <v>0</v>
      </c>
      <c r="D51" s="411">
        <v>0</v>
      </c>
      <c r="E51" s="411">
        <v>0</v>
      </c>
      <c r="F51" s="411">
        <v>0</v>
      </c>
      <c r="G51" s="411">
        <v>0</v>
      </c>
    </row>
    <row r="52" spans="1:7" ht="50.1" customHeight="1">
      <c r="A52" s="30"/>
      <c r="B52" s="30"/>
      <c r="C52" s="30"/>
      <c r="D52" s="30"/>
      <c r="E52" s="30"/>
      <c r="F52" s="30"/>
      <c r="G52" s="30"/>
    </row>
    <row r="53" spans="1:7" ht="15" customHeight="1">
      <c r="A53" s="45" t="str">
        <f>"(1)  Based on a grant per eligible pupil at "&amp;Data!C89&amp;" "&amp;Data!B89</f>
        <v>(1)  Based on a grant per eligible pupil at September 30, 2010</v>
      </c>
      <c r="D53" s="45"/>
      <c r="E53" s="45"/>
      <c r="F53" s="45"/>
      <c r="G53" s="45"/>
    </row>
    <row r="54" spans="1:7" ht="12" customHeight="1">
      <c r="A54" s="45" t="s">
        <v>646</v>
      </c>
      <c r="D54" s="45"/>
      <c r="E54" s="45"/>
      <c r="F54" s="45"/>
      <c r="G54" s="45"/>
    </row>
  </sheetData>
  <mergeCells count="1">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sheetPr codeName="Sheet451">
    <pageSetUpPr fitToPage="1"/>
  </sheetPr>
  <dimension ref="A1:G54"/>
  <sheetViews>
    <sheetView showGridLines="0" showZeros="0" workbookViewId="0"/>
  </sheetViews>
  <sheetFormatPr defaultColWidth="19.83203125" defaultRowHeight="12"/>
  <cols>
    <col min="1" max="1" width="32.83203125" style="1" customWidth="1"/>
    <col min="2" max="2" width="16.33203125" style="1" customWidth="1"/>
    <col min="3" max="3" width="16.6640625" style="1" customWidth="1"/>
    <col min="4" max="4" width="18.33203125" style="1" customWidth="1"/>
    <col min="5" max="5" width="15.83203125" style="1" customWidth="1"/>
    <col min="6" max="6" width="15.1640625" style="1" customWidth="1"/>
    <col min="7" max="7" width="15.83203125" style="1" customWidth="1"/>
    <col min="8" max="16384" width="19.83203125" style="1"/>
  </cols>
  <sheetData>
    <row r="1" spans="1:7" ht="6.95" customHeight="1">
      <c r="A1" s="6"/>
      <c r="B1" s="6"/>
      <c r="C1" s="6"/>
      <c r="D1" s="6"/>
      <c r="E1" s="6"/>
      <c r="F1" s="6"/>
      <c r="G1" s="6"/>
    </row>
    <row r="2" spans="1:7" ht="15.95" customHeight="1">
      <c r="A2" s="300"/>
      <c r="B2" s="308" t="str">
        <f>REVYEAR</f>
        <v>ANALYSIS OF OPERATING FUND REVENUE: 2011/2012 ACTUAL</v>
      </c>
      <c r="C2" s="309"/>
      <c r="D2" s="305"/>
      <c r="E2" s="305"/>
      <c r="F2" s="310"/>
      <c r="G2" s="244" t="s">
        <v>208</v>
      </c>
    </row>
    <row r="3" spans="1:7" ht="15.95" customHeight="1">
      <c r="A3" s="234"/>
      <c r="B3" s="234"/>
      <c r="C3" s="6"/>
      <c r="D3" s="6"/>
      <c r="E3" s="6"/>
      <c r="F3" s="6"/>
      <c r="G3" s="6"/>
    </row>
    <row r="4" spans="1:7" ht="15.95" customHeight="1">
      <c r="B4" s="440" t="str">
        <f>'- 58 -'!B4</f>
        <v>EDUCATION</v>
      </c>
      <c r="C4" s="365"/>
      <c r="D4" s="365"/>
      <c r="E4" s="365"/>
      <c r="F4" s="365"/>
      <c r="G4" s="355"/>
    </row>
    <row r="5" spans="1:7" ht="15.95" customHeight="1">
      <c r="B5" s="441" t="s">
        <v>229</v>
      </c>
      <c r="C5" s="436"/>
      <c r="D5" s="436"/>
      <c r="E5" s="436"/>
      <c r="F5" s="357"/>
      <c r="G5" s="442"/>
    </row>
    <row r="6" spans="1:7" ht="15.95" customHeight="1">
      <c r="B6" s="303" t="s">
        <v>113</v>
      </c>
      <c r="C6" s="48"/>
      <c r="D6" s="48"/>
      <c r="E6" s="48"/>
      <c r="F6" s="48"/>
      <c r="G6" s="131"/>
    </row>
    <row r="7" spans="1:7" ht="15.95" customHeight="1">
      <c r="B7" s="250"/>
      <c r="C7" s="40"/>
      <c r="D7" s="40"/>
      <c r="E7" s="40"/>
      <c r="F7" s="40"/>
      <c r="G7" s="250" t="s">
        <v>69</v>
      </c>
    </row>
    <row r="8" spans="1:7" ht="15.95" customHeight="1">
      <c r="A8" s="75"/>
      <c r="B8" s="483" t="s">
        <v>438</v>
      </c>
      <c r="C8" s="252" t="s">
        <v>129</v>
      </c>
      <c r="D8" s="252" t="s">
        <v>131</v>
      </c>
      <c r="E8" s="252" t="s">
        <v>664</v>
      </c>
      <c r="F8" s="311"/>
      <c r="G8" s="252" t="s">
        <v>132</v>
      </c>
    </row>
    <row r="9" spans="1:7" ht="15.95" customHeight="1">
      <c r="A9" s="42" t="s">
        <v>95</v>
      </c>
      <c r="B9" s="484" t="s">
        <v>530</v>
      </c>
      <c r="C9" s="94" t="s">
        <v>153</v>
      </c>
      <c r="D9" s="94" t="s">
        <v>155</v>
      </c>
      <c r="E9" s="94" t="s">
        <v>91</v>
      </c>
      <c r="F9" s="94" t="s">
        <v>152</v>
      </c>
      <c r="G9" s="94" t="s">
        <v>151</v>
      </c>
    </row>
    <row r="10" spans="1:7" ht="5.0999999999999996" customHeight="1">
      <c r="A10" s="5"/>
      <c r="B10" s="6"/>
      <c r="F10" s="6"/>
      <c r="G10" s="6"/>
    </row>
    <row r="11" spans="1:7" ht="14.1" customHeight="1">
      <c r="A11" s="413" t="s">
        <v>238</v>
      </c>
      <c r="B11" s="411">
        <v>456667</v>
      </c>
      <c r="C11" s="411">
        <v>118752</v>
      </c>
      <c r="D11" s="411">
        <v>66617</v>
      </c>
      <c r="E11" s="411">
        <v>29875</v>
      </c>
      <c r="F11" s="411">
        <v>840465</v>
      </c>
      <c r="G11" s="411">
        <f>SUM('- 58 -'!$B11:G11,B11:F11)</f>
        <v>4837005</v>
      </c>
    </row>
    <row r="12" spans="1:7" ht="14.1" customHeight="1">
      <c r="A12" s="270" t="s">
        <v>239</v>
      </c>
      <c r="B12" s="171">
        <v>724392</v>
      </c>
      <c r="C12" s="171">
        <v>183623</v>
      </c>
      <c r="D12" s="171">
        <v>104027</v>
      </c>
      <c r="E12" s="171">
        <v>48250</v>
      </c>
      <c r="F12" s="171">
        <v>1226070</v>
      </c>
      <c r="G12" s="171">
        <f>SUM('- 58 -'!$B12:G12,B12:F12)</f>
        <v>7440773</v>
      </c>
    </row>
    <row r="13" spans="1:7" ht="14.1" customHeight="1">
      <c r="A13" s="413" t="s">
        <v>240</v>
      </c>
      <c r="B13" s="411">
        <v>2397326</v>
      </c>
      <c r="C13" s="411">
        <v>601388</v>
      </c>
      <c r="D13" s="411">
        <v>350764</v>
      </c>
      <c r="E13" s="411">
        <v>179875</v>
      </c>
      <c r="F13" s="411">
        <v>3047220</v>
      </c>
      <c r="G13" s="411">
        <f>SUM('- 58 -'!$B13:G13,B13:F13)</f>
        <v>22252939</v>
      </c>
    </row>
    <row r="14" spans="1:7" ht="14.1" customHeight="1">
      <c r="A14" s="270" t="s">
        <v>653</v>
      </c>
      <c r="B14" s="171">
        <v>1491100</v>
      </c>
      <c r="C14" s="171">
        <v>385441</v>
      </c>
      <c r="D14" s="171">
        <v>208320</v>
      </c>
      <c r="E14" s="171">
        <v>82875</v>
      </c>
      <c r="F14" s="171">
        <v>2600055</v>
      </c>
      <c r="G14" s="171">
        <f>SUM('- 58 -'!$B14:G14,B14:F14)</f>
        <v>15622798</v>
      </c>
    </row>
    <row r="15" spans="1:7" ht="14.1" customHeight="1">
      <c r="A15" s="413" t="s">
        <v>241</v>
      </c>
      <c r="B15" s="411">
        <v>502050</v>
      </c>
      <c r="C15" s="411">
        <v>126378</v>
      </c>
      <c r="D15" s="411">
        <v>60107</v>
      </c>
      <c r="E15" s="411">
        <v>35375</v>
      </c>
      <c r="F15" s="411">
        <v>865260</v>
      </c>
      <c r="G15" s="411">
        <f>SUM('- 58 -'!$B15:G15,B15:F15)</f>
        <v>5103245</v>
      </c>
    </row>
    <row r="16" spans="1:7" ht="14.1" customHeight="1">
      <c r="A16" s="270" t="s">
        <v>242</v>
      </c>
      <c r="B16" s="171">
        <v>337273</v>
      </c>
      <c r="C16" s="171">
        <v>81270</v>
      </c>
      <c r="D16" s="171">
        <v>50546</v>
      </c>
      <c r="E16" s="171">
        <v>29250</v>
      </c>
      <c r="F16" s="171">
        <v>561735</v>
      </c>
      <c r="G16" s="171">
        <f>SUM('- 58 -'!$B16:G16,B16:F16)</f>
        <v>3197675</v>
      </c>
    </row>
    <row r="17" spans="1:7" ht="14.1" customHeight="1">
      <c r="A17" s="413" t="s">
        <v>243</v>
      </c>
      <c r="B17" s="411">
        <v>399705</v>
      </c>
      <c r="C17" s="411">
        <v>106231</v>
      </c>
      <c r="D17" s="411">
        <v>59593</v>
      </c>
      <c r="E17" s="411">
        <v>31625</v>
      </c>
      <c r="F17" s="411">
        <v>928530</v>
      </c>
      <c r="G17" s="411">
        <f>SUM('- 58 -'!$B17:G17,B17:F17)</f>
        <v>4570837</v>
      </c>
    </row>
    <row r="18" spans="1:7" ht="14.1" customHeight="1">
      <c r="A18" s="270" t="s">
        <v>244</v>
      </c>
      <c r="B18" s="171">
        <v>1353592</v>
      </c>
      <c r="C18" s="171">
        <v>210445</v>
      </c>
      <c r="D18" s="171">
        <v>114781</v>
      </c>
      <c r="E18" s="171">
        <v>30663</v>
      </c>
      <c r="F18" s="171">
        <v>4185225</v>
      </c>
      <c r="G18" s="171">
        <f>SUM('- 58 -'!$B18:G18,B18:F18)</f>
        <v>12439802</v>
      </c>
    </row>
    <row r="19" spans="1:7" ht="14.1" customHeight="1">
      <c r="A19" s="413" t="s">
        <v>245</v>
      </c>
      <c r="B19" s="411">
        <v>1294614</v>
      </c>
      <c r="C19" s="411">
        <v>337512</v>
      </c>
      <c r="D19" s="411">
        <v>189336</v>
      </c>
      <c r="E19" s="411">
        <v>79125</v>
      </c>
      <c r="F19" s="411">
        <v>1282500</v>
      </c>
      <c r="G19" s="411">
        <f>SUM('- 58 -'!$B19:G19,B19:F19)</f>
        <v>12131704</v>
      </c>
    </row>
    <row r="20" spans="1:7" ht="14.1" customHeight="1">
      <c r="A20" s="270" t="s">
        <v>246</v>
      </c>
      <c r="B20" s="171">
        <v>2331152</v>
      </c>
      <c r="C20" s="171">
        <v>592220</v>
      </c>
      <c r="D20" s="171">
        <v>281666</v>
      </c>
      <c r="E20" s="171">
        <v>146375</v>
      </c>
      <c r="F20" s="171">
        <v>2374335</v>
      </c>
      <c r="G20" s="171">
        <f>SUM('- 58 -'!$B20:G20,B20:F20)</f>
        <v>21306679</v>
      </c>
    </row>
    <row r="21" spans="1:7" ht="14.1" customHeight="1">
      <c r="A21" s="413" t="s">
        <v>247</v>
      </c>
      <c r="B21" s="411">
        <v>914508</v>
      </c>
      <c r="C21" s="411">
        <v>236537</v>
      </c>
      <c r="D21" s="411">
        <v>112499</v>
      </c>
      <c r="E21" s="411">
        <v>69750</v>
      </c>
      <c r="F21" s="411">
        <v>1558665</v>
      </c>
      <c r="G21" s="411">
        <f>SUM('- 58 -'!$B21:G21,B21:F21)</f>
        <v>9520823</v>
      </c>
    </row>
    <row r="22" spans="1:7" ht="14.1" customHeight="1">
      <c r="A22" s="270" t="s">
        <v>248</v>
      </c>
      <c r="B22" s="171">
        <v>544465</v>
      </c>
      <c r="C22" s="171">
        <v>130667</v>
      </c>
      <c r="D22" s="171">
        <v>83769</v>
      </c>
      <c r="E22" s="171">
        <v>27750</v>
      </c>
      <c r="F22" s="171">
        <v>963585</v>
      </c>
      <c r="G22" s="171">
        <f>SUM('- 58 -'!$B22:G22,B22:F22)</f>
        <v>5173314</v>
      </c>
    </row>
    <row r="23" spans="1:7" ht="14.1" customHeight="1">
      <c r="A23" s="413" t="s">
        <v>249</v>
      </c>
      <c r="B23" s="411">
        <v>388857</v>
      </c>
      <c r="C23" s="411">
        <v>91233</v>
      </c>
      <c r="D23" s="411">
        <v>51180</v>
      </c>
      <c r="E23" s="411">
        <v>23000</v>
      </c>
      <c r="F23" s="411">
        <v>813105</v>
      </c>
      <c r="G23" s="411">
        <f>SUM('- 58 -'!$B23:G23,B23:F23)</f>
        <v>4123836</v>
      </c>
    </row>
    <row r="24" spans="1:7" ht="14.1" customHeight="1">
      <c r="A24" s="270" t="s">
        <v>250</v>
      </c>
      <c r="B24" s="171">
        <v>1390357</v>
      </c>
      <c r="C24" s="171">
        <v>350296</v>
      </c>
      <c r="D24" s="171">
        <v>172604</v>
      </c>
      <c r="E24" s="171">
        <v>103125</v>
      </c>
      <c r="F24" s="171">
        <v>2057130</v>
      </c>
      <c r="G24" s="171">
        <f>SUM('- 58 -'!$B24:G24,B24:F24)</f>
        <v>13509914</v>
      </c>
    </row>
    <row r="25" spans="1:7" ht="14.1" customHeight="1">
      <c r="A25" s="413" t="s">
        <v>251</v>
      </c>
      <c r="B25" s="411">
        <v>4596903</v>
      </c>
      <c r="C25" s="411">
        <v>1115992</v>
      </c>
      <c r="D25" s="411">
        <v>530779</v>
      </c>
      <c r="E25" s="411">
        <v>325374</v>
      </c>
      <c r="F25" s="411">
        <v>6513390</v>
      </c>
      <c r="G25" s="411">
        <f>SUM('- 58 -'!$B25:G25,B25:F25)</f>
        <v>42002502</v>
      </c>
    </row>
    <row r="26" spans="1:7" ht="14.1" customHeight="1">
      <c r="A26" s="270" t="s">
        <v>252</v>
      </c>
      <c r="B26" s="171">
        <v>1002823</v>
      </c>
      <c r="C26" s="171">
        <v>245295</v>
      </c>
      <c r="D26" s="171">
        <v>137604</v>
      </c>
      <c r="E26" s="171">
        <v>69000</v>
      </c>
      <c r="F26" s="171">
        <v>2337570</v>
      </c>
      <c r="G26" s="171">
        <f>SUM('- 58 -'!$B26:G26,B26:F26)</f>
        <v>10728217</v>
      </c>
    </row>
    <row r="27" spans="1:7" ht="14.1" customHeight="1">
      <c r="A27" s="413" t="s">
        <v>253</v>
      </c>
      <c r="B27" s="411">
        <v>1029515</v>
      </c>
      <c r="C27" s="411">
        <v>229813</v>
      </c>
      <c r="D27" s="411">
        <v>142933</v>
      </c>
      <c r="E27" s="411">
        <v>58625</v>
      </c>
      <c r="F27" s="411">
        <v>1319265</v>
      </c>
      <c r="G27" s="411">
        <f>SUM('- 58 -'!$B27:G27,B27:F27)</f>
        <v>8732873</v>
      </c>
    </row>
    <row r="28" spans="1:7" ht="14.1" customHeight="1">
      <c r="A28" s="270" t="s">
        <v>254</v>
      </c>
      <c r="B28" s="171">
        <v>497853</v>
      </c>
      <c r="C28" s="171">
        <v>128691</v>
      </c>
      <c r="D28" s="171">
        <v>72192</v>
      </c>
      <c r="E28" s="171">
        <v>35875</v>
      </c>
      <c r="F28" s="171">
        <v>1357795</v>
      </c>
      <c r="G28" s="171">
        <f>SUM('- 58 -'!$B28:G28,B28:F28)</f>
        <v>6075285</v>
      </c>
    </row>
    <row r="29" spans="1:7" ht="14.1" customHeight="1">
      <c r="A29" s="413" t="s">
        <v>255</v>
      </c>
      <c r="B29" s="411">
        <v>3831716</v>
      </c>
      <c r="C29" s="411">
        <v>985681</v>
      </c>
      <c r="D29" s="411">
        <v>468800</v>
      </c>
      <c r="E29" s="411">
        <v>291413</v>
      </c>
      <c r="F29" s="411">
        <v>5024835</v>
      </c>
      <c r="G29" s="411">
        <f>SUM('- 58 -'!$B29:G29,B29:F29)</f>
        <v>36133988</v>
      </c>
    </row>
    <row r="30" spans="1:7" ht="14.1" customHeight="1">
      <c r="A30" s="270" t="s">
        <v>256</v>
      </c>
      <c r="B30" s="171">
        <v>367771</v>
      </c>
      <c r="C30" s="171">
        <v>92332</v>
      </c>
      <c r="D30" s="171">
        <v>51796</v>
      </c>
      <c r="E30" s="171">
        <v>24250</v>
      </c>
      <c r="F30" s="171">
        <v>790020</v>
      </c>
      <c r="G30" s="171">
        <f>SUM('- 58 -'!$B30:G30,B30:F30)</f>
        <v>4066091</v>
      </c>
    </row>
    <row r="31" spans="1:7" ht="14.1" customHeight="1">
      <c r="A31" s="413" t="s">
        <v>257</v>
      </c>
      <c r="B31" s="411">
        <v>1028070</v>
      </c>
      <c r="C31" s="411">
        <v>245270</v>
      </c>
      <c r="D31" s="411">
        <v>116653</v>
      </c>
      <c r="E31" s="411">
        <v>58000</v>
      </c>
      <c r="F31" s="411">
        <v>1801485</v>
      </c>
      <c r="G31" s="411">
        <f>SUM('- 58 -'!$B31:G31,B31:F31)</f>
        <v>9783099</v>
      </c>
    </row>
    <row r="32" spans="1:7" ht="14.1" customHeight="1">
      <c r="A32" s="270" t="s">
        <v>258</v>
      </c>
      <c r="B32" s="171">
        <v>651335</v>
      </c>
      <c r="C32" s="171">
        <v>166526</v>
      </c>
      <c r="D32" s="171">
        <v>89201</v>
      </c>
      <c r="E32" s="171">
        <v>40250</v>
      </c>
      <c r="F32" s="171">
        <v>1396215</v>
      </c>
      <c r="G32" s="171">
        <f>SUM('- 58 -'!$B32:G32,B32:F32)</f>
        <v>7250620</v>
      </c>
    </row>
    <row r="33" spans="1:7" ht="14.1" customHeight="1">
      <c r="A33" s="413" t="s">
        <v>259</v>
      </c>
      <c r="B33" s="411">
        <v>661429</v>
      </c>
      <c r="C33" s="411">
        <v>168953</v>
      </c>
      <c r="D33" s="411">
        <v>94778</v>
      </c>
      <c r="E33" s="411">
        <v>46750</v>
      </c>
      <c r="F33" s="411">
        <v>1755315</v>
      </c>
      <c r="G33" s="411">
        <f>SUM('- 58 -'!$B33:G33,B33:F33)</f>
        <v>7995063</v>
      </c>
    </row>
    <row r="34" spans="1:7" ht="14.1" customHeight="1">
      <c r="A34" s="270" t="s">
        <v>260</v>
      </c>
      <c r="B34" s="171">
        <v>651083</v>
      </c>
      <c r="C34" s="171">
        <v>166444</v>
      </c>
      <c r="D34" s="171">
        <v>79162</v>
      </c>
      <c r="E34" s="171">
        <v>49000</v>
      </c>
      <c r="F34" s="171">
        <v>1247445</v>
      </c>
      <c r="G34" s="171">
        <f>SUM('- 58 -'!$B34:G34,B34:F34)</f>
        <v>7139151</v>
      </c>
    </row>
    <row r="35" spans="1:7" ht="14.1" customHeight="1">
      <c r="A35" s="413" t="s">
        <v>261</v>
      </c>
      <c r="B35" s="411">
        <v>5109546</v>
      </c>
      <c r="C35" s="411">
        <v>1282283</v>
      </c>
      <c r="D35" s="411">
        <v>614928</v>
      </c>
      <c r="E35" s="411">
        <v>393500</v>
      </c>
      <c r="F35" s="411">
        <v>7139250</v>
      </c>
      <c r="G35" s="411">
        <f>SUM('- 58 -'!$B35:G35,B35:F35)</f>
        <v>47743897</v>
      </c>
    </row>
    <row r="36" spans="1:7" ht="14.1" customHeight="1">
      <c r="A36" s="270" t="s">
        <v>262</v>
      </c>
      <c r="B36" s="171">
        <v>549546</v>
      </c>
      <c r="C36" s="171">
        <v>135464</v>
      </c>
      <c r="D36" s="171">
        <v>75992</v>
      </c>
      <c r="E36" s="171">
        <v>39750</v>
      </c>
      <c r="F36" s="171">
        <v>1179045</v>
      </c>
      <c r="G36" s="171">
        <f>SUM('- 58 -'!$B36:G36,B36:F36)</f>
        <v>5962760</v>
      </c>
    </row>
    <row r="37" spans="1:7" ht="14.1" customHeight="1">
      <c r="A37" s="413" t="s">
        <v>263</v>
      </c>
      <c r="B37" s="411">
        <v>1199610</v>
      </c>
      <c r="C37" s="411">
        <v>295872</v>
      </c>
      <c r="D37" s="411">
        <v>140720</v>
      </c>
      <c r="E37" s="411">
        <v>68625</v>
      </c>
      <c r="F37" s="411">
        <v>1677510</v>
      </c>
      <c r="G37" s="411">
        <f>SUM('- 58 -'!$B37:G37,B37:F37)</f>
        <v>11495544</v>
      </c>
    </row>
    <row r="38" spans="1:7" ht="14.1" customHeight="1">
      <c r="A38" s="270" t="s">
        <v>264</v>
      </c>
      <c r="B38" s="171">
        <v>3343102</v>
      </c>
      <c r="C38" s="171">
        <v>796605</v>
      </c>
      <c r="D38" s="171">
        <v>378873</v>
      </c>
      <c r="E38" s="171">
        <v>217000</v>
      </c>
      <c r="F38" s="171">
        <v>3350745</v>
      </c>
      <c r="G38" s="171">
        <f>SUM('- 58 -'!$B38:G38,B38:F38)</f>
        <v>28720348</v>
      </c>
    </row>
    <row r="39" spans="1:7" ht="14.1" customHeight="1">
      <c r="A39" s="413" t="s">
        <v>265</v>
      </c>
      <c r="B39" s="411">
        <v>510753</v>
      </c>
      <c r="C39" s="411">
        <v>132889</v>
      </c>
      <c r="D39" s="411">
        <v>74548</v>
      </c>
      <c r="E39" s="411">
        <v>35538</v>
      </c>
      <c r="F39" s="411">
        <v>1043100</v>
      </c>
      <c r="G39" s="411">
        <f>SUM('- 58 -'!$B39:G39,B39:F39)</f>
        <v>5755251</v>
      </c>
    </row>
    <row r="40" spans="1:7" ht="14.1" customHeight="1">
      <c r="A40" s="270" t="s">
        <v>266</v>
      </c>
      <c r="B40" s="171">
        <v>2703018</v>
      </c>
      <c r="C40" s="171">
        <v>661601</v>
      </c>
      <c r="D40" s="171">
        <v>320164</v>
      </c>
      <c r="E40" s="171">
        <v>206375</v>
      </c>
      <c r="F40" s="171">
        <v>4262175</v>
      </c>
      <c r="G40" s="171">
        <f>SUM('- 58 -'!$B40:G40,B40:F40)</f>
        <v>25290403</v>
      </c>
    </row>
    <row r="41" spans="1:7" ht="14.1" customHeight="1">
      <c r="A41" s="413" t="s">
        <v>267</v>
      </c>
      <c r="B41" s="411">
        <v>1457680</v>
      </c>
      <c r="C41" s="411">
        <v>372190</v>
      </c>
      <c r="D41" s="411">
        <v>209968</v>
      </c>
      <c r="E41" s="411">
        <v>94000</v>
      </c>
      <c r="F41" s="411">
        <v>2181105</v>
      </c>
      <c r="G41" s="411">
        <f>SUM('- 58 -'!$B41:G41,B41:F41)</f>
        <v>14550420</v>
      </c>
    </row>
    <row r="42" spans="1:7" ht="14.1" customHeight="1">
      <c r="A42" s="270" t="s">
        <v>268</v>
      </c>
      <c r="B42" s="171">
        <v>515261</v>
      </c>
      <c r="C42" s="171">
        <v>123951</v>
      </c>
      <c r="D42" s="171">
        <v>77092</v>
      </c>
      <c r="E42" s="171">
        <v>35250</v>
      </c>
      <c r="F42" s="171">
        <v>1058490</v>
      </c>
      <c r="G42" s="171">
        <f>SUM('- 58 -'!$B42:G42,B42:F42)</f>
        <v>5326933</v>
      </c>
    </row>
    <row r="43" spans="1:7" ht="14.1" customHeight="1">
      <c r="A43" s="413" t="s">
        <v>269</v>
      </c>
      <c r="B43" s="411">
        <v>311443</v>
      </c>
      <c r="C43" s="411">
        <v>80319</v>
      </c>
      <c r="D43" s="411">
        <v>45057</v>
      </c>
      <c r="E43" s="411">
        <v>23625</v>
      </c>
      <c r="F43" s="411">
        <v>594085</v>
      </c>
      <c r="G43" s="411">
        <f>SUM('- 58 -'!$B43:G43,B43:F43)</f>
        <v>3402242</v>
      </c>
    </row>
    <row r="44" spans="1:7" ht="14.1" customHeight="1">
      <c r="A44" s="270" t="s">
        <v>270</v>
      </c>
      <c r="B44" s="171">
        <v>354683</v>
      </c>
      <c r="C44" s="171">
        <v>61246</v>
      </c>
      <c r="D44" s="171">
        <v>33626</v>
      </c>
      <c r="E44" s="171">
        <v>11000</v>
      </c>
      <c r="F44" s="171">
        <v>581108</v>
      </c>
      <c r="G44" s="171">
        <f>SUM('- 58 -'!$B44:G44,B44:F44)</f>
        <v>2917477</v>
      </c>
    </row>
    <row r="45" spans="1:7" ht="14.1" customHeight="1">
      <c r="A45" s="413" t="s">
        <v>271</v>
      </c>
      <c r="B45" s="411">
        <v>506984</v>
      </c>
      <c r="C45" s="411">
        <v>131553</v>
      </c>
      <c r="D45" s="411">
        <v>73798</v>
      </c>
      <c r="E45" s="411">
        <v>39125</v>
      </c>
      <c r="F45" s="411">
        <v>559170</v>
      </c>
      <c r="G45" s="411">
        <f>SUM('- 58 -'!$B45:G45,B45:F45)</f>
        <v>4725452</v>
      </c>
    </row>
    <row r="46" spans="1:7" ht="14.1" customHeight="1">
      <c r="A46" s="270" t="s">
        <v>272</v>
      </c>
      <c r="B46" s="171">
        <v>15938505</v>
      </c>
      <c r="C46" s="171">
        <v>2399427</v>
      </c>
      <c r="D46" s="171">
        <v>1156692</v>
      </c>
      <c r="E46" s="171">
        <v>713625</v>
      </c>
      <c r="F46" s="171">
        <v>14721390</v>
      </c>
      <c r="G46" s="171">
        <f>SUM('- 58 -'!$B46:G46,B46:F46)</f>
        <v>97669822</v>
      </c>
    </row>
    <row r="47" spans="1:7" ht="5.0999999999999996" customHeight="1">
      <c r="A47" s="148"/>
      <c r="B47" s="172"/>
      <c r="C47" s="172"/>
      <c r="D47" s="172"/>
      <c r="E47" s="172"/>
      <c r="F47" s="172"/>
      <c r="G47" s="172"/>
    </row>
    <row r="48" spans="1:7" ht="14.1" customHeight="1">
      <c r="A48" s="414" t="s">
        <v>273</v>
      </c>
      <c r="B48" s="415">
        <f t="shared" ref="B48:G48" si="0">SUM(B11:B46)</f>
        <v>61344687</v>
      </c>
      <c r="C48" s="415">
        <f t="shared" si="0"/>
        <v>13570390</v>
      </c>
      <c r="D48" s="415">
        <f t="shared" si="0"/>
        <v>6891165</v>
      </c>
      <c r="E48" s="415">
        <f t="shared" si="0"/>
        <v>3792863</v>
      </c>
      <c r="F48" s="415">
        <f t="shared" si="0"/>
        <v>85194388</v>
      </c>
      <c r="G48" s="415">
        <f t="shared" si="0"/>
        <v>534698782</v>
      </c>
    </row>
    <row r="49" spans="1:7" ht="5.0999999999999996" customHeight="1">
      <c r="A49" s="148" t="s">
        <v>18</v>
      </c>
      <c r="B49" s="172"/>
      <c r="C49" s="172"/>
      <c r="D49" s="172"/>
      <c r="E49" s="172"/>
      <c r="F49" s="172"/>
      <c r="G49" s="172"/>
    </row>
    <row r="50" spans="1:7" ht="14.1" customHeight="1">
      <c r="A50" s="270" t="s">
        <v>274</v>
      </c>
      <c r="B50" s="171">
        <v>59081</v>
      </c>
      <c r="C50" s="171">
        <v>15088</v>
      </c>
      <c r="D50" s="171">
        <v>8464</v>
      </c>
      <c r="E50" s="171">
        <v>5250</v>
      </c>
      <c r="F50" s="171">
        <v>240255</v>
      </c>
      <c r="G50" s="171">
        <f>SUM('- 58 -'!$B50:G50,B50:F50)</f>
        <v>622496</v>
      </c>
    </row>
    <row r="51" spans="1:7" ht="14.1" customHeight="1">
      <c r="A51" s="413" t="s">
        <v>275</v>
      </c>
      <c r="B51" s="411">
        <v>0</v>
      </c>
      <c r="C51" s="411">
        <v>0</v>
      </c>
      <c r="D51" s="411">
        <v>0</v>
      </c>
      <c r="E51" s="411">
        <v>0</v>
      </c>
      <c r="F51" s="411">
        <v>0</v>
      </c>
      <c r="G51" s="411">
        <f>SUM('- 58 -'!$B51:G51,B51:F51)</f>
        <v>0</v>
      </c>
    </row>
    <row r="52" spans="1:7" ht="50.1" customHeight="1">
      <c r="A52" s="30"/>
      <c r="B52" s="30"/>
      <c r="C52" s="30"/>
      <c r="D52" s="30"/>
      <c r="E52" s="30"/>
      <c r="F52" s="30"/>
      <c r="G52" s="30"/>
    </row>
    <row r="53" spans="1:7" ht="15" customHeight="1">
      <c r="A53" s="45" t="s">
        <v>535</v>
      </c>
      <c r="B53" s="45"/>
      <c r="D53" s="45"/>
      <c r="E53" s="45"/>
      <c r="F53" s="45"/>
      <c r="G53" s="45"/>
    </row>
    <row r="54" spans="1:7">
      <c r="A54" s="45"/>
    </row>
  </sheetData>
  <phoneticPr fontId="6" type="noConversion"/>
  <pageMargins left="0.5" right="0.5" top="0.6" bottom="0.2" header="0.3" footer="0.5"/>
  <pageSetup scale="90"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sheetPr codeName="Sheet47">
    <pageSetUpPr fitToPage="1"/>
  </sheetPr>
  <dimension ref="A1:F56"/>
  <sheetViews>
    <sheetView showGridLines="0" showZeros="0" workbookViewId="0"/>
  </sheetViews>
  <sheetFormatPr defaultColWidth="19.83203125" defaultRowHeight="12"/>
  <cols>
    <col min="1" max="1" width="29.1640625" style="1" customWidth="1"/>
    <col min="2" max="2" width="22.83203125" style="1" customWidth="1"/>
    <col min="3" max="3" width="17.6640625" style="1" customWidth="1"/>
    <col min="4" max="4" width="18.1640625" style="1" customWidth="1"/>
    <col min="5" max="5" width="20.6640625" style="1" customWidth="1"/>
    <col min="6" max="6" width="23.5" style="1" customWidth="1"/>
    <col min="7" max="7" width="14.83203125" style="1" customWidth="1"/>
    <col min="8" max="16384" width="19.83203125" style="1"/>
  </cols>
  <sheetData>
    <row r="1" spans="1:6" ht="6.95" customHeight="1">
      <c r="A1" s="6"/>
      <c r="B1" s="6"/>
      <c r="C1" s="6"/>
      <c r="D1" s="6"/>
      <c r="E1" s="6"/>
      <c r="F1" s="6"/>
    </row>
    <row r="2" spans="1:6" ht="15.95" customHeight="1">
      <c r="A2" s="300"/>
      <c r="B2" s="233" t="str">
        <f>REVYEAR</f>
        <v>ANALYSIS OF OPERATING FUND REVENUE: 2011/2012 ACTUAL</v>
      </c>
      <c r="C2" s="301"/>
      <c r="D2" s="305"/>
      <c r="E2" s="305"/>
      <c r="F2" s="244" t="s">
        <v>209</v>
      </c>
    </row>
    <row r="3" spans="1:6" ht="15.95" customHeight="1">
      <c r="A3" s="234"/>
      <c r="B3" s="234"/>
      <c r="C3" s="6"/>
      <c r="D3" s="6"/>
      <c r="E3" s="6"/>
      <c r="F3" s="6"/>
    </row>
    <row r="4" spans="1:6" ht="15.95" customHeight="1">
      <c r="B4" s="440" t="str">
        <f>'- 58 -'!B4</f>
        <v>EDUCATION</v>
      </c>
      <c r="C4" s="365"/>
      <c r="D4" s="355"/>
      <c r="E4" s="355"/>
      <c r="F4" s="355"/>
    </row>
    <row r="5" spans="1:6" ht="15.95" customHeight="1">
      <c r="B5" s="441" t="s">
        <v>229</v>
      </c>
      <c r="C5" s="436"/>
      <c r="D5" s="442"/>
      <c r="E5" s="442"/>
      <c r="F5" s="442"/>
    </row>
    <row r="6" spans="1:6" ht="15.95" customHeight="1">
      <c r="B6" s="303" t="s">
        <v>114</v>
      </c>
      <c r="C6" s="48"/>
      <c r="D6" s="48"/>
      <c r="E6" s="47"/>
      <c r="F6" s="189"/>
    </row>
    <row r="7" spans="1:6" ht="15.95" customHeight="1">
      <c r="B7" s="250"/>
      <c r="C7" s="250"/>
      <c r="D7" s="250" t="s">
        <v>440</v>
      </c>
      <c r="E7" s="250" t="s">
        <v>198</v>
      </c>
      <c r="F7" s="250" t="s">
        <v>212</v>
      </c>
    </row>
    <row r="8" spans="1:6" ht="15.95" customHeight="1">
      <c r="A8" s="75"/>
      <c r="B8" s="304" t="s">
        <v>677</v>
      </c>
      <c r="C8" s="252" t="s">
        <v>127</v>
      </c>
      <c r="D8" s="252" t="s">
        <v>429</v>
      </c>
      <c r="E8" s="252" t="s">
        <v>37</v>
      </c>
      <c r="F8" s="252" t="s">
        <v>213</v>
      </c>
    </row>
    <row r="9" spans="1:6" ht="15.95" customHeight="1">
      <c r="A9" s="42" t="s">
        <v>95</v>
      </c>
      <c r="B9" s="313"/>
      <c r="C9" s="94" t="s">
        <v>9</v>
      </c>
      <c r="D9" s="94" t="s">
        <v>99</v>
      </c>
      <c r="E9" s="94" t="s">
        <v>91</v>
      </c>
      <c r="F9" s="94" t="s">
        <v>221</v>
      </c>
    </row>
    <row r="10" spans="1:6" ht="5.0999999999999996" customHeight="1">
      <c r="A10" s="5"/>
      <c r="B10" s="6"/>
      <c r="C10" s="6"/>
      <c r="D10" s="6"/>
      <c r="E10" s="6"/>
    </row>
    <row r="11" spans="1:6" ht="14.1" customHeight="1">
      <c r="A11" s="413" t="s">
        <v>238</v>
      </c>
      <c r="B11" s="411">
        <v>667279</v>
      </c>
      <c r="C11" s="411">
        <v>659135</v>
      </c>
      <c r="D11" s="411">
        <v>105950</v>
      </c>
      <c r="E11" s="411">
        <v>54478</v>
      </c>
      <c r="F11" s="411">
        <v>13000</v>
      </c>
    </row>
    <row r="12" spans="1:6" ht="14.1" customHeight="1">
      <c r="A12" s="270" t="s">
        <v>239</v>
      </c>
      <c r="B12" s="171">
        <v>1313253</v>
      </c>
      <c r="C12" s="171">
        <v>1239622</v>
      </c>
      <c r="D12" s="171">
        <v>137550</v>
      </c>
      <c r="E12" s="171">
        <v>207625</v>
      </c>
      <c r="F12" s="171">
        <v>39000</v>
      </c>
    </row>
    <row r="13" spans="1:6" ht="14.1" customHeight="1">
      <c r="A13" s="413" t="s">
        <v>240</v>
      </c>
      <c r="B13" s="411">
        <v>979941</v>
      </c>
      <c r="C13" s="411">
        <v>3498300</v>
      </c>
      <c r="D13" s="411">
        <v>826250</v>
      </c>
      <c r="E13" s="411">
        <v>585640</v>
      </c>
      <c r="F13" s="411">
        <v>292920</v>
      </c>
    </row>
    <row r="14" spans="1:6" ht="14.1" customHeight="1">
      <c r="A14" s="270" t="s">
        <v>653</v>
      </c>
      <c r="B14" s="171">
        <v>3112808</v>
      </c>
      <c r="C14" s="171">
        <v>2055089</v>
      </c>
      <c r="D14" s="171">
        <v>227500</v>
      </c>
      <c r="E14" s="171">
        <v>24036</v>
      </c>
      <c r="F14" s="171">
        <v>257400</v>
      </c>
    </row>
    <row r="15" spans="1:6" ht="14.1" customHeight="1">
      <c r="A15" s="413" t="s">
        <v>241</v>
      </c>
      <c r="B15" s="411">
        <v>895849</v>
      </c>
      <c r="C15" s="411">
        <v>959818</v>
      </c>
      <c r="D15" s="411">
        <v>17300</v>
      </c>
      <c r="E15" s="411">
        <v>76725</v>
      </c>
      <c r="F15" s="411">
        <v>85000</v>
      </c>
    </row>
    <row r="16" spans="1:6" ht="14.1" customHeight="1">
      <c r="A16" s="270" t="s">
        <v>242</v>
      </c>
      <c r="B16" s="171">
        <v>108651</v>
      </c>
      <c r="C16" s="171">
        <v>595263</v>
      </c>
      <c r="D16" s="171">
        <v>150</v>
      </c>
      <c r="E16" s="171">
        <v>56485</v>
      </c>
      <c r="F16" s="171">
        <v>77000</v>
      </c>
    </row>
    <row r="17" spans="1:6" ht="14.1" customHeight="1">
      <c r="A17" s="413" t="s">
        <v>243</v>
      </c>
      <c r="B17" s="411">
        <v>846464</v>
      </c>
      <c r="C17" s="411">
        <v>747033</v>
      </c>
      <c r="D17" s="411">
        <v>24800</v>
      </c>
      <c r="E17" s="411">
        <v>77605</v>
      </c>
      <c r="F17" s="411">
        <v>13000</v>
      </c>
    </row>
    <row r="18" spans="1:6" ht="14.1" customHeight="1">
      <c r="A18" s="270" t="s">
        <v>244</v>
      </c>
      <c r="B18" s="171">
        <v>1456429</v>
      </c>
      <c r="C18" s="171">
        <v>1988388</v>
      </c>
      <c r="D18" s="171">
        <v>6450</v>
      </c>
      <c r="E18" s="171">
        <v>123036</v>
      </c>
      <c r="F18" s="171">
        <v>636524</v>
      </c>
    </row>
    <row r="19" spans="1:6" ht="14.1" customHeight="1">
      <c r="A19" s="413" t="s">
        <v>245</v>
      </c>
      <c r="B19" s="411">
        <v>1431830</v>
      </c>
      <c r="C19" s="411">
        <v>1722657</v>
      </c>
      <c r="D19" s="411">
        <v>682225</v>
      </c>
      <c r="E19" s="411">
        <v>309485</v>
      </c>
      <c r="F19" s="411">
        <v>6500</v>
      </c>
    </row>
    <row r="20" spans="1:6" ht="14.1" customHeight="1">
      <c r="A20" s="270" t="s">
        <v>246</v>
      </c>
      <c r="B20" s="171">
        <v>2519898</v>
      </c>
      <c r="C20" s="171">
        <v>3647649</v>
      </c>
      <c r="D20" s="171">
        <v>756175</v>
      </c>
      <c r="E20" s="171">
        <v>521923</v>
      </c>
      <c r="F20" s="171">
        <v>78000</v>
      </c>
    </row>
    <row r="21" spans="1:6" ht="14.1" customHeight="1">
      <c r="A21" s="413" t="s">
        <v>247</v>
      </c>
      <c r="B21" s="411">
        <v>1295815</v>
      </c>
      <c r="C21" s="411">
        <v>1525329</v>
      </c>
      <c r="D21" s="411">
        <v>38750</v>
      </c>
      <c r="E21" s="411">
        <v>132083</v>
      </c>
      <c r="F21" s="411">
        <v>91000</v>
      </c>
    </row>
    <row r="22" spans="1:6" ht="14.1" customHeight="1">
      <c r="A22" s="270" t="s">
        <v>248</v>
      </c>
      <c r="B22" s="171">
        <v>304686</v>
      </c>
      <c r="C22" s="171">
        <v>1153472</v>
      </c>
      <c r="D22" s="171">
        <v>6950</v>
      </c>
      <c r="E22" s="171">
        <v>48620</v>
      </c>
      <c r="F22" s="171">
        <v>130000</v>
      </c>
    </row>
    <row r="23" spans="1:6" ht="14.1" customHeight="1">
      <c r="A23" s="413" t="s">
        <v>249</v>
      </c>
      <c r="B23" s="411">
        <v>1044754</v>
      </c>
      <c r="C23" s="411">
        <v>1006417</v>
      </c>
      <c r="D23" s="411">
        <v>15700</v>
      </c>
      <c r="E23" s="411">
        <v>69631</v>
      </c>
      <c r="F23" s="411">
        <v>71500</v>
      </c>
    </row>
    <row r="24" spans="1:6" ht="14.1" customHeight="1">
      <c r="A24" s="270" t="s">
        <v>250</v>
      </c>
      <c r="B24" s="171">
        <v>1783559</v>
      </c>
      <c r="C24" s="171">
        <v>3216302</v>
      </c>
      <c r="D24" s="171">
        <v>15250</v>
      </c>
      <c r="E24" s="171">
        <v>440743</v>
      </c>
      <c r="F24" s="171">
        <v>255000</v>
      </c>
    </row>
    <row r="25" spans="1:6" ht="14.1" customHeight="1">
      <c r="A25" s="413" t="s">
        <v>251</v>
      </c>
      <c r="B25" s="411">
        <v>1177607</v>
      </c>
      <c r="C25" s="411">
        <v>7879871</v>
      </c>
      <c r="D25" s="411">
        <v>730701</v>
      </c>
      <c r="E25" s="411">
        <v>712469</v>
      </c>
      <c r="F25" s="411">
        <v>514957</v>
      </c>
    </row>
    <row r="26" spans="1:6" ht="14.1" customHeight="1">
      <c r="A26" s="270" t="s">
        <v>252</v>
      </c>
      <c r="B26" s="171">
        <v>1614187</v>
      </c>
      <c r="C26" s="171">
        <v>1487388</v>
      </c>
      <c r="D26" s="171">
        <v>10875</v>
      </c>
      <c r="E26" s="171">
        <v>235593</v>
      </c>
      <c r="F26" s="171">
        <v>143500</v>
      </c>
    </row>
    <row r="27" spans="1:6" ht="14.1" customHeight="1">
      <c r="A27" s="413" t="s">
        <v>253</v>
      </c>
      <c r="B27" s="411">
        <v>45609</v>
      </c>
      <c r="C27" s="411">
        <v>1601292</v>
      </c>
      <c r="D27" s="411">
        <v>60845</v>
      </c>
      <c r="E27" s="411">
        <v>227233</v>
      </c>
      <c r="F27" s="411">
        <v>305500</v>
      </c>
    </row>
    <row r="28" spans="1:6" ht="14.1" customHeight="1">
      <c r="A28" s="270" t="s">
        <v>254</v>
      </c>
      <c r="B28" s="171">
        <v>1377851</v>
      </c>
      <c r="C28" s="171">
        <v>687678</v>
      </c>
      <c r="D28" s="171">
        <v>30450</v>
      </c>
      <c r="E28" s="171">
        <v>70840</v>
      </c>
      <c r="F28" s="171">
        <v>64000</v>
      </c>
    </row>
    <row r="29" spans="1:6" ht="14.1" customHeight="1">
      <c r="A29" s="413" t="s">
        <v>255</v>
      </c>
      <c r="B29" s="411">
        <v>792909</v>
      </c>
      <c r="C29" s="411">
        <v>7026332</v>
      </c>
      <c r="D29" s="411">
        <v>1030775</v>
      </c>
      <c r="E29" s="411">
        <v>295433</v>
      </c>
      <c r="F29" s="411">
        <v>206100</v>
      </c>
    </row>
    <row r="30" spans="1:6" ht="14.1" customHeight="1">
      <c r="A30" s="270" t="s">
        <v>256</v>
      </c>
      <c r="B30" s="171">
        <v>755786</v>
      </c>
      <c r="C30" s="171">
        <v>676358</v>
      </c>
      <c r="D30" s="171">
        <v>57200</v>
      </c>
      <c r="E30" s="171">
        <v>36245</v>
      </c>
      <c r="F30" s="171">
        <v>39500</v>
      </c>
    </row>
    <row r="31" spans="1:6" ht="14.1" customHeight="1">
      <c r="A31" s="413" t="s">
        <v>257</v>
      </c>
      <c r="B31" s="411">
        <v>832288</v>
      </c>
      <c r="C31" s="411">
        <v>1934114</v>
      </c>
      <c r="D31" s="411">
        <v>111850</v>
      </c>
      <c r="E31" s="411">
        <v>187220</v>
      </c>
      <c r="F31" s="411">
        <v>232000</v>
      </c>
    </row>
    <row r="32" spans="1:6" ht="14.1" customHeight="1">
      <c r="A32" s="270" t="s">
        <v>258</v>
      </c>
      <c r="B32" s="171">
        <v>1256699</v>
      </c>
      <c r="C32" s="171">
        <v>945714</v>
      </c>
      <c r="D32" s="171">
        <v>107600</v>
      </c>
      <c r="E32" s="171">
        <v>129470</v>
      </c>
      <c r="F32" s="171">
        <v>84500</v>
      </c>
    </row>
    <row r="33" spans="1:6" ht="14.1" customHeight="1">
      <c r="A33" s="413" t="s">
        <v>259</v>
      </c>
      <c r="B33" s="411">
        <v>1443553</v>
      </c>
      <c r="C33" s="411">
        <v>787555</v>
      </c>
      <c r="D33" s="411">
        <v>118850</v>
      </c>
      <c r="E33" s="411">
        <v>85306</v>
      </c>
      <c r="F33" s="411">
        <v>32500</v>
      </c>
    </row>
    <row r="34" spans="1:6" ht="14.1" customHeight="1">
      <c r="A34" s="270" t="s">
        <v>260</v>
      </c>
      <c r="B34" s="171">
        <v>1375184</v>
      </c>
      <c r="C34" s="171">
        <v>1070843</v>
      </c>
      <c r="D34" s="171">
        <v>91825</v>
      </c>
      <c r="E34" s="171">
        <v>90503</v>
      </c>
      <c r="F34" s="171">
        <v>65000</v>
      </c>
    </row>
    <row r="35" spans="1:6" ht="14.1" customHeight="1">
      <c r="A35" s="413" t="s">
        <v>261</v>
      </c>
      <c r="B35" s="411">
        <v>1712685</v>
      </c>
      <c r="C35" s="411">
        <v>8858841</v>
      </c>
      <c r="D35" s="411">
        <v>571075</v>
      </c>
      <c r="E35" s="411">
        <v>1032240</v>
      </c>
      <c r="F35" s="411">
        <v>520000</v>
      </c>
    </row>
    <row r="36" spans="1:6" ht="14.1" customHeight="1">
      <c r="A36" s="270" t="s">
        <v>262</v>
      </c>
      <c r="B36" s="171">
        <v>967097</v>
      </c>
      <c r="C36" s="171">
        <v>846296</v>
      </c>
      <c r="D36" s="171">
        <v>50000</v>
      </c>
      <c r="E36" s="171">
        <v>26455</v>
      </c>
      <c r="F36" s="171">
        <v>59000</v>
      </c>
    </row>
    <row r="37" spans="1:6" ht="14.1" customHeight="1">
      <c r="A37" s="413" t="s">
        <v>263</v>
      </c>
      <c r="B37" s="411">
        <v>1529730</v>
      </c>
      <c r="C37" s="411">
        <v>2684223</v>
      </c>
      <c r="D37" s="411">
        <v>164650</v>
      </c>
      <c r="E37" s="411">
        <v>142506</v>
      </c>
      <c r="F37" s="411">
        <v>169000</v>
      </c>
    </row>
    <row r="38" spans="1:6" ht="14.1" customHeight="1">
      <c r="A38" s="270" t="s">
        <v>264</v>
      </c>
      <c r="B38" s="171">
        <v>1089118</v>
      </c>
      <c r="C38" s="171">
        <v>6560418</v>
      </c>
      <c r="D38" s="171">
        <v>920915</v>
      </c>
      <c r="E38" s="171">
        <v>400951</v>
      </c>
      <c r="F38" s="171">
        <v>267000</v>
      </c>
    </row>
    <row r="39" spans="1:6" ht="14.1" customHeight="1">
      <c r="A39" s="413" t="s">
        <v>265</v>
      </c>
      <c r="B39" s="411">
        <v>1194541</v>
      </c>
      <c r="C39" s="411">
        <v>659574</v>
      </c>
      <c r="D39" s="411">
        <v>45500</v>
      </c>
      <c r="E39" s="411">
        <v>44110</v>
      </c>
      <c r="F39" s="411">
        <v>13000</v>
      </c>
    </row>
    <row r="40" spans="1:6" ht="14.1" customHeight="1">
      <c r="A40" s="270" t="s">
        <v>266</v>
      </c>
      <c r="B40" s="171">
        <v>618644</v>
      </c>
      <c r="C40" s="171">
        <v>5069678</v>
      </c>
      <c r="D40" s="171">
        <v>327100</v>
      </c>
      <c r="E40" s="171">
        <v>712718</v>
      </c>
      <c r="F40" s="171">
        <v>271200</v>
      </c>
    </row>
    <row r="41" spans="1:6" ht="14.1" customHeight="1">
      <c r="A41" s="413" t="s">
        <v>267</v>
      </c>
      <c r="B41" s="411">
        <v>2921931</v>
      </c>
      <c r="C41" s="411">
        <v>3137637</v>
      </c>
      <c r="D41" s="411">
        <v>110125</v>
      </c>
      <c r="E41" s="411">
        <v>179273</v>
      </c>
      <c r="F41" s="411">
        <v>174500</v>
      </c>
    </row>
    <row r="42" spans="1:6" ht="14.1" customHeight="1">
      <c r="A42" s="270" t="s">
        <v>268</v>
      </c>
      <c r="B42" s="171">
        <v>1049441</v>
      </c>
      <c r="C42" s="171">
        <v>1029308</v>
      </c>
      <c r="D42" s="171">
        <v>11400</v>
      </c>
      <c r="E42" s="171">
        <v>192500</v>
      </c>
      <c r="F42" s="171">
        <v>124000</v>
      </c>
    </row>
    <row r="43" spans="1:6" ht="14.1" customHeight="1">
      <c r="A43" s="413" t="s">
        <v>269</v>
      </c>
      <c r="B43" s="411">
        <v>597189</v>
      </c>
      <c r="C43" s="411">
        <v>495509</v>
      </c>
      <c r="D43" s="411">
        <v>45100</v>
      </c>
      <c r="E43" s="411">
        <v>44078</v>
      </c>
      <c r="F43" s="411">
        <v>13000</v>
      </c>
    </row>
    <row r="44" spans="1:6" ht="14.1" customHeight="1">
      <c r="A44" s="270" t="s">
        <v>270</v>
      </c>
      <c r="B44" s="171">
        <v>797467</v>
      </c>
      <c r="C44" s="171">
        <v>588915</v>
      </c>
      <c r="D44" s="171">
        <v>14800</v>
      </c>
      <c r="E44" s="171">
        <v>24393</v>
      </c>
      <c r="F44" s="171">
        <v>91000</v>
      </c>
    </row>
    <row r="45" spans="1:6" ht="14.1" customHeight="1">
      <c r="A45" s="413" t="s">
        <v>271</v>
      </c>
      <c r="B45" s="411">
        <v>501629</v>
      </c>
      <c r="C45" s="411">
        <v>833635</v>
      </c>
      <c r="D45" s="411">
        <v>160600</v>
      </c>
      <c r="E45" s="411">
        <v>107635</v>
      </c>
      <c r="F45" s="411">
        <v>13000</v>
      </c>
    </row>
    <row r="46" spans="1:6" ht="14.1" customHeight="1">
      <c r="A46" s="270" t="s">
        <v>272</v>
      </c>
      <c r="B46" s="171">
        <v>1388368</v>
      </c>
      <c r="C46" s="171">
        <v>16718818</v>
      </c>
      <c r="D46" s="171">
        <v>3542520</v>
      </c>
      <c r="E46" s="171">
        <v>1653603</v>
      </c>
      <c r="F46" s="171">
        <v>2078800</v>
      </c>
    </row>
    <row r="47" spans="1:6" ht="5.0999999999999996" customHeight="1">
      <c r="A47" s="148"/>
      <c r="B47" s="172"/>
      <c r="C47" s="172"/>
      <c r="D47" s="172"/>
      <c r="E47" s="172"/>
      <c r="F47" s="172"/>
    </row>
    <row r="48" spans="1:6" ht="14.1" customHeight="1">
      <c r="A48" s="414" t="s">
        <v>273</v>
      </c>
      <c r="B48" s="415">
        <f>SUM(B11:B46)</f>
        <v>42800729</v>
      </c>
      <c r="C48" s="415">
        <f>SUM(C11:C46)</f>
        <v>95594471</v>
      </c>
      <c r="D48" s="415">
        <f>SUM(D11:D46)</f>
        <v>11175756</v>
      </c>
      <c r="E48" s="415">
        <f>SUM(E11:E46)</f>
        <v>9358889</v>
      </c>
      <c r="F48" s="415">
        <f>SUM(F11:F46)</f>
        <v>7526901</v>
      </c>
    </row>
    <row r="49" spans="1:6" ht="5.0999999999999996" customHeight="1">
      <c r="A49" s="148" t="s">
        <v>18</v>
      </c>
      <c r="B49" s="172"/>
      <c r="C49" s="172"/>
      <c r="D49" s="172"/>
      <c r="E49" s="172"/>
      <c r="F49" s="172"/>
    </row>
    <row r="50" spans="1:6" ht="14.1" customHeight="1">
      <c r="A50" s="270" t="s">
        <v>274</v>
      </c>
      <c r="B50" s="171">
        <v>1305</v>
      </c>
      <c r="C50" s="171">
        <v>130011</v>
      </c>
      <c r="D50" s="171">
        <v>800</v>
      </c>
      <c r="E50" s="171">
        <v>4318</v>
      </c>
      <c r="F50" s="171">
        <v>6500</v>
      </c>
    </row>
    <row r="51" spans="1:6" ht="14.1" customHeight="1">
      <c r="A51" s="413" t="s">
        <v>275</v>
      </c>
      <c r="B51" s="411">
        <v>0</v>
      </c>
      <c r="C51" s="411">
        <v>0</v>
      </c>
      <c r="D51" s="411">
        <v>0</v>
      </c>
      <c r="E51" s="411">
        <v>0</v>
      </c>
      <c r="F51" s="411">
        <v>0</v>
      </c>
    </row>
    <row r="52" spans="1:6" ht="50.1" customHeight="1">
      <c r="A52" s="30"/>
      <c r="B52" s="30"/>
      <c r="C52" s="30"/>
      <c r="D52" s="30"/>
      <c r="E52" s="30"/>
      <c r="F52" s="30"/>
    </row>
    <row r="53" spans="1:6" ht="15" customHeight="1">
      <c r="A53" s="45" t="s">
        <v>647</v>
      </c>
      <c r="B53" s="276"/>
      <c r="C53" s="45"/>
      <c r="D53" s="45"/>
      <c r="E53" s="45"/>
      <c r="F53" s="45"/>
    </row>
    <row r="54" spans="1:6" ht="12" customHeight="1">
      <c r="A54" s="574" t="str">
        <f>"(2)  Includes support for coordinators, clinicians and level 2 and 3 pupils. Note: total special needs support is " &amp;TEXT(C48+'- 59 -'!B48,"$0,000,000")&amp; " (Student Services,"</f>
        <v>(2)  Includes support for coordinators, clinicians and level 2 and 3 pupils. Note: total special needs support is $156,939,158 (Student Services,</v>
      </c>
      <c r="B54" s="45"/>
      <c r="C54" s="45"/>
      <c r="D54" s="45"/>
      <c r="E54" s="45"/>
      <c r="F54" s="306"/>
    </row>
    <row r="55" spans="1:6" ht="12" customHeight="1">
      <c r="A55" s="1" t="s">
        <v>712</v>
      </c>
      <c r="B55" s="45"/>
      <c r="C55" s="45"/>
      <c r="D55" s="45"/>
      <c r="E55" s="45"/>
      <c r="F55" s="45"/>
    </row>
    <row r="56" spans="1:6" ht="14.1" customHeight="1">
      <c r="A56" s="45"/>
      <c r="B56" s="45"/>
      <c r="C56" s="307"/>
      <c r="D56" s="45"/>
      <c r="E56" s="45"/>
      <c r="F56" s="45"/>
    </row>
  </sheetData>
  <phoneticPr fontId="6" type="noConversion"/>
  <pageMargins left="0.5" right="0.5" top="0.6" bottom="0.2" header="0.3" footer="0.5"/>
  <pageSetup scale="89"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sheetPr codeName="Sheet46">
    <pageSetUpPr fitToPage="1"/>
  </sheetPr>
  <dimension ref="A1:F53"/>
  <sheetViews>
    <sheetView showGridLines="0" showZeros="0" workbookViewId="0"/>
  </sheetViews>
  <sheetFormatPr defaultColWidth="19.83203125" defaultRowHeight="12"/>
  <cols>
    <col min="1" max="1" width="34.1640625" style="1" customWidth="1"/>
    <col min="2" max="2" width="18.83203125" style="1" customWidth="1"/>
    <col min="3" max="3" width="19.83203125" style="1" customWidth="1"/>
    <col min="4" max="5" width="19.1640625" style="1" customWidth="1"/>
    <col min="6" max="6" width="17.83203125" style="1" customWidth="1"/>
    <col min="7" max="16384" width="19.83203125" style="1"/>
  </cols>
  <sheetData>
    <row r="1" spans="1:6" ht="6.95" customHeight="1">
      <c r="A1" s="6"/>
      <c r="B1" s="6"/>
      <c r="C1" s="6"/>
      <c r="D1" s="6"/>
      <c r="E1" s="6"/>
      <c r="F1" s="6"/>
    </row>
    <row r="2" spans="1:6" ht="15.95" customHeight="1">
      <c r="A2" s="300"/>
      <c r="B2" s="233" t="str">
        <f>REVYEAR</f>
        <v>ANALYSIS OF OPERATING FUND REVENUE: 2011/2012 ACTUAL</v>
      </c>
      <c r="C2" s="301"/>
      <c r="D2" s="301"/>
      <c r="E2" s="301"/>
      <c r="F2" s="244" t="s">
        <v>210</v>
      </c>
    </row>
    <row r="3" spans="1:6" ht="15.95" customHeight="1">
      <c r="A3" s="234"/>
      <c r="B3" s="6"/>
      <c r="C3" s="6"/>
      <c r="D3" s="6"/>
      <c r="E3" s="6"/>
      <c r="F3" s="6"/>
    </row>
    <row r="4" spans="1:6" ht="15.95" customHeight="1">
      <c r="B4" s="440" t="str">
        <f>'- 58 -'!B4</f>
        <v>EDUCATION</v>
      </c>
      <c r="C4" s="361"/>
      <c r="D4" s="361"/>
      <c r="E4" s="365"/>
      <c r="F4" s="355"/>
    </row>
    <row r="5" spans="1:6" ht="15.95" customHeight="1">
      <c r="B5" s="441" t="s">
        <v>229</v>
      </c>
      <c r="C5" s="439"/>
      <c r="D5" s="439"/>
      <c r="E5" s="436"/>
      <c r="F5" s="442"/>
    </row>
    <row r="6" spans="1:6" ht="15.95" customHeight="1">
      <c r="B6" s="303" t="s">
        <v>114</v>
      </c>
      <c r="C6" s="47"/>
      <c r="D6" s="47"/>
      <c r="E6" s="189"/>
      <c r="F6" s="189"/>
    </row>
    <row r="7" spans="1:6" ht="15.95" customHeight="1">
      <c r="B7" s="250" t="s">
        <v>84</v>
      </c>
      <c r="C7" s="250" t="s">
        <v>205</v>
      </c>
      <c r="D7" s="250" t="s">
        <v>205</v>
      </c>
      <c r="E7" s="40"/>
      <c r="F7" s="250" t="s">
        <v>69</v>
      </c>
    </row>
    <row r="8" spans="1:6" ht="15.95" customHeight="1">
      <c r="A8" s="75"/>
      <c r="B8" s="304" t="s">
        <v>99</v>
      </c>
      <c r="C8" s="252" t="s">
        <v>439</v>
      </c>
      <c r="D8" s="252" t="s">
        <v>215</v>
      </c>
      <c r="E8" s="252" t="s">
        <v>59</v>
      </c>
      <c r="F8" s="252" t="s">
        <v>133</v>
      </c>
    </row>
    <row r="9" spans="1:6" ht="15.95" customHeight="1">
      <c r="A9" s="42" t="s">
        <v>95</v>
      </c>
      <c r="B9" s="53" t="s">
        <v>214</v>
      </c>
      <c r="C9" s="94" t="s">
        <v>155</v>
      </c>
      <c r="D9" s="94" t="s">
        <v>206</v>
      </c>
      <c r="E9" s="94" t="s">
        <v>10</v>
      </c>
      <c r="F9" s="94" t="s">
        <v>151</v>
      </c>
    </row>
    <row r="10" spans="1:6" ht="5.0999999999999996" customHeight="1">
      <c r="A10" s="5"/>
      <c r="B10" s="6"/>
      <c r="C10" s="6"/>
      <c r="D10" s="6"/>
      <c r="E10" s="6"/>
      <c r="F10" s="6"/>
    </row>
    <row r="11" spans="1:6" ht="14.1" customHeight="1">
      <c r="A11" s="413" t="s">
        <v>238</v>
      </c>
      <c r="B11" s="411">
        <v>3672</v>
      </c>
      <c r="C11" s="411">
        <v>17310</v>
      </c>
      <c r="D11" s="411">
        <v>40500</v>
      </c>
      <c r="E11" s="411">
        <v>104080</v>
      </c>
      <c r="F11" s="411">
        <f>SUM('- 60 -'!$B11:F11,B11:E11)</f>
        <v>1665404</v>
      </c>
    </row>
    <row r="12" spans="1:6" ht="14.1" customHeight="1">
      <c r="A12" s="270" t="s">
        <v>239</v>
      </c>
      <c r="B12" s="171">
        <v>22581</v>
      </c>
      <c r="C12" s="171">
        <v>28359</v>
      </c>
      <c r="D12" s="171">
        <v>78300</v>
      </c>
      <c r="E12" s="171">
        <v>163923</v>
      </c>
      <c r="F12" s="171">
        <f>SUM('- 60 -'!$B12:F12,B12:E12)</f>
        <v>3230213</v>
      </c>
    </row>
    <row r="13" spans="1:6" ht="14.1" customHeight="1">
      <c r="A13" s="413" t="s">
        <v>240</v>
      </c>
      <c r="B13" s="411">
        <v>172044</v>
      </c>
      <c r="C13" s="411">
        <v>105102</v>
      </c>
      <c r="D13" s="411">
        <v>314700</v>
      </c>
      <c r="E13" s="411">
        <v>601784</v>
      </c>
      <c r="F13" s="411">
        <f>SUM('- 60 -'!$B13:F13,B13:E13)</f>
        <v>7376681</v>
      </c>
    </row>
    <row r="14" spans="1:6" ht="14.1" customHeight="1">
      <c r="A14" s="270" t="s">
        <v>653</v>
      </c>
      <c r="B14" s="171">
        <v>1355564</v>
      </c>
      <c r="C14" s="171">
        <v>71540</v>
      </c>
      <c r="D14" s="171">
        <v>172350</v>
      </c>
      <c r="E14" s="171">
        <v>272611</v>
      </c>
      <c r="F14" s="171">
        <f>SUM('- 60 -'!$B14:F14,B14:E14)</f>
        <v>7548898</v>
      </c>
    </row>
    <row r="15" spans="1:6" ht="14.1" customHeight="1">
      <c r="A15" s="413" t="s">
        <v>241</v>
      </c>
      <c r="B15" s="411">
        <v>5665</v>
      </c>
      <c r="C15" s="411">
        <v>16324</v>
      </c>
      <c r="D15" s="411">
        <v>47700</v>
      </c>
      <c r="E15" s="411">
        <v>192338</v>
      </c>
      <c r="F15" s="411">
        <f>SUM('- 60 -'!$B15:F15,B15:E15)</f>
        <v>2296719</v>
      </c>
    </row>
    <row r="16" spans="1:6" ht="14.1" customHeight="1">
      <c r="A16" s="270" t="s">
        <v>242</v>
      </c>
      <c r="B16" s="171">
        <v>23623</v>
      </c>
      <c r="C16" s="171">
        <v>12083</v>
      </c>
      <c r="D16" s="171">
        <v>31950</v>
      </c>
      <c r="E16" s="171">
        <v>569723</v>
      </c>
      <c r="F16" s="171">
        <f>SUM('- 60 -'!$B16:F16,B16:E16)</f>
        <v>1474928</v>
      </c>
    </row>
    <row r="17" spans="1:6" ht="14.1" customHeight="1">
      <c r="A17" s="413" t="s">
        <v>243</v>
      </c>
      <c r="B17" s="411">
        <v>2537</v>
      </c>
      <c r="C17" s="411">
        <v>14202</v>
      </c>
      <c r="D17" s="411">
        <v>38700</v>
      </c>
      <c r="E17" s="411">
        <v>113925</v>
      </c>
      <c r="F17" s="411">
        <f>SUM('- 60 -'!$B17:F17,B17:E17)</f>
        <v>1878266</v>
      </c>
    </row>
    <row r="18" spans="1:6" ht="14.1" customHeight="1">
      <c r="A18" s="270" t="s">
        <v>244</v>
      </c>
      <c r="B18" s="171">
        <v>357</v>
      </c>
      <c r="C18" s="171">
        <v>37300</v>
      </c>
      <c r="D18" s="171">
        <v>143700</v>
      </c>
      <c r="E18" s="171">
        <v>2309479</v>
      </c>
      <c r="F18" s="171">
        <f>SUM('- 60 -'!$B18:F18,B18:E18)</f>
        <v>6701663</v>
      </c>
    </row>
    <row r="19" spans="1:6" ht="14.1" customHeight="1">
      <c r="A19" s="413" t="s">
        <v>245</v>
      </c>
      <c r="B19" s="411">
        <v>4266</v>
      </c>
      <c r="C19" s="411">
        <v>59304</v>
      </c>
      <c r="D19" s="411">
        <v>152100</v>
      </c>
      <c r="E19" s="411">
        <v>85920</v>
      </c>
      <c r="F19" s="411">
        <f>SUM('- 60 -'!$B19:F19,B19:E19)</f>
        <v>4454287</v>
      </c>
    </row>
    <row r="20" spans="1:6" ht="14.1" customHeight="1">
      <c r="A20" s="270" t="s">
        <v>246</v>
      </c>
      <c r="B20" s="171">
        <v>30840</v>
      </c>
      <c r="C20" s="171">
        <v>97109</v>
      </c>
      <c r="D20" s="171">
        <v>249750</v>
      </c>
      <c r="E20" s="171">
        <v>285484</v>
      </c>
      <c r="F20" s="171">
        <f>SUM('- 60 -'!$B20:F20,B20:E20)</f>
        <v>8186828</v>
      </c>
    </row>
    <row r="21" spans="1:6" ht="14.1" customHeight="1">
      <c r="A21" s="413" t="s">
        <v>247</v>
      </c>
      <c r="B21" s="411">
        <v>37424</v>
      </c>
      <c r="C21" s="411">
        <v>30916</v>
      </c>
      <c r="D21" s="411">
        <v>89550</v>
      </c>
      <c r="E21" s="411">
        <v>273195</v>
      </c>
      <c r="F21" s="411">
        <f>SUM('- 60 -'!$B21:F21,B21:E21)</f>
        <v>3514062</v>
      </c>
    </row>
    <row r="22" spans="1:6" ht="14.1" customHeight="1">
      <c r="A22" s="270" t="s">
        <v>248</v>
      </c>
      <c r="B22" s="171">
        <v>43353</v>
      </c>
      <c r="C22" s="171">
        <v>22573</v>
      </c>
      <c r="D22" s="171">
        <v>55350</v>
      </c>
      <c r="E22" s="171">
        <v>945028</v>
      </c>
      <c r="F22" s="171">
        <f>SUM('- 60 -'!$B22:F22,B22:E22)</f>
        <v>2710032</v>
      </c>
    </row>
    <row r="23" spans="1:6" ht="14.1" customHeight="1">
      <c r="A23" s="413" t="s">
        <v>249</v>
      </c>
      <c r="B23" s="411">
        <v>5586</v>
      </c>
      <c r="C23" s="411">
        <v>15144</v>
      </c>
      <c r="D23" s="411">
        <v>36900</v>
      </c>
      <c r="E23" s="411">
        <v>202149</v>
      </c>
      <c r="F23" s="411">
        <f>SUM('- 60 -'!$B23:F23,B23:E23)</f>
        <v>2467781</v>
      </c>
    </row>
    <row r="24" spans="1:6" ht="14.1" customHeight="1">
      <c r="A24" s="270" t="s">
        <v>250</v>
      </c>
      <c r="B24" s="171">
        <v>112917</v>
      </c>
      <c r="C24" s="171">
        <v>44827</v>
      </c>
      <c r="D24" s="171">
        <v>177700</v>
      </c>
      <c r="E24" s="171">
        <v>342264</v>
      </c>
      <c r="F24" s="171">
        <f>SUM('- 60 -'!$B24:F24,B24:E24)</f>
        <v>6388562</v>
      </c>
    </row>
    <row r="25" spans="1:6" ht="14.1" customHeight="1">
      <c r="A25" s="413" t="s">
        <v>251</v>
      </c>
      <c r="B25" s="411">
        <v>1057828</v>
      </c>
      <c r="C25" s="411">
        <v>161870</v>
      </c>
      <c r="D25" s="411">
        <v>418500</v>
      </c>
      <c r="E25" s="411">
        <v>655293</v>
      </c>
      <c r="F25" s="411">
        <f>SUM('- 60 -'!$B25:F25,B25:E25)</f>
        <v>13309096</v>
      </c>
    </row>
    <row r="26" spans="1:6" ht="14.1" customHeight="1">
      <c r="A26" s="270" t="s">
        <v>252</v>
      </c>
      <c r="B26" s="171">
        <v>61245</v>
      </c>
      <c r="C26" s="171">
        <v>34930</v>
      </c>
      <c r="D26" s="171">
        <v>156950</v>
      </c>
      <c r="E26" s="171">
        <v>194123</v>
      </c>
      <c r="F26" s="171">
        <f>SUM('- 60 -'!$B26:F26,B26:E26)</f>
        <v>3938791</v>
      </c>
    </row>
    <row r="27" spans="1:6" ht="14.1" customHeight="1">
      <c r="A27" s="413" t="s">
        <v>253</v>
      </c>
      <c r="B27" s="411">
        <v>64247</v>
      </c>
      <c r="C27" s="411">
        <v>38517</v>
      </c>
      <c r="D27" s="411">
        <v>87050</v>
      </c>
      <c r="E27" s="411">
        <v>1575705</v>
      </c>
      <c r="F27" s="411">
        <f>SUM('- 60 -'!$B27:F27,B27:E27)</f>
        <v>4005998</v>
      </c>
    </row>
    <row r="28" spans="1:6" ht="14.1" customHeight="1">
      <c r="A28" s="270" t="s">
        <v>254</v>
      </c>
      <c r="B28" s="171">
        <v>7229</v>
      </c>
      <c r="C28" s="171">
        <v>17556</v>
      </c>
      <c r="D28" s="171">
        <v>51300</v>
      </c>
      <c r="E28" s="171">
        <v>237580</v>
      </c>
      <c r="F28" s="171">
        <f>SUM('- 60 -'!$B28:F28,B28:E28)</f>
        <v>2544484</v>
      </c>
    </row>
    <row r="29" spans="1:6" ht="14.1" customHeight="1">
      <c r="A29" s="413" t="s">
        <v>255</v>
      </c>
      <c r="B29" s="411">
        <v>598471</v>
      </c>
      <c r="C29" s="411">
        <v>133659</v>
      </c>
      <c r="D29" s="411">
        <v>356850</v>
      </c>
      <c r="E29" s="411">
        <v>348944</v>
      </c>
      <c r="F29" s="411">
        <f>SUM('- 60 -'!$B29:F29,B29:E29)</f>
        <v>10789473</v>
      </c>
    </row>
    <row r="30" spans="1:6" ht="14.1" customHeight="1">
      <c r="A30" s="270" t="s">
        <v>256</v>
      </c>
      <c r="B30" s="171">
        <v>4001</v>
      </c>
      <c r="C30" s="171">
        <v>15577</v>
      </c>
      <c r="D30" s="171">
        <v>44100</v>
      </c>
      <c r="E30" s="171">
        <v>160571</v>
      </c>
      <c r="F30" s="171">
        <f>SUM('- 60 -'!$B30:F30,B30:E30)</f>
        <v>1789338</v>
      </c>
    </row>
    <row r="31" spans="1:6" ht="14.1" customHeight="1">
      <c r="A31" s="413" t="s">
        <v>257</v>
      </c>
      <c r="B31" s="411">
        <v>65210</v>
      </c>
      <c r="C31" s="411">
        <v>40320</v>
      </c>
      <c r="D31" s="411">
        <v>100800</v>
      </c>
      <c r="E31" s="411">
        <v>356698</v>
      </c>
      <c r="F31" s="411">
        <f>SUM('- 60 -'!$B31:F31,B31:E31)</f>
        <v>3860500</v>
      </c>
    </row>
    <row r="32" spans="1:6" ht="14.1" customHeight="1">
      <c r="A32" s="270" t="s">
        <v>258</v>
      </c>
      <c r="B32" s="171">
        <v>34548</v>
      </c>
      <c r="C32" s="171">
        <v>25195</v>
      </c>
      <c r="D32" s="171">
        <v>72000</v>
      </c>
      <c r="E32" s="171">
        <v>336499</v>
      </c>
      <c r="F32" s="171">
        <f>SUM('- 60 -'!$B32:F32,B32:E32)</f>
        <v>2992225</v>
      </c>
    </row>
    <row r="33" spans="1:6" ht="14.1" customHeight="1">
      <c r="A33" s="413" t="s">
        <v>259</v>
      </c>
      <c r="B33" s="411">
        <v>24855</v>
      </c>
      <c r="C33" s="411">
        <v>24623</v>
      </c>
      <c r="D33" s="411">
        <v>59850</v>
      </c>
      <c r="E33" s="411">
        <v>475211</v>
      </c>
      <c r="F33" s="411">
        <f>SUM('- 60 -'!$B33:F33,B33:E33)</f>
        <v>3052303</v>
      </c>
    </row>
    <row r="34" spans="1:6" ht="14.1" customHeight="1">
      <c r="A34" s="270" t="s">
        <v>260</v>
      </c>
      <c r="B34" s="171">
        <v>69295</v>
      </c>
      <c r="C34" s="171">
        <v>24006</v>
      </c>
      <c r="D34" s="171">
        <v>58500</v>
      </c>
      <c r="E34" s="171">
        <v>146664</v>
      </c>
      <c r="F34" s="171">
        <f>SUM('- 60 -'!$B34:F34,B34:E34)</f>
        <v>2991820</v>
      </c>
    </row>
    <row r="35" spans="1:6" ht="14.1" customHeight="1">
      <c r="A35" s="413" t="s">
        <v>261</v>
      </c>
      <c r="B35" s="411">
        <v>693005</v>
      </c>
      <c r="C35" s="411">
        <v>160966</v>
      </c>
      <c r="D35" s="411">
        <v>555300</v>
      </c>
      <c r="E35" s="411">
        <v>919976</v>
      </c>
      <c r="F35" s="411">
        <f>SUM('- 60 -'!$B35:F35,B35:E35)</f>
        <v>15024088</v>
      </c>
    </row>
    <row r="36" spans="1:6" ht="14.1" customHeight="1">
      <c r="A36" s="270" t="s">
        <v>262</v>
      </c>
      <c r="B36" s="171">
        <v>4190</v>
      </c>
      <c r="C36" s="171">
        <v>21994</v>
      </c>
      <c r="D36" s="171">
        <v>61650</v>
      </c>
      <c r="E36" s="171">
        <v>316183</v>
      </c>
      <c r="F36" s="171">
        <f>SUM('- 60 -'!$B36:F36,B36:E36)</f>
        <v>2352865</v>
      </c>
    </row>
    <row r="37" spans="1:6" ht="14.1" customHeight="1">
      <c r="A37" s="413" t="s">
        <v>263</v>
      </c>
      <c r="B37" s="411">
        <v>291058</v>
      </c>
      <c r="C37" s="411">
        <v>46845</v>
      </c>
      <c r="D37" s="411">
        <v>129600</v>
      </c>
      <c r="E37" s="411">
        <v>251524</v>
      </c>
      <c r="F37" s="411">
        <f>SUM('- 60 -'!$B37:F37,B37:E37)</f>
        <v>5409136</v>
      </c>
    </row>
    <row r="38" spans="1:6" ht="14.1" customHeight="1">
      <c r="A38" s="270" t="s">
        <v>264</v>
      </c>
      <c r="B38" s="171">
        <v>346726</v>
      </c>
      <c r="C38" s="171">
        <v>107886</v>
      </c>
      <c r="D38" s="171">
        <v>279450</v>
      </c>
      <c r="E38" s="171">
        <v>1044293</v>
      </c>
      <c r="F38" s="171">
        <f>SUM('- 60 -'!$B38:F38,B38:E38)</f>
        <v>11016757</v>
      </c>
    </row>
    <row r="39" spans="1:6" ht="14.1" customHeight="1">
      <c r="A39" s="413" t="s">
        <v>265</v>
      </c>
      <c r="B39" s="411">
        <v>4603</v>
      </c>
      <c r="C39" s="411">
        <v>18006</v>
      </c>
      <c r="D39" s="411">
        <v>51300</v>
      </c>
      <c r="E39" s="411">
        <v>174304</v>
      </c>
      <c r="F39" s="411">
        <f>SUM('- 60 -'!$B39:F39,B39:E39)</f>
        <v>2204938</v>
      </c>
    </row>
    <row r="40" spans="1:6" ht="14.1" customHeight="1">
      <c r="A40" s="270" t="s">
        <v>266</v>
      </c>
      <c r="B40" s="171">
        <v>314546</v>
      </c>
      <c r="C40" s="171">
        <v>92992</v>
      </c>
      <c r="D40" s="171">
        <v>373800</v>
      </c>
      <c r="E40" s="171">
        <v>245000</v>
      </c>
      <c r="F40" s="171">
        <f>SUM('- 60 -'!$B40:F40,B40:E40)</f>
        <v>8025678</v>
      </c>
    </row>
    <row r="41" spans="1:6" ht="14.1" customHeight="1">
      <c r="A41" s="413" t="s">
        <v>267</v>
      </c>
      <c r="B41" s="411">
        <v>149427</v>
      </c>
      <c r="C41" s="411">
        <v>50769</v>
      </c>
      <c r="D41" s="411">
        <v>138150</v>
      </c>
      <c r="E41" s="411">
        <v>221152</v>
      </c>
      <c r="F41" s="411">
        <f>SUM('- 60 -'!$B41:F41,B41:E41)</f>
        <v>7082964</v>
      </c>
    </row>
    <row r="42" spans="1:6" ht="14.1" customHeight="1">
      <c r="A42" s="270" t="s">
        <v>268</v>
      </c>
      <c r="B42" s="171">
        <v>22382</v>
      </c>
      <c r="C42" s="171">
        <v>16937</v>
      </c>
      <c r="D42" s="171">
        <v>48150</v>
      </c>
      <c r="E42" s="171">
        <v>64416</v>
      </c>
      <c r="F42" s="171">
        <f>SUM('- 60 -'!$B42:F42,B42:E42)</f>
        <v>2558534</v>
      </c>
    </row>
    <row r="43" spans="1:6" ht="14.1" customHeight="1">
      <c r="A43" s="413" t="s">
        <v>269</v>
      </c>
      <c r="B43" s="411">
        <v>10372</v>
      </c>
      <c r="C43" s="411">
        <v>13350</v>
      </c>
      <c r="D43" s="411">
        <v>27450</v>
      </c>
      <c r="E43" s="411">
        <v>101350</v>
      </c>
      <c r="F43" s="411">
        <f>SUM('- 60 -'!$B43:F43,B43:E43)</f>
        <v>1347398</v>
      </c>
    </row>
    <row r="44" spans="1:6" ht="14.1" customHeight="1">
      <c r="A44" s="270" t="s">
        <v>270</v>
      </c>
      <c r="B44" s="171">
        <v>12627</v>
      </c>
      <c r="C44" s="171">
        <v>9344</v>
      </c>
      <c r="D44" s="171">
        <v>18900</v>
      </c>
      <c r="E44" s="171">
        <v>194752</v>
      </c>
      <c r="F44" s="171">
        <f>SUM('- 60 -'!$B44:F44,B44:E44)</f>
        <v>1752198</v>
      </c>
    </row>
    <row r="45" spans="1:6" ht="14.1" customHeight="1">
      <c r="A45" s="413" t="s">
        <v>271</v>
      </c>
      <c r="B45" s="411">
        <v>48405</v>
      </c>
      <c r="C45" s="411">
        <v>20378</v>
      </c>
      <c r="D45" s="411">
        <v>49500</v>
      </c>
      <c r="E45" s="411">
        <v>84639</v>
      </c>
      <c r="F45" s="411">
        <f>SUM('- 60 -'!$B45:F45,B45:E45)</f>
        <v>1819421</v>
      </c>
    </row>
    <row r="46" spans="1:6" ht="14.1" customHeight="1">
      <c r="A46" s="270" t="s">
        <v>272</v>
      </c>
      <c r="B46" s="171">
        <v>822655</v>
      </c>
      <c r="C46" s="171">
        <v>407466</v>
      </c>
      <c r="D46" s="171">
        <v>1513000</v>
      </c>
      <c r="E46" s="171">
        <v>2213024</v>
      </c>
      <c r="F46" s="171">
        <f>SUM('- 60 -'!$B46:F46,B46:E46)</f>
        <v>30338254</v>
      </c>
    </row>
    <row r="47" spans="1:6" ht="5.0999999999999996" customHeight="1">
      <c r="A47" s="148"/>
      <c r="B47" s="172"/>
      <c r="C47" s="172"/>
      <c r="D47" s="172"/>
      <c r="E47" s="172"/>
      <c r="F47" s="172"/>
    </row>
    <row r="48" spans="1:6" ht="14.1" customHeight="1">
      <c r="A48" s="414" t="s">
        <v>273</v>
      </c>
      <c r="B48" s="415">
        <f>SUM(B11:B46)</f>
        <v>6527354</v>
      </c>
      <c r="C48" s="415">
        <f>SUM(C11:C46)</f>
        <v>2055279</v>
      </c>
      <c r="D48" s="415">
        <f>SUM(D11:D46)</f>
        <v>6281400</v>
      </c>
      <c r="E48" s="415">
        <f>SUM(E11:E46)</f>
        <v>16779804</v>
      </c>
      <c r="F48" s="415">
        <f>SUM(F11:F46)</f>
        <v>198100583</v>
      </c>
    </row>
    <row r="49" spans="1:6" ht="5.0999999999999996" customHeight="1">
      <c r="A49" s="148" t="s">
        <v>18</v>
      </c>
      <c r="B49" s="172"/>
      <c r="C49" s="172"/>
      <c r="D49" s="172"/>
      <c r="E49" s="172"/>
      <c r="F49" s="172"/>
    </row>
    <row r="50" spans="1:6" ht="14.1" customHeight="1">
      <c r="A50" s="270" t="s">
        <v>274</v>
      </c>
      <c r="B50" s="171">
        <v>886</v>
      </c>
      <c r="C50" s="171">
        <v>6799</v>
      </c>
      <c r="D50" s="171">
        <v>6300</v>
      </c>
      <c r="E50" s="171">
        <v>69948</v>
      </c>
      <c r="F50" s="171">
        <f>SUM('- 60 -'!$B50:F50,B50:E50)</f>
        <v>226867</v>
      </c>
    </row>
    <row r="51" spans="1:6" ht="14.1" customHeight="1">
      <c r="A51" s="413" t="s">
        <v>275</v>
      </c>
      <c r="B51" s="411">
        <v>0</v>
      </c>
      <c r="C51" s="411">
        <v>0</v>
      </c>
      <c r="D51" s="411">
        <v>0</v>
      </c>
      <c r="E51" s="411">
        <v>0</v>
      </c>
      <c r="F51" s="411">
        <f>SUM('- 60 -'!$B51:F51,B51:E51)</f>
        <v>0</v>
      </c>
    </row>
    <row r="52" spans="1:6" ht="50.1" customHeight="1">
      <c r="A52" s="30"/>
      <c r="B52" s="30"/>
      <c r="C52" s="30"/>
      <c r="D52" s="30"/>
      <c r="E52" s="30"/>
      <c r="F52" s="30"/>
    </row>
    <row r="53" spans="1:6" ht="15" customHeight="1">
      <c r="A53" s="45" t="s">
        <v>648</v>
      </c>
      <c r="E53" s="45"/>
      <c r="F53" s="45"/>
    </row>
  </sheetData>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sheetPr codeName="Sheet48">
    <pageSetUpPr fitToPage="1"/>
  </sheetPr>
  <dimension ref="A1:F59"/>
  <sheetViews>
    <sheetView showGridLines="0" showZeros="0" workbookViewId="0"/>
  </sheetViews>
  <sheetFormatPr defaultColWidth="23.83203125" defaultRowHeight="12"/>
  <cols>
    <col min="1" max="1" width="30.1640625" style="1" customWidth="1"/>
    <col min="2" max="2" width="18" style="1" customWidth="1"/>
    <col min="3" max="3" width="18.6640625" style="1" customWidth="1"/>
    <col min="4" max="4" width="18.33203125" style="1" customWidth="1"/>
    <col min="5" max="5" width="18" style="1" customWidth="1"/>
    <col min="6" max="6" width="20.6640625" style="1" customWidth="1"/>
    <col min="7" max="16384" width="23.83203125" style="1"/>
  </cols>
  <sheetData>
    <row r="1" spans="1:6" ht="6.95" customHeight="1">
      <c r="A1" s="6"/>
      <c r="B1" s="6"/>
      <c r="C1" s="6"/>
      <c r="D1" s="6"/>
      <c r="E1" s="6"/>
      <c r="F1" s="6"/>
    </row>
    <row r="2" spans="1:6" ht="15.95" customHeight="1">
      <c r="A2" s="300"/>
      <c r="B2" s="233" t="str">
        <f>REVYEAR</f>
        <v>ANALYSIS OF OPERATING FUND REVENUE: 2011/2012 ACTUAL</v>
      </c>
      <c r="C2" s="233"/>
      <c r="D2" s="233"/>
      <c r="E2" s="301"/>
      <c r="F2" s="244" t="s">
        <v>211</v>
      </c>
    </row>
    <row r="3" spans="1:6" ht="15.95" customHeight="1">
      <c r="A3" s="234"/>
      <c r="B3" s="302"/>
      <c r="C3" s="302"/>
      <c r="D3" s="302"/>
      <c r="E3" s="302"/>
      <c r="F3" s="302"/>
    </row>
    <row r="4" spans="1:6" ht="15.95" customHeight="1"/>
    <row r="5" spans="1:6" ht="15.95" customHeight="1">
      <c r="B5" s="440" t="str">
        <f>'- 58 -'!B4</f>
        <v>EDUCATION</v>
      </c>
      <c r="C5" s="443"/>
      <c r="D5" s="443"/>
      <c r="E5" s="365"/>
      <c r="F5" s="355"/>
    </row>
    <row r="6" spans="1:6" ht="15.95" customHeight="1">
      <c r="B6" s="441" t="s">
        <v>229</v>
      </c>
      <c r="C6" s="444"/>
      <c r="D6" s="444"/>
      <c r="E6" s="436"/>
      <c r="F6" s="442"/>
    </row>
    <row r="7" spans="1:6" ht="15.95" customHeight="1">
      <c r="B7" s="250"/>
      <c r="C7" s="250" t="s">
        <v>429</v>
      </c>
      <c r="D7" s="250"/>
      <c r="E7" s="250" t="s">
        <v>59</v>
      </c>
      <c r="F7" s="249" t="s">
        <v>231</v>
      </c>
    </row>
    <row r="8" spans="1:6" ht="15.95" customHeight="1">
      <c r="A8" s="40"/>
      <c r="B8" s="252" t="s">
        <v>237</v>
      </c>
      <c r="C8" s="252" t="s">
        <v>237</v>
      </c>
      <c r="D8" s="252" t="s">
        <v>536</v>
      </c>
      <c r="E8" s="252" t="s">
        <v>134</v>
      </c>
      <c r="F8" s="251" t="s">
        <v>232</v>
      </c>
    </row>
    <row r="9" spans="1:6" ht="15.95" customHeight="1">
      <c r="A9" s="93" t="s">
        <v>95</v>
      </c>
      <c r="B9" s="94" t="s">
        <v>430</v>
      </c>
      <c r="C9" s="94" t="s">
        <v>431</v>
      </c>
      <c r="D9" s="94" t="s">
        <v>750</v>
      </c>
      <c r="E9" s="94" t="s">
        <v>751</v>
      </c>
      <c r="F9" s="88" t="s">
        <v>752</v>
      </c>
    </row>
    <row r="10" spans="1:6" ht="5.0999999999999996" customHeight="1">
      <c r="A10" s="5"/>
      <c r="B10" s="6"/>
      <c r="C10" s="6"/>
      <c r="D10" s="6"/>
      <c r="E10" s="6"/>
      <c r="F10" s="6"/>
    </row>
    <row r="11" spans="1:6" ht="14.1" customHeight="1">
      <c r="A11" s="413" t="s">
        <v>238</v>
      </c>
      <c r="B11" s="411">
        <v>953613</v>
      </c>
      <c r="C11" s="411">
        <v>0</v>
      </c>
      <c r="D11" s="411">
        <v>11060</v>
      </c>
      <c r="E11" s="411">
        <v>95360</v>
      </c>
      <c r="F11" s="411">
        <v>7562442</v>
      </c>
    </row>
    <row r="12" spans="1:6" ht="14.1" customHeight="1">
      <c r="A12" s="270" t="s">
        <v>239</v>
      </c>
      <c r="B12" s="171">
        <v>3136068</v>
      </c>
      <c r="C12" s="171">
        <v>1575</v>
      </c>
      <c r="D12" s="171">
        <v>191590</v>
      </c>
      <c r="E12" s="171">
        <v>190016</v>
      </c>
      <c r="F12" s="171">
        <v>14190235</v>
      </c>
    </row>
    <row r="13" spans="1:6" ht="14.1" customHeight="1">
      <c r="A13" s="413" t="s">
        <v>240</v>
      </c>
      <c r="B13" s="411">
        <v>5315795</v>
      </c>
      <c r="C13" s="411">
        <v>0</v>
      </c>
      <c r="D13" s="411">
        <v>0</v>
      </c>
      <c r="E13" s="411">
        <v>415475</v>
      </c>
      <c r="F13" s="411">
        <v>35360890</v>
      </c>
    </row>
    <row r="14" spans="1:6" ht="14.1" customHeight="1">
      <c r="A14" s="270" t="s">
        <v>653</v>
      </c>
      <c r="B14" s="171">
        <v>6819009</v>
      </c>
      <c r="C14" s="171">
        <v>0</v>
      </c>
      <c r="D14" s="171">
        <v>0</v>
      </c>
      <c r="E14" s="171">
        <v>226856</v>
      </c>
      <c r="F14" s="171">
        <v>30217561</v>
      </c>
    </row>
    <row r="15" spans="1:6" ht="14.1" customHeight="1">
      <c r="A15" s="413" t="s">
        <v>241</v>
      </c>
      <c r="B15" s="411">
        <v>0</v>
      </c>
      <c r="C15" s="411">
        <v>0</v>
      </c>
      <c r="D15" s="411">
        <v>681990</v>
      </c>
      <c r="E15" s="411">
        <v>83900</v>
      </c>
      <c r="F15" s="411">
        <v>8165854</v>
      </c>
    </row>
    <row r="16" spans="1:6" ht="14.1" customHeight="1">
      <c r="A16" s="270" t="s">
        <v>242</v>
      </c>
      <c r="B16" s="171">
        <v>2457641</v>
      </c>
      <c r="C16" s="171">
        <v>208582</v>
      </c>
      <c r="D16" s="171">
        <v>0</v>
      </c>
      <c r="E16" s="171">
        <v>54660</v>
      </c>
      <c r="F16" s="171">
        <v>7393486</v>
      </c>
    </row>
    <row r="17" spans="1:6" ht="14.1" customHeight="1">
      <c r="A17" s="413" t="s">
        <v>243</v>
      </c>
      <c r="B17" s="411">
        <v>31281</v>
      </c>
      <c r="C17" s="411">
        <v>0</v>
      </c>
      <c r="D17" s="411">
        <v>829664</v>
      </c>
      <c r="E17" s="411">
        <v>108320</v>
      </c>
      <c r="F17" s="411">
        <v>7418368</v>
      </c>
    </row>
    <row r="18" spans="1:6" ht="14.1" customHeight="1">
      <c r="A18" s="270" t="s">
        <v>244</v>
      </c>
      <c r="B18" s="171">
        <v>10695737</v>
      </c>
      <c r="C18" s="171">
        <v>4758592</v>
      </c>
      <c r="D18" s="171">
        <v>520363</v>
      </c>
      <c r="E18" s="171">
        <v>383250</v>
      </c>
      <c r="F18" s="171">
        <v>35499407</v>
      </c>
    </row>
    <row r="19" spans="1:6" ht="14.1" customHeight="1">
      <c r="A19" s="413" t="s">
        <v>245</v>
      </c>
      <c r="B19" s="411">
        <v>5509796</v>
      </c>
      <c r="C19" s="411">
        <v>0</v>
      </c>
      <c r="D19" s="411">
        <v>129716</v>
      </c>
      <c r="E19" s="411">
        <v>100320</v>
      </c>
      <c r="F19" s="411">
        <v>22325823</v>
      </c>
    </row>
    <row r="20" spans="1:6" ht="14.1" customHeight="1">
      <c r="A20" s="270" t="s">
        <v>246</v>
      </c>
      <c r="B20" s="171">
        <v>9444653</v>
      </c>
      <c r="C20" s="171">
        <v>0</v>
      </c>
      <c r="D20" s="171">
        <v>0</v>
      </c>
      <c r="E20" s="171">
        <v>234560</v>
      </c>
      <c r="F20" s="171">
        <v>39172720</v>
      </c>
    </row>
    <row r="21" spans="1:6" ht="14.1" customHeight="1">
      <c r="A21" s="413" t="s">
        <v>247</v>
      </c>
      <c r="B21" s="411">
        <v>2812446</v>
      </c>
      <c r="C21" s="411">
        <v>0</v>
      </c>
      <c r="D21" s="411">
        <v>1089321</v>
      </c>
      <c r="E21" s="411">
        <v>157920</v>
      </c>
      <c r="F21" s="411">
        <v>17094572</v>
      </c>
    </row>
    <row r="22" spans="1:6" ht="14.1" customHeight="1">
      <c r="A22" s="270" t="s">
        <v>248</v>
      </c>
      <c r="B22" s="171">
        <v>3456996</v>
      </c>
      <c r="C22" s="171">
        <v>970692</v>
      </c>
      <c r="D22" s="171">
        <v>0</v>
      </c>
      <c r="E22" s="171">
        <v>79340</v>
      </c>
      <c r="F22" s="171">
        <v>12390374</v>
      </c>
    </row>
    <row r="23" spans="1:6" ht="14.1" customHeight="1">
      <c r="A23" s="413" t="s">
        <v>249</v>
      </c>
      <c r="B23" s="411">
        <v>1769925</v>
      </c>
      <c r="C23" s="411">
        <v>419953</v>
      </c>
      <c r="D23" s="411">
        <v>99416</v>
      </c>
      <c r="E23" s="411">
        <v>102474</v>
      </c>
      <c r="F23" s="411">
        <v>8983385</v>
      </c>
    </row>
    <row r="24" spans="1:6" ht="14.1" customHeight="1">
      <c r="A24" s="270" t="s">
        <v>250</v>
      </c>
      <c r="B24" s="171">
        <v>2887804</v>
      </c>
      <c r="C24" s="171">
        <v>0</v>
      </c>
      <c r="D24" s="171">
        <v>965952</v>
      </c>
      <c r="E24" s="171">
        <v>255658</v>
      </c>
      <c r="F24" s="171">
        <v>24007890</v>
      </c>
    </row>
    <row r="25" spans="1:6" ht="14.1" customHeight="1">
      <c r="A25" s="413" t="s">
        <v>251</v>
      </c>
      <c r="B25" s="411">
        <v>12677640</v>
      </c>
      <c r="C25" s="411">
        <v>0</v>
      </c>
      <c r="D25" s="411">
        <v>2853701</v>
      </c>
      <c r="E25" s="411">
        <v>747915</v>
      </c>
      <c r="F25" s="411">
        <v>71590854</v>
      </c>
    </row>
    <row r="26" spans="1:6" ht="14.1" customHeight="1">
      <c r="A26" s="270" t="s">
        <v>252</v>
      </c>
      <c r="B26" s="171">
        <v>4511124</v>
      </c>
      <c r="C26" s="171">
        <v>719357</v>
      </c>
      <c r="D26" s="171">
        <v>175222</v>
      </c>
      <c r="E26" s="171">
        <v>313802</v>
      </c>
      <c r="F26" s="171">
        <v>20386513</v>
      </c>
    </row>
    <row r="27" spans="1:6" ht="14.1" customHeight="1">
      <c r="A27" s="413" t="s">
        <v>253</v>
      </c>
      <c r="B27" s="411">
        <v>8054275</v>
      </c>
      <c r="C27" s="411">
        <v>3841201</v>
      </c>
      <c r="D27" s="411">
        <v>1859186</v>
      </c>
      <c r="E27" s="411">
        <v>116360</v>
      </c>
      <c r="F27" s="411">
        <v>26609893</v>
      </c>
    </row>
    <row r="28" spans="1:6" ht="14.1" customHeight="1">
      <c r="A28" s="270" t="s">
        <v>254</v>
      </c>
      <c r="B28" s="171">
        <v>1116272</v>
      </c>
      <c r="C28" s="171">
        <v>0</v>
      </c>
      <c r="D28" s="171">
        <v>845990</v>
      </c>
      <c r="E28" s="171">
        <v>146520</v>
      </c>
      <c r="F28" s="171">
        <v>10728551</v>
      </c>
    </row>
    <row r="29" spans="1:6" ht="14.1" customHeight="1">
      <c r="A29" s="413" t="s">
        <v>255</v>
      </c>
      <c r="B29" s="411">
        <v>3019464</v>
      </c>
      <c r="C29" s="411">
        <v>0</v>
      </c>
      <c r="D29" s="411">
        <v>3601987</v>
      </c>
      <c r="E29" s="411">
        <v>414220</v>
      </c>
      <c r="F29" s="411">
        <v>53959132</v>
      </c>
    </row>
    <row r="30" spans="1:6" ht="14.1" customHeight="1">
      <c r="A30" s="270" t="s">
        <v>256</v>
      </c>
      <c r="B30" s="171">
        <v>1206750</v>
      </c>
      <c r="C30" s="171">
        <v>0</v>
      </c>
      <c r="D30" s="171">
        <v>384452</v>
      </c>
      <c r="E30" s="171">
        <v>99615</v>
      </c>
      <c r="F30" s="171">
        <v>7546246</v>
      </c>
    </row>
    <row r="31" spans="1:6" ht="14.1" customHeight="1">
      <c r="A31" s="413" t="s">
        <v>257</v>
      </c>
      <c r="B31" s="411">
        <v>2453073</v>
      </c>
      <c r="C31" s="411">
        <v>0</v>
      </c>
      <c r="D31" s="411">
        <v>698006</v>
      </c>
      <c r="E31" s="411">
        <v>223559</v>
      </c>
      <c r="F31" s="411">
        <v>17018237</v>
      </c>
    </row>
    <row r="32" spans="1:6" ht="14.1" customHeight="1">
      <c r="A32" s="270" t="s">
        <v>258</v>
      </c>
      <c r="B32" s="171">
        <v>919722</v>
      </c>
      <c r="C32" s="171">
        <v>0</v>
      </c>
      <c r="D32" s="171">
        <v>913249</v>
      </c>
      <c r="E32" s="171">
        <v>157890</v>
      </c>
      <c r="F32" s="171">
        <v>12233706</v>
      </c>
    </row>
    <row r="33" spans="1:6" ht="14.1" customHeight="1">
      <c r="A33" s="413" t="s">
        <v>259</v>
      </c>
      <c r="B33" s="411">
        <v>1514633</v>
      </c>
      <c r="C33" s="411">
        <v>0</v>
      </c>
      <c r="D33" s="411">
        <v>1392722</v>
      </c>
      <c r="E33" s="411">
        <v>199614</v>
      </c>
      <c r="F33" s="411">
        <v>14154335</v>
      </c>
    </row>
    <row r="34" spans="1:6" ht="14.1" customHeight="1">
      <c r="A34" s="270" t="s">
        <v>260</v>
      </c>
      <c r="B34" s="171">
        <v>1126175</v>
      </c>
      <c r="C34" s="171">
        <v>0</v>
      </c>
      <c r="D34" s="171">
        <v>254842</v>
      </c>
      <c r="E34" s="171">
        <v>179413</v>
      </c>
      <c r="F34" s="171">
        <v>11691401</v>
      </c>
    </row>
    <row r="35" spans="1:6" ht="14.1" customHeight="1">
      <c r="A35" s="413" t="s">
        <v>261</v>
      </c>
      <c r="B35" s="411">
        <v>19290159</v>
      </c>
      <c r="C35" s="411">
        <v>3036165</v>
      </c>
      <c r="D35" s="411">
        <v>3557704</v>
      </c>
      <c r="E35" s="411">
        <v>724127</v>
      </c>
      <c r="F35" s="411">
        <v>89376140</v>
      </c>
    </row>
    <row r="36" spans="1:6" ht="14.1" customHeight="1">
      <c r="A36" s="270" t="s">
        <v>262</v>
      </c>
      <c r="B36" s="171">
        <v>929954</v>
      </c>
      <c r="C36" s="171">
        <v>0</v>
      </c>
      <c r="D36" s="171">
        <v>801870</v>
      </c>
      <c r="E36" s="171">
        <v>148540</v>
      </c>
      <c r="F36" s="171">
        <v>10195989</v>
      </c>
    </row>
    <row r="37" spans="1:6" ht="14.1" customHeight="1">
      <c r="A37" s="413" t="s">
        <v>263</v>
      </c>
      <c r="B37" s="411">
        <v>5496409</v>
      </c>
      <c r="C37" s="411">
        <v>0</v>
      </c>
      <c r="D37" s="411">
        <v>133076</v>
      </c>
      <c r="E37" s="411">
        <v>146760</v>
      </c>
      <c r="F37" s="411">
        <v>22680925</v>
      </c>
    </row>
    <row r="38" spans="1:6" ht="14.1" customHeight="1">
      <c r="A38" s="270" t="s">
        <v>264</v>
      </c>
      <c r="B38" s="171">
        <v>13989911</v>
      </c>
      <c r="C38" s="171">
        <v>4111702</v>
      </c>
      <c r="D38" s="171">
        <v>0</v>
      </c>
      <c r="E38" s="171">
        <v>308260</v>
      </c>
      <c r="F38" s="171">
        <v>58146978</v>
      </c>
    </row>
    <row r="39" spans="1:6" ht="14.1" customHeight="1">
      <c r="A39" s="413" t="s">
        <v>265</v>
      </c>
      <c r="B39" s="411">
        <v>142793</v>
      </c>
      <c r="C39" s="411">
        <v>0</v>
      </c>
      <c r="D39" s="411">
        <v>946696</v>
      </c>
      <c r="E39" s="411">
        <v>111400</v>
      </c>
      <c r="F39" s="411">
        <v>9161078</v>
      </c>
    </row>
    <row r="40" spans="1:6" ht="14.1" customHeight="1">
      <c r="A40" s="270" t="s">
        <v>266</v>
      </c>
      <c r="B40" s="171">
        <v>2204739</v>
      </c>
      <c r="C40" s="171">
        <v>0</v>
      </c>
      <c r="D40" s="171">
        <v>2832675</v>
      </c>
      <c r="E40" s="171">
        <v>477746</v>
      </c>
      <c r="F40" s="171">
        <v>38831241</v>
      </c>
    </row>
    <row r="41" spans="1:6" ht="14.1" customHeight="1">
      <c r="A41" s="413" t="s">
        <v>267</v>
      </c>
      <c r="B41" s="411">
        <v>2804524</v>
      </c>
      <c r="C41" s="411">
        <v>0</v>
      </c>
      <c r="D41" s="411">
        <v>1006212</v>
      </c>
      <c r="E41" s="411">
        <v>132957</v>
      </c>
      <c r="F41" s="411">
        <v>25577077</v>
      </c>
    </row>
    <row r="42" spans="1:6" ht="14.1" customHeight="1">
      <c r="A42" s="270" t="s">
        <v>268</v>
      </c>
      <c r="B42" s="171">
        <v>2658777</v>
      </c>
      <c r="C42" s="171">
        <v>557431</v>
      </c>
      <c r="D42" s="171">
        <v>256824</v>
      </c>
      <c r="E42" s="171">
        <v>204680</v>
      </c>
      <c r="F42" s="171">
        <v>11563179</v>
      </c>
    </row>
    <row r="43" spans="1:6" ht="14.1" customHeight="1">
      <c r="A43" s="413" t="s">
        <v>269</v>
      </c>
      <c r="B43" s="411">
        <v>539830</v>
      </c>
      <c r="C43" s="411">
        <v>0</v>
      </c>
      <c r="D43" s="411">
        <v>679786</v>
      </c>
      <c r="E43" s="411">
        <v>60920.000000000146</v>
      </c>
      <c r="F43" s="411">
        <v>6030176</v>
      </c>
    </row>
    <row r="44" spans="1:6" ht="14.1" customHeight="1">
      <c r="A44" s="270" t="s">
        <v>270</v>
      </c>
      <c r="B44" s="171">
        <v>1327145</v>
      </c>
      <c r="C44" s="171">
        <v>434059</v>
      </c>
      <c r="D44" s="171">
        <v>129932</v>
      </c>
      <c r="E44" s="171">
        <v>69450</v>
      </c>
      <c r="F44" s="171">
        <v>6630261</v>
      </c>
    </row>
    <row r="45" spans="1:6" ht="14.1" customHeight="1">
      <c r="A45" s="413" t="s">
        <v>271</v>
      </c>
      <c r="B45" s="411">
        <v>1780670</v>
      </c>
      <c r="C45" s="411">
        <v>0</v>
      </c>
      <c r="D45" s="411">
        <v>50875</v>
      </c>
      <c r="E45" s="411">
        <v>46380</v>
      </c>
      <c r="F45" s="411">
        <v>8422798</v>
      </c>
    </row>
    <row r="46" spans="1:6" ht="14.1" customHeight="1">
      <c r="A46" s="270" t="s">
        <v>272</v>
      </c>
      <c r="B46" s="171">
        <v>36250001</v>
      </c>
      <c r="C46" s="171">
        <v>4863665</v>
      </c>
      <c r="D46" s="171">
        <v>5105930</v>
      </c>
      <c r="E46" s="171">
        <v>1397447</v>
      </c>
      <c r="F46" s="171">
        <v>175625119</v>
      </c>
    </row>
    <row r="47" spans="1:6" ht="5.0999999999999996" customHeight="1">
      <c r="A47" s="148"/>
      <c r="B47" s="172"/>
      <c r="C47" s="172"/>
      <c r="D47" s="172"/>
      <c r="E47" s="172"/>
      <c r="F47" s="172"/>
    </row>
    <row r="48" spans="1:6" ht="14.1" customHeight="1">
      <c r="A48" s="414" t="s">
        <v>273</v>
      </c>
      <c r="B48" s="415">
        <f>SUM(B11:B46)</f>
        <v>179304804</v>
      </c>
      <c r="C48" s="415">
        <f>SUM(C11:C46)</f>
        <v>23922974</v>
      </c>
      <c r="D48" s="415">
        <f>SUM(D11:D46)</f>
        <v>33000009</v>
      </c>
      <c r="E48" s="415">
        <f>SUM(E11:E46)</f>
        <v>8915684</v>
      </c>
      <c r="F48" s="415">
        <f>SUM(F11:F46)</f>
        <v>977942836</v>
      </c>
    </row>
    <row r="49" spans="1:6" ht="5.0999999999999996" customHeight="1">
      <c r="A49" s="148" t="s">
        <v>18</v>
      </c>
      <c r="B49" s="172"/>
      <c r="C49" s="172"/>
      <c r="D49" s="172"/>
      <c r="E49" s="172"/>
      <c r="F49" s="172"/>
    </row>
    <row r="50" spans="1:6" ht="14.1" customHeight="1">
      <c r="A50" s="270" t="s">
        <v>274</v>
      </c>
      <c r="B50" s="171">
        <v>0</v>
      </c>
      <c r="C50" s="171">
        <v>0</v>
      </c>
      <c r="D50" s="171">
        <v>81778</v>
      </c>
      <c r="E50" s="171">
        <v>0</v>
      </c>
      <c r="F50" s="171">
        <v>931141</v>
      </c>
    </row>
    <row r="51" spans="1:6" ht="14.1" customHeight="1">
      <c r="A51" s="413" t="s">
        <v>275</v>
      </c>
      <c r="B51" s="411">
        <v>0</v>
      </c>
      <c r="C51" s="411">
        <v>0</v>
      </c>
      <c r="D51" s="411">
        <v>0</v>
      </c>
      <c r="E51" s="411">
        <v>22569</v>
      </c>
      <c r="F51" s="411">
        <v>22569</v>
      </c>
    </row>
    <row r="52" spans="1:6" ht="50.1" customHeight="1">
      <c r="A52" s="30"/>
      <c r="B52" s="30"/>
      <c r="C52" s="30"/>
      <c r="D52" s="30"/>
      <c r="E52" s="30"/>
      <c r="F52" s="30"/>
    </row>
    <row r="53" spans="1:6" ht="15" customHeight="1">
      <c r="A53" s="33" t="s">
        <v>604</v>
      </c>
      <c r="B53" s="45"/>
      <c r="C53" s="45"/>
      <c r="D53" s="45"/>
      <c r="E53" s="45"/>
      <c r="F53" s="45"/>
    </row>
    <row r="54" spans="1:6" ht="12" customHeight="1">
      <c r="A54" s="148" t="s">
        <v>606</v>
      </c>
      <c r="B54" s="45"/>
      <c r="C54" s="45"/>
      <c r="D54" s="45"/>
      <c r="E54" s="45"/>
      <c r="F54" s="45"/>
    </row>
    <row r="55" spans="1:6">
      <c r="A55" s="33" t="s">
        <v>605</v>
      </c>
    </row>
    <row r="56" spans="1:6">
      <c r="A56" s="33" t="s">
        <v>607</v>
      </c>
    </row>
    <row r="57" spans="1:6">
      <c r="A57" s="31" t="s">
        <v>753</v>
      </c>
    </row>
    <row r="58" spans="1:6">
      <c r="A58" s="31" t="s">
        <v>754</v>
      </c>
    </row>
    <row r="59" spans="1:6">
      <c r="A59" s="1" t="s">
        <v>755</v>
      </c>
    </row>
  </sheetData>
  <phoneticPr fontId="6" type="noConversion"/>
  <pageMargins left="0.5" right="0.5" top="0.6" bottom="0.2" header="0.3" footer="0.5"/>
  <pageSetup scale="91"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sheetPr codeName="Sheet611">
    <pageSetUpPr fitToPage="1"/>
  </sheetPr>
  <dimension ref="A1:K64"/>
  <sheetViews>
    <sheetView showGridLines="0" showZeros="0" workbookViewId="0"/>
  </sheetViews>
  <sheetFormatPr defaultColWidth="14.83203125" defaultRowHeight="12"/>
  <cols>
    <col min="1" max="1" width="27.83203125" style="1" customWidth="1"/>
    <col min="2" max="2" width="17.6640625" style="1" customWidth="1"/>
    <col min="3" max="3" width="19" style="1" customWidth="1"/>
    <col min="4" max="4" width="20.33203125" style="1" customWidth="1"/>
    <col min="5" max="5" width="17.83203125" style="1" customWidth="1"/>
    <col min="6" max="6" width="18.5" style="1" customWidth="1"/>
    <col min="7" max="7" width="17.6640625" style="1" customWidth="1"/>
    <col min="8" max="8" width="14.83203125" style="1" hidden="1" customWidth="1"/>
    <col min="9" max="16384" width="14.83203125" style="1"/>
  </cols>
  <sheetData>
    <row r="1" spans="1:9" ht="6.95" customHeight="1">
      <c r="A1" s="6"/>
      <c r="B1" s="7"/>
      <c r="C1" s="7"/>
      <c r="D1" s="7"/>
    </row>
    <row r="2" spans="1:9" ht="18" customHeight="1">
      <c r="A2" s="285"/>
      <c r="B2" s="716" t="s">
        <v>526</v>
      </c>
      <c r="C2" s="716"/>
      <c r="D2" s="716"/>
      <c r="E2" s="618" t="str">
        <f>Data!B5&amp; " ACTUAL"</f>
        <v>2011/12 ACTUAL</v>
      </c>
      <c r="F2" s="618"/>
      <c r="G2" s="473" t="s">
        <v>22</v>
      </c>
    </row>
    <row r="3" spans="1:9" ht="3.95" customHeight="1">
      <c r="A3" s="286"/>
      <c r="B3" s="287"/>
      <c r="C3" s="287"/>
      <c r="D3" s="287"/>
      <c r="E3" s="287"/>
      <c r="F3" s="287"/>
      <c r="G3" s="296"/>
    </row>
    <row r="4" spans="1:9" ht="14.1" customHeight="1">
      <c r="A4" s="297"/>
      <c r="B4" s="445" t="s">
        <v>464</v>
      </c>
      <c r="C4" s="446"/>
      <c r="D4" s="446"/>
      <c r="E4" s="446"/>
      <c r="F4" s="446"/>
      <c r="G4" s="447"/>
    </row>
    <row r="5" spans="1:9" ht="12.95" customHeight="1">
      <c r="A5" s="298"/>
      <c r="B5" s="291"/>
      <c r="C5" s="291"/>
      <c r="D5" s="291"/>
      <c r="E5" s="291"/>
      <c r="F5" s="291" t="s">
        <v>369</v>
      </c>
      <c r="G5" s="291"/>
    </row>
    <row r="6" spans="1:9" ht="12.95" customHeight="1">
      <c r="A6" s="289"/>
      <c r="B6" s="291"/>
      <c r="C6" s="291"/>
      <c r="D6" s="291"/>
      <c r="E6" s="291"/>
      <c r="F6" s="291" t="s">
        <v>370</v>
      </c>
      <c r="G6" s="291"/>
    </row>
    <row r="7" spans="1:9" ht="12.95" customHeight="1">
      <c r="A7" s="289"/>
      <c r="B7" s="291"/>
      <c r="C7" s="291" t="s">
        <v>371</v>
      </c>
      <c r="D7" s="291"/>
      <c r="E7" s="291"/>
      <c r="F7" s="291" t="s">
        <v>188</v>
      </c>
      <c r="G7" s="291"/>
    </row>
    <row r="8" spans="1:9" ht="12.95" customHeight="1">
      <c r="A8" s="289"/>
      <c r="B8" s="291"/>
      <c r="C8" s="291" t="s">
        <v>372</v>
      </c>
      <c r="D8" s="291"/>
      <c r="E8" s="291" t="s">
        <v>373</v>
      </c>
      <c r="F8" s="291" t="s">
        <v>374</v>
      </c>
      <c r="G8" s="291"/>
    </row>
    <row r="9" spans="1:9" ht="12.95" customHeight="1">
      <c r="A9" s="289"/>
      <c r="B9" s="291" t="s">
        <v>193</v>
      </c>
      <c r="C9" s="291" t="s">
        <v>155</v>
      </c>
      <c r="D9" s="291" t="s">
        <v>38</v>
      </c>
      <c r="E9" s="291" t="s">
        <v>67</v>
      </c>
      <c r="F9" s="291" t="s">
        <v>375</v>
      </c>
      <c r="G9" s="291" t="s">
        <v>69</v>
      </c>
    </row>
    <row r="10" spans="1:9" ht="12.95" customHeight="1">
      <c r="A10" s="20"/>
      <c r="B10" s="291" t="s">
        <v>376</v>
      </c>
      <c r="C10" s="291" t="s">
        <v>377</v>
      </c>
      <c r="D10" s="291" t="s">
        <v>378</v>
      </c>
      <c r="E10" s="291" t="s">
        <v>379</v>
      </c>
      <c r="F10" s="291" t="s">
        <v>380</v>
      </c>
      <c r="G10" s="291" t="s">
        <v>381</v>
      </c>
    </row>
    <row r="11" spans="1:9" ht="12.95" customHeight="1">
      <c r="A11" s="22" t="s">
        <v>95</v>
      </c>
      <c r="B11" s="314" t="s">
        <v>357</v>
      </c>
      <c r="C11" s="314" t="s">
        <v>382</v>
      </c>
      <c r="D11" s="314" t="s">
        <v>383</v>
      </c>
      <c r="E11" s="314" t="s">
        <v>11</v>
      </c>
      <c r="F11" s="501" t="s">
        <v>279</v>
      </c>
      <c r="G11" s="501" t="s">
        <v>279</v>
      </c>
    </row>
    <row r="12" spans="1:9" ht="5.0999999999999996" customHeight="1">
      <c r="A12" s="25"/>
      <c r="C12" s="284"/>
      <c r="D12" s="236"/>
      <c r="E12" s="6"/>
    </row>
    <row r="13" spans="1:9" ht="13.5" customHeight="1">
      <c r="A13" s="413" t="s">
        <v>238</v>
      </c>
      <c r="B13" s="411">
        <v>554877</v>
      </c>
      <c r="C13" s="411">
        <v>0</v>
      </c>
      <c r="D13" s="411">
        <v>62129</v>
      </c>
      <c r="E13" s="411">
        <f>'- 32 -'!B11</f>
        <v>49264</v>
      </c>
      <c r="F13" s="411">
        <f>-Data!L11-Data!M11</f>
        <v>-16554</v>
      </c>
      <c r="G13" s="411">
        <f>SUM(B13:F13)</f>
        <v>649716</v>
      </c>
      <c r="H13" s="411">
        <v>649716</v>
      </c>
      <c r="I13" s="1">
        <f t="shared" ref="I13:I48" si="0">G13-H13</f>
        <v>0</v>
      </c>
    </row>
    <row r="14" spans="1:9" ht="13.5" customHeight="1">
      <c r="A14" s="270" t="s">
        <v>239</v>
      </c>
      <c r="B14" s="171">
        <v>852004</v>
      </c>
      <c r="C14" s="171">
        <v>0</v>
      </c>
      <c r="D14" s="171">
        <v>76607</v>
      </c>
      <c r="E14" s="171">
        <f>'- 32 -'!B12</f>
        <v>64178</v>
      </c>
      <c r="F14" s="171">
        <f>-Data!L12-Data!M12</f>
        <v>-28028</v>
      </c>
      <c r="G14" s="171">
        <f>SUM(B14:F14)</f>
        <v>964761</v>
      </c>
      <c r="H14" s="171">
        <v>964761</v>
      </c>
      <c r="I14" s="1">
        <f t="shared" si="0"/>
        <v>0</v>
      </c>
    </row>
    <row r="15" spans="1:9" ht="13.5" customHeight="1">
      <c r="A15" s="413" t="s">
        <v>240</v>
      </c>
      <c r="B15" s="411">
        <v>2146864</v>
      </c>
      <c r="C15" s="411">
        <v>0</v>
      </c>
      <c r="D15" s="411">
        <v>163452</v>
      </c>
      <c r="E15" s="411">
        <f>'- 32 -'!B13</f>
        <v>206692</v>
      </c>
      <c r="F15" s="411">
        <f>-Data!L13-Data!M13</f>
        <v>-56485</v>
      </c>
      <c r="G15" s="411">
        <f>SUM(B15:F15)</f>
        <v>2460523</v>
      </c>
      <c r="H15" s="411">
        <v>2460523</v>
      </c>
      <c r="I15" s="1">
        <f t="shared" si="0"/>
        <v>0</v>
      </c>
    </row>
    <row r="16" spans="1:9" ht="13.5" customHeight="1">
      <c r="A16" s="270" t="s">
        <v>653</v>
      </c>
      <c r="B16" s="171"/>
      <c r="C16" s="171">
        <v>148623</v>
      </c>
      <c r="D16" s="171"/>
      <c r="E16" s="171"/>
      <c r="F16" s="171"/>
      <c r="G16" s="171"/>
      <c r="H16" s="171"/>
      <c r="I16" s="1">
        <f t="shared" si="0"/>
        <v>0</v>
      </c>
    </row>
    <row r="17" spans="1:9" ht="13.5" customHeight="1">
      <c r="A17" s="413" t="s">
        <v>241</v>
      </c>
      <c r="B17" s="411">
        <v>733350</v>
      </c>
      <c r="C17" s="411">
        <v>0</v>
      </c>
      <c r="D17" s="411">
        <v>70381</v>
      </c>
      <c r="E17" s="411">
        <f>'- 32 -'!B15</f>
        <v>69414</v>
      </c>
      <c r="F17" s="411">
        <f>-Data!L15-Data!M15</f>
        <v>-25618</v>
      </c>
      <c r="G17" s="411">
        <f>SUM(B17:F17)</f>
        <v>847527</v>
      </c>
      <c r="H17" s="411">
        <v>847527</v>
      </c>
      <c r="I17" s="1">
        <f t="shared" si="0"/>
        <v>0</v>
      </c>
    </row>
    <row r="18" spans="1:9" ht="13.5" customHeight="1">
      <c r="A18" s="270" t="s">
        <v>242</v>
      </c>
      <c r="B18" s="171">
        <v>624227</v>
      </c>
      <c r="C18" s="171">
        <v>0</v>
      </c>
      <c r="D18" s="171">
        <v>0</v>
      </c>
      <c r="E18" s="171">
        <f>'- 32 -'!B16</f>
        <v>68130</v>
      </c>
      <c r="F18" s="171">
        <f>-Data!L16-Data!M16</f>
        <v>-19594</v>
      </c>
      <c r="G18" s="171">
        <f>SUM(B18:F18)</f>
        <v>672763</v>
      </c>
      <c r="H18" s="171">
        <v>672763</v>
      </c>
      <c r="I18" s="1">
        <f t="shared" si="0"/>
        <v>0</v>
      </c>
    </row>
    <row r="19" spans="1:9" ht="13.5" customHeight="1">
      <c r="A19" s="413" t="s">
        <v>243</v>
      </c>
      <c r="B19" s="411">
        <v>643004</v>
      </c>
      <c r="C19" s="411">
        <v>0</v>
      </c>
      <c r="D19" s="411">
        <v>48405</v>
      </c>
      <c r="E19" s="411">
        <f>'- 32 -'!B17</f>
        <v>66495</v>
      </c>
      <c r="F19" s="411">
        <f>-Data!L17-Data!M17</f>
        <v>-22133</v>
      </c>
      <c r="G19" s="411">
        <f>SUM(B19:F19)</f>
        <v>735771</v>
      </c>
      <c r="H19" s="411">
        <v>735771</v>
      </c>
      <c r="I19" s="1">
        <f t="shared" si="0"/>
        <v>0</v>
      </c>
    </row>
    <row r="20" spans="1:9" ht="13.5" customHeight="1">
      <c r="A20" s="270" t="s">
        <v>244</v>
      </c>
      <c r="B20" s="171"/>
      <c r="C20" s="171">
        <v>0</v>
      </c>
      <c r="D20" s="171"/>
      <c r="E20" s="171"/>
      <c r="F20" s="171"/>
      <c r="G20" s="171"/>
      <c r="H20" s="171"/>
      <c r="I20" s="1">
        <f t="shared" si="0"/>
        <v>0</v>
      </c>
    </row>
    <row r="21" spans="1:9" ht="13.5" customHeight="1">
      <c r="A21" s="413" t="s">
        <v>245</v>
      </c>
      <c r="B21" s="411">
        <v>1252087</v>
      </c>
      <c r="C21" s="411">
        <v>0</v>
      </c>
      <c r="D21" s="411">
        <v>51213</v>
      </c>
      <c r="E21" s="411">
        <f>'- 32 -'!B19</f>
        <v>121954</v>
      </c>
      <c r="F21" s="411">
        <f>-Data!L19-Data!M19</f>
        <v>-29238</v>
      </c>
      <c r="G21" s="411">
        <f t="shared" ref="G21:G48" si="1">SUM(B21:F21)</f>
        <v>1396016</v>
      </c>
      <c r="H21" s="411">
        <v>1396016</v>
      </c>
      <c r="I21" s="1">
        <f t="shared" si="0"/>
        <v>0</v>
      </c>
    </row>
    <row r="22" spans="1:9" ht="13.5" customHeight="1">
      <c r="A22" s="270" t="s">
        <v>246</v>
      </c>
      <c r="B22" s="171">
        <v>1764190</v>
      </c>
      <c r="C22" s="171">
        <v>17641</v>
      </c>
      <c r="D22" s="171">
        <v>205972</v>
      </c>
      <c r="E22" s="171">
        <f>'- 32 -'!B20</f>
        <v>160797</v>
      </c>
      <c r="F22" s="171">
        <f>-Data!L20-Data!M20</f>
        <v>-57372</v>
      </c>
      <c r="G22" s="171">
        <f t="shared" si="1"/>
        <v>2091228</v>
      </c>
      <c r="H22" s="171">
        <v>2091228</v>
      </c>
      <c r="I22" s="1">
        <f t="shared" si="0"/>
        <v>0</v>
      </c>
    </row>
    <row r="23" spans="1:9" ht="13.5" customHeight="1">
      <c r="A23" s="413" t="s">
        <v>247</v>
      </c>
      <c r="B23" s="411">
        <v>1196078</v>
      </c>
      <c r="C23" s="411">
        <v>0</v>
      </c>
      <c r="D23" s="411">
        <v>150519</v>
      </c>
      <c r="E23" s="411">
        <f>'- 32 -'!B21</f>
        <v>162865</v>
      </c>
      <c r="F23" s="411">
        <f>-Data!L21-Data!M21</f>
        <v>-32059</v>
      </c>
      <c r="G23" s="411">
        <f t="shared" si="1"/>
        <v>1477403</v>
      </c>
      <c r="H23" s="411">
        <v>1477403</v>
      </c>
      <c r="I23" s="1">
        <f t="shared" si="0"/>
        <v>0</v>
      </c>
    </row>
    <row r="24" spans="1:9" ht="13.5" customHeight="1">
      <c r="A24" s="270" t="s">
        <v>248</v>
      </c>
      <c r="B24" s="171">
        <v>690445</v>
      </c>
      <c r="C24" s="171">
        <v>19481</v>
      </c>
      <c r="D24" s="171">
        <v>96652</v>
      </c>
      <c r="E24" s="171">
        <f>'- 32 -'!B22</f>
        <v>81104</v>
      </c>
      <c r="F24" s="171">
        <f>-Data!L22-Data!M22</f>
        <v>-30443</v>
      </c>
      <c r="G24" s="171">
        <f t="shared" si="1"/>
        <v>857239</v>
      </c>
      <c r="H24" s="171">
        <v>857239</v>
      </c>
      <c r="I24" s="1">
        <f t="shared" si="0"/>
        <v>0</v>
      </c>
    </row>
    <row r="25" spans="1:9" ht="13.5" customHeight="1">
      <c r="A25" s="413" t="s">
        <v>249</v>
      </c>
      <c r="B25" s="411">
        <v>564638</v>
      </c>
      <c r="C25" s="411">
        <v>0</v>
      </c>
      <c r="D25" s="411">
        <v>66938</v>
      </c>
      <c r="E25" s="411">
        <f>'- 32 -'!B23</f>
        <v>57563</v>
      </c>
      <c r="F25" s="411">
        <f>-Data!L23-Data!M23</f>
        <v>-21287</v>
      </c>
      <c r="G25" s="411">
        <f t="shared" si="1"/>
        <v>667852</v>
      </c>
      <c r="H25" s="411">
        <v>667852</v>
      </c>
      <c r="I25" s="1">
        <f t="shared" si="0"/>
        <v>0</v>
      </c>
    </row>
    <row r="26" spans="1:9" ht="13.5" customHeight="1">
      <c r="A26" s="270" t="s">
        <v>250</v>
      </c>
      <c r="B26" s="171">
        <v>1707846</v>
      </c>
      <c r="C26" s="171">
        <v>0</v>
      </c>
      <c r="D26" s="171">
        <v>159226</v>
      </c>
      <c r="E26" s="171">
        <f>'- 32 -'!B24</f>
        <v>195300</v>
      </c>
      <c r="F26" s="171">
        <f>-Data!L24-Data!M24</f>
        <v>-47887</v>
      </c>
      <c r="G26" s="171">
        <f t="shared" si="1"/>
        <v>2014485</v>
      </c>
      <c r="H26" s="171">
        <v>2014485</v>
      </c>
      <c r="I26" s="1">
        <f t="shared" si="0"/>
        <v>0</v>
      </c>
    </row>
    <row r="27" spans="1:9" ht="13.5" customHeight="1">
      <c r="A27" s="413" t="s">
        <v>251</v>
      </c>
      <c r="B27" s="411">
        <v>4906193</v>
      </c>
      <c r="C27" s="411">
        <v>136659</v>
      </c>
      <c r="D27" s="411">
        <v>198980</v>
      </c>
      <c r="E27" s="411">
        <f>'- 32 -'!B25</f>
        <v>539076</v>
      </c>
      <c r="F27" s="411">
        <f>-Data!L25-Data!M25</f>
        <v>-255374</v>
      </c>
      <c r="G27" s="411">
        <f t="shared" si="1"/>
        <v>5525534</v>
      </c>
      <c r="H27" s="411">
        <v>5525534</v>
      </c>
      <c r="I27" s="1">
        <f t="shared" si="0"/>
        <v>0</v>
      </c>
    </row>
    <row r="28" spans="1:9" ht="13.5" customHeight="1">
      <c r="A28" s="270" t="s">
        <v>252</v>
      </c>
      <c r="B28" s="171">
        <v>1168666</v>
      </c>
      <c r="C28" s="171">
        <v>13546</v>
      </c>
      <c r="D28" s="171">
        <v>165772</v>
      </c>
      <c r="E28" s="171">
        <f>'- 32 -'!B26</f>
        <v>134370</v>
      </c>
      <c r="F28" s="171">
        <f>-Data!L26-Data!M26</f>
        <v>-22758</v>
      </c>
      <c r="G28" s="171">
        <f t="shared" si="1"/>
        <v>1459596</v>
      </c>
      <c r="H28" s="171">
        <v>1459596</v>
      </c>
      <c r="I28" s="1">
        <f t="shared" si="0"/>
        <v>0</v>
      </c>
    </row>
    <row r="29" spans="1:9" ht="13.5" customHeight="1">
      <c r="A29" s="413" t="s">
        <v>253</v>
      </c>
      <c r="B29" s="411">
        <v>2197546</v>
      </c>
      <c r="C29" s="411">
        <v>112163</v>
      </c>
      <c r="D29" s="411">
        <v>0</v>
      </c>
      <c r="E29" s="411">
        <f>'- 32 -'!B27</f>
        <v>211018</v>
      </c>
      <c r="F29" s="411">
        <f>-Data!L27-Data!M27</f>
        <v>-68950</v>
      </c>
      <c r="G29" s="411">
        <f t="shared" si="1"/>
        <v>2451777</v>
      </c>
      <c r="H29" s="411">
        <v>2451777</v>
      </c>
      <c r="I29" s="1">
        <f t="shared" si="0"/>
        <v>0</v>
      </c>
    </row>
    <row r="30" spans="1:9" ht="13.5" customHeight="1">
      <c r="A30" s="270" t="s">
        <v>254</v>
      </c>
      <c r="B30" s="171">
        <v>1064829</v>
      </c>
      <c r="C30" s="171">
        <v>0</v>
      </c>
      <c r="D30" s="171">
        <v>41528</v>
      </c>
      <c r="E30" s="171">
        <f>'- 32 -'!B28</f>
        <v>39328</v>
      </c>
      <c r="F30" s="171">
        <f>-Data!L28-Data!M28</f>
        <v>-24275</v>
      </c>
      <c r="G30" s="171">
        <f t="shared" si="1"/>
        <v>1121410</v>
      </c>
      <c r="H30" s="171">
        <v>1121410</v>
      </c>
      <c r="I30" s="1">
        <f t="shared" si="0"/>
        <v>0</v>
      </c>
    </row>
    <row r="31" spans="1:9" ht="13.5" customHeight="1">
      <c r="A31" s="413" t="s">
        <v>255</v>
      </c>
      <c r="B31" s="411">
        <v>4361382</v>
      </c>
      <c r="C31" s="411">
        <v>324312</v>
      </c>
      <c r="D31" s="411">
        <v>197820</v>
      </c>
      <c r="E31" s="411">
        <f>'- 32 -'!B29</f>
        <v>788781</v>
      </c>
      <c r="F31" s="411">
        <f>-Data!L29-Data!M29</f>
        <v>-772939</v>
      </c>
      <c r="G31" s="411">
        <f t="shared" si="1"/>
        <v>4899356</v>
      </c>
      <c r="H31" s="411">
        <v>4899356</v>
      </c>
      <c r="I31" s="1">
        <f t="shared" si="0"/>
        <v>0</v>
      </c>
    </row>
    <row r="32" spans="1:9" ht="13.5" customHeight="1">
      <c r="A32" s="270" t="s">
        <v>256</v>
      </c>
      <c r="B32" s="171">
        <v>538901</v>
      </c>
      <c r="C32" s="171">
        <v>0</v>
      </c>
      <c r="D32" s="171">
        <v>56300</v>
      </c>
      <c r="E32" s="171">
        <f>'- 32 -'!B30</f>
        <v>54083</v>
      </c>
      <c r="F32" s="171">
        <f>-Data!L30-Data!M30</f>
        <v>-19839</v>
      </c>
      <c r="G32" s="171">
        <f t="shared" si="1"/>
        <v>629445</v>
      </c>
      <c r="H32" s="171">
        <v>629445</v>
      </c>
      <c r="I32" s="1">
        <f t="shared" si="0"/>
        <v>0</v>
      </c>
    </row>
    <row r="33" spans="1:9" ht="13.5" customHeight="1">
      <c r="A33" s="413" t="s">
        <v>257</v>
      </c>
      <c r="B33" s="411">
        <v>1078819</v>
      </c>
      <c r="C33" s="411">
        <v>0</v>
      </c>
      <c r="D33" s="411">
        <v>83618</v>
      </c>
      <c r="E33" s="411">
        <f>'- 32 -'!B31</f>
        <v>90139</v>
      </c>
      <c r="F33" s="411">
        <f>-Data!L31-Data!M31</f>
        <v>-37275</v>
      </c>
      <c r="G33" s="411">
        <f t="shared" si="1"/>
        <v>1215301</v>
      </c>
      <c r="H33" s="411">
        <v>1215301</v>
      </c>
      <c r="I33" s="1">
        <f t="shared" si="0"/>
        <v>0</v>
      </c>
    </row>
    <row r="34" spans="1:9" ht="13.5" customHeight="1">
      <c r="A34" s="270" t="s">
        <v>258</v>
      </c>
      <c r="B34" s="171">
        <v>968629</v>
      </c>
      <c r="C34" s="171">
        <v>0</v>
      </c>
      <c r="D34" s="171">
        <v>65940</v>
      </c>
      <c r="E34" s="171">
        <f>'- 32 -'!B32</f>
        <v>77325</v>
      </c>
      <c r="F34" s="171">
        <f>-Data!L32-Data!M32</f>
        <v>-18838</v>
      </c>
      <c r="G34" s="171">
        <f t="shared" si="1"/>
        <v>1093056</v>
      </c>
      <c r="H34" s="171">
        <v>1093056</v>
      </c>
      <c r="I34" s="1">
        <f t="shared" si="0"/>
        <v>0</v>
      </c>
    </row>
    <row r="35" spans="1:9" ht="13.5" customHeight="1">
      <c r="A35" s="413" t="s">
        <v>259</v>
      </c>
      <c r="B35" s="411">
        <v>1080251</v>
      </c>
      <c r="C35" s="411">
        <v>6060</v>
      </c>
      <c r="D35" s="411">
        <v>53573</v>
      </c>
      <c r="E35" s="411">
        <f>'- 32 -'!B33</f>
        <v>70286</v>
      </c>
      <c r="F35" s="411">
        <f>-Data!L33-Data!M33</f>
        <v>-31916</v>
      </c>
      <c r="G35" s="411">
        <f t="shared" si="1"/>
        <v>1178254</v>
      </c>
      <c r="H35" s="411">
        <v>1178254</v>
      </c>
      <c r="I35" s="1">
        <f t="shared" si="0"/>
        <v>0</v>
      </c>
    </row>
    <row r="36" spans="1:9" ht="13.5" customHeight="1">
      <c r="A36" s="270" t="s">
        <v>260</v>
      </c>
      <c r="B36" s="171">
        <v>914803</v>
      </c>
      <c r="C36" s="171">
        <v>7016</v>
      </c>
      <c r="D36" s="171">
        <v>82148</v>
      </c>
      <c r="E36" s="171">
        <f>'- 32 -'!B34</f>
        <v>59099</v>
      </c>
      <c r="F36" s="171">
        <f>-Data!L34-Data!M34</f>
        <v>-31208</v>
      </c>
      <c r="G36" s="171">
        <f t="shared" si="1"/>
        <v>1031858</v>
      </c>
      <c r="H36" s="171">
        <v>1031858</v>
      </c>
      <c r="I36" s="1">
        <f t="shared" si="0"/>
        <v>0</v>
      </c>
    </row>
    <row r="37" spans="1:9" ht="13.5" customHeight="1">
      <c r="A37" s="413" t="s">
        <v>261</v>
      </c>
      <c r="B37" s="411">
        <v>4783577</v>
      </c>
      <c r="C37" s="411">
        <v>365016</v>
      </c>
      <c r="D37" s="411">
        <v>296247</v>
      </c>
      <c r="E37" s="411">
        <f>'- 32 -'!B35</f>
        <v>725389</v>
      </c>
      <c r="F37" s="411">
        <f>-Data!L35-Data!M35</f>
        <v>-612126</v>
      </c>
      <c r="G37" s="411">
        <f t="shared" si="1"/>
        <v>5558103</v>
      </c>
      <c r="H37" s="411">
        <v>5558103</v>
      </c>
      <c r="I37" s="1">
        <f t="shared" si="0"/>
        <v>0</v>
      </c>
    </row>
    <row r="38" spans="1:9" ht="13.5" customHeight="1">
      <c r="A38" s="270" t="s">
        <v>262</v>
      </c>
      <c r="B38" s="171">
        <v>854623</v>
      </c>
      <c r="C38" s="171">
        <v>29089</v>
      </c>
      <c r="D38" s="171">
        <v>55772</v>
      </c>
      <c r="E38" s="171">
        <f>'- 32 -'!B36</f>
        <v>58219</v>
      </c>
      <c r="F38" s="171">
        <f>-Data!L36-Data!M36</f>
        <v>-26229</v>
      </c>
      <c r="G38" s="171">
        <f t="shared" si="1"/>
        <v>971474</v>
      </c>
      <c r="H38" s="171">
        <v>971474</v>
      </c>
      <c r="I38" s="1">
        <f t="shared" si="0"/>
        <v>0</v>
      </c>
    </row>
    <row r="39" spans="1:9" ht="13.5" customHeight="1">
      <c r="A39" s="413" t="s">
        <v>263</v>
      </c>
      <c r="B39" s="411">
        <v>1255363</v>
      </c>
      <c r="C39" s="411">
        <v>31901</v>
      </c>
      <c r="D39" s="411">
        <v>157683</v>
      </c>
      <c r="E39" s="411">
        <f>'- 32 -'!B37</f>
        <v>103793</v>
      </c>
      <c r="F39" s="411">
        <f>-Data!L37-Data!M37</f>
        <v>-36027</v>
      </c>
      <c r="G39" s="411">
        <f t="shared" si="1"/>
        <v>1512713</v>
      </c>
      <c r="H39" s="411">
        <v>1512713</v>
      </c>
      <c r="I39" s="1">
        <f t="shared" si="0"/>
        <v>0</v>
      </c>
    </row>
    <row r="40" spans="1:9" ht="13.5" customHeight="1">
      <c r="A40" s="270" t="s">
        <v>264</v>
      </c>
      <c r="B40" s="171">
        <v>3055087</v>
      </c>
      <c r="C40" s="171">
        <v>73295</v>
      </c>
      <c r="D40" s="171">
        <v>247052</v>
      </c>
      <c r="E40" s="171">
        <f>'- 32 -'!B38</f>
        <v>476235</v>
      </c>
      <c r="F40" s="171">
        <f>-Data!L38-Data!M38</f>
        <v>-55884</v>
      </c>
      <c r="G40" s="171">
        <f t="shared" si="1"/>
        <v>3795785</v>
      </c>
      <c r="H40" s="171">
        <v>3795785</v>
      </c>
      <c r="I40" s="1">
        <f t="shared" si="0"/>
        <v>0</v>
      </c>
    </row>
    <row r="41" spans="1:9" ht="13.5" customHeight="1">
      <c r="A41" s="413" t="s">
        <v>265</v>
      </c>
      <c r="B41" s="411">
        <v>798369</v>
      </c>
      <c r="C41" s="411">
        <v>0</v>
      </c>
      <c r="D41" s="411">
        <v>68713</v>
      </c>
      <c r="E41" s="411">
        <f>'- 32 -'!B39</f>
        <v>63435</v>
      </c>
      <c r="F41" s="411">
        <f>-Data!L39-Data!M39</f>
        <v>-24999</v>
      </c>
      <c r="G41" s="411">
        <f t="shared" si="1"/>
        <v>905518</v>
      </c>
      <c r="H41" s="411">
        <v>905518</v>
      </c>
      <c r="I41" s="1">
        <f t="shared" si="0"/>
        <v>0</v>
      </c>
    </row>
    <row r="42" spans="1:9" ht="13.5" customHeight="1">
      <c r="A42" s="270" t="s">
        <v>266</v>
      </c>
      <c r="B42" s="171">
        <v>3061560</v>
      </c>
      <c r="C42" s="171">
        <v>0</v>
      </c>
      <c r="D42" s="171">
        <v>105457</v>
      </c>
      <c r="E42" s="171">
        <f>'- 32 -'!B40</f>
        <v>458359</v>
      </c>
      <c r="F42" s="171">
        <f>-Data!L40-Data!M40</f>
        <v>-313083</v>
      </c>
      <c r="G42" s="171">
        <f t="shared" si="1"/>
        <v>3312293</v>
      </c>
      <c r="H42" s="171">
        <v>3312293</v>
      </c>
      <c r="I42" s="1">
        <f t="shared" si="0"/>
        <v>0</v>
      </c>
    </row>
    <row r="43" spans="1:9" ht="13.5" customHeight="1">
      <c r="A43" s="413" t="s">
        <v>267</v>
      </c>
      <c r="B43" s="411">
        <v>2005114</v>
      </c>
      <c r="C43" s="411">
        <v>38690</v>
      </c>
      <c r="D43" s="411">
        <v>315226</v>
      </c>
      <c r="E43" s="411">
        <f>'- 32 -'!B41</f>
        <v>171794</v>
      </c>
      <c r="F43" s="411">
        <f>-Data!L41-Data!M41</f>
        <v>-47578</v>
      </c>
      <c r="G43" s="411">
        <f t="shared" si="1"/>
        <v>2483246</v>
      </c>
      <c r="H43" s="411">
        <v>2483246</v>
      </c>
      <c r="I43" s="1">
        <f t="shared" si="0"/>
        <v>0</v>
      </c>
    </row>
    <row r="44" spans="1:9" ht="13.5" customHeight="1">
      <c r="A44" s="270" t="s">
        <v>268</v>
      </c>
      <c r="B44" s="171">
        <v>787385</v>
      </c>
      <c r="C44" s="171">
        <v>0</v>
      </c>
      <c r="D44" s="171">
        <v>96775</v>
      </c>
      <c r="E44" s="171">
        <f>'- 32 -'!B42</f>
        <v>37131</v>
      </c>
      <c r="F44" s="171">
        <f>-Data!L42-Data!M42</f>
        <v>-21464</v>
      </c>
      <c r="G44" s="171">
        <f t="shared" si="1"/>
        <v>899827</v>
      </c>
      <c r="H44" s="171">
        <v>899827</v>
      </c>
      <c r="I44" s="1">
        <f t="shared" si="0"/>
        <v>0</v>
      </c>
    </row>
    <row r="45" spans="1:9" ht="13.5" customHeight="1">
      <c r="A45" s="413" t="s">
        <v>269</v>
      </c>
      <c r="B45" s="411">
        <v>549351</v>
      </c>
      <c r="C45" s="411">
        <v>12859</v>
      </c>
      <c r="D45" s="411">
        <v>8296</v>
      </c>
      <c r="E45" s="411">
        <f>'- 32 -'!B43</f>
        <v>20874</v>
      </c>
      <c r="F45" s="411">
        <f>-Data!L43-Data!M43</f>
        <v>-17379</v>
      </c>
      <c r="G45" s="411">
        <f t="shared" si="1"/>
        <v>574001</v>
      </c>
      <c r="H45" s="411">
        <v>574001</v>
      </c>
      <c r="I45" s="1">
        <f t="shared" si="0"/>
        <v>0</v>
      </c>
    </row>
    <row r="46" spans="1:9" ht="13.5" customHeight="1">
      <c r="A46" s="270" t="s">
        <v>270</v>
      </c>
      <c r="B46" s="171">
        <v>392713</v>
      </c>
      <c r="C46" s="171">
        <v>0</v>
      </c>
      <c r="D46" s="171">
        <v>17904</v>
      </c>
      <c r="E46" s="171">
        <f>'- 32 -'!B44</f>
        <v>17930</v>
      </c>
      <c r="F46" s="171">
        <f>-Data!L44-Data!M44</f>
        <v>-9769</v>
      </c>
      <c r="G46" s="171">
        <f t="shared" si="1"/>
        <v>418778</v>
      </c>
      <c r="H46" s="171">
        <v>418778</v>
      </c>
      <c r="I46" s="1">
        <f t="shared" si="0"/>
        <v>0</v>
      </c>
    </row>
    <row r="47" spans="1:9" ht="13.5" customHeight="1">
      <c r="A47" s="413" t="s">
        <v>271</v>
      </c>
      <c r="B47" s="411">
        <v>539885</v>
      </c>
      <c r="C47" s="411">
        <v>27953</v>
      </c>
      <c r="D47" s="411">
        <v>24157</v>
      </c>
      <c r="E47" s="411">
        <f>'- 32 -'!B45</f>
        <v>71696</v>
      </c>
      <c r="F47" s="411">
        <f>-Data!L45-Data!M45</f>
        <v>-16016</v>
      </c>
      <c r="G47" s="411">
        <f t="shared" si="1"/>
        <v>647675</v>
      </c>
      <c r="H47" s="411">
        <v>647675</v>
      </c>
      <c r="I47" s="1">
        <f t="shared" si="0"/>
        <v>0</v>
      </c>
    </row>
    <row r="48" spans="1:9" ht="13.5" customHeight="1">
      <c r="A48" s="270" t="s">
        <v>272</v>
      </c>
      <c r="B48" s="171">
        <v>9402670</v>
      </c>
      <c r="C48" s="171">
        <v>216784</v>
      </c>
      <c r="D48" s="171">
        <v>269053</v>
      </c>
      <c r="E48" s="171">
        <f>'- 32 -'!B46</f>
        <v>1014979</v>
      </c>
      <c r="F48" s="171">
        <f>-Data!L46-Data!M46</f>
        <v>-179172</v>
      </c>
      <c r="G48" s="171">
        <f t="shared" si="1"/>
        <v>10724314</v>
      </c>
      <c r="H48" s="171">
        <v>10724314</v>
      </c>
      <c r="I48" s="1">
        <f t="shared" si="0"/>
        <v>0</v>
      </c>
    </row>
    <row r="49" spans="1:11" ht="5.0999999999999996" customHeight="1">
      <c r="A49" s="148"/>
      <c r="B49" s="172"/>
      <c r="C49" s="172"/>
      <c r="D49" s="172"/>
      <c r="E49" s="172"/>
      <c r="F49" s="172"/>
      <c r="G49" s="172"/>
      <c r="H49" s="172"/>
    </row>
    <row r="50" spans="1:11" ht="13.5" customHeight="1">
      <c r="A50" s="414" t="s">
        <v>273</v>
      </c>
      <c r="B50" s="415">
        <f t="shared" ref="B50:H50" si="2">SUM(B13:B48)</f>
        <v>58495326</v>
      </c>
      <c r="C50" s="415">
        <f t="shared" si="2"/>
        <v>1581088</v>
      </c>
      <c r="D50" s="415">
        <f t="shared" si="2"/>
        <v>3759508</v>
      </c>
      <c r="E50" s="415">
        <f t="shared" si="2"/>
        <v>6587095</v>
      </c>
      <c r="F50" s="415">
        <f t="shared" si="2"/>
        <v>-3029796</v>
      </c>
      <c r="G50" s="415">
        <f t="shared" si="2"/>
        <v>67244598</v>
      </c>
      <c r="H50" s="415">
        <f t="shared" si="2"/>
        <v>67244598</v>
      </c>
      <c r="I50" s="1">
        <f>G50-H50</f>
        <v>0</v>
      </c>
    </row>
    <row r="51" spans="1:11" ht="5.0999999999999996" customHeight="1">
      <c r="A51" s="148" t="s">
        <v>18</v>
      </c>
      <c r="B51" s="172"/>
      <c r="C51" s="172"/>
      <c r="D51" s="172"/>
      <c r="E51" s="172"/>
      <c r="F51" s="172"/>
      <c r="G51" s="172"/>
      <c r="H51" s="172"/>
      <c r="K51" s="1">
        <f>+J51-B51</f>
        <v>0</v>
      </c>
    </row>
    <row r="52" spans="1:11" ht="13.5" customHeight="1">
      <c r="A52" s="270" t="s">
        <v>274</v>
      </c>
      <c r="B52" s="171">
        <v>209365</v>
      </c>
      <c r="C52" s="171">
        <v>0</v>
      </c>
      <c r="D52" s="171">
        <v>0</v>
      </c>
      <c r="E52" s="171">
        <f>'- 32 -'!B50</f>
        <v>0</v>
      </c>
      <c r="F52" s="171">
        <f>-Data!L50-Data!M50</f>
        <v>-10332</v>
      </c>
      <c r="G52" s="171">
        <f>SUM(B52:F52)</f>
        <v>199033</v>
      </c>
      <c r="H52" s="171">
        <v>199033</v>
      </c>
      <c r="I52" s="1">
        <f>G52-H52</f>
        <v>0</v>
      </c>
    </row>
    <row r="53" spans="1:11" ht="50.1" customHeight="1">
      <c r="A53" s="30"/>
      <c r="B53" s="30"/>
      <c r="C53" s="30"/>
      <c r="D53" s="30"/>
      <c r="E53" s="30"/>
      <c r="F53" s="30"/>
      <c r="G53" s="30"/>
    </row>
    <row r="54" spans="1:11" ht="14.45" customHeight="1">
      <c r="A54" s="294" t="s">
        <v>611</v>
      </c>
      <c r="B54" s="299"/>
      <c r="C54" s="299"/>
      <c r="D54" s="299"/>
      <c r="E54" s="299"/>
      <c r="F54" s="299"/>
      <c r="G54" s="299"/>
    </row>
    <row r="55" spans="1:11" ht="12" customHeight="1">
      <c r="A55" s="294" t="s">
        <v>656</v>
      </c>
      <c r="B55" s="299"/>
      <c r="C55" s="299"/>
      <c r="D55" s="299"/>
      <c r="E55" s="299"/>
      <c r="F55" s="299"/>
      <c r="G55" s="299"/>
    </row>
    <row r="56" spans="1:11" ht="12" customHeight="1">
      <c r="A56" s="32" t="s">
        <v>651</v>
      </c>
      <c r="B56" s="45"/>
      <c r="C56" s="45"/>
      <c r="D56" s="45"/>
    </row>
    <row r="57" spans="1:11" ht="12" customHeight="1">
      <c r="A57" s="32" t="s">
        <v>650</v>
      </c>
      <c r="B57" s="45"/>
      <c r="C57" s="45"/>
      <c r="D57" s="45"/>
    </row>
    <row r="58" spans="1:11" ht="12" customHeight="1">
      <c r="A58" s="32" t="s">
        <v>669</v>
      </c>
      <c r="B58" s="45"/>
      <c r="C58" s="45"/>
      <c r="D58" s="45"/>
    </row>
    <row r="59" spans="1:11" ht="12" customHeight="1">
      <c r="A59" s="1" t="s">
        <v>741</v>
      </c>
      <c r="B59" s="45"/>
      <c r="C59" s="45"/>
      <c r="D59" s="45"/>
    </row>
    <row r="60" spans="1:11" ht="12" customHeight="1">
      <c r="A60" s="1" t="s">
        <v>649</v>
      </c>
      <c r="B60" s="45"/>
      <c r="C60" s="45"/>
      <c r="D60" s="45"/>
    </row>
    <row r="61" spans="1:11" ht="12" customHeight="1">
      <c r="A61" s="1" t="s">
        <v>666</v>
      </c>
    </row>
    <row r="62" spans="1:11" ht="12" customHeight="1">
      <c r="A62" s="1" t="s">
        <v>612</v>
      </c>
    </row>
    <row r="63" spans="1:11" ht="12" customHeight="1">
      <c r="A63" s="1" t="s">
        <v>667</v>
      </c>
    </row>
    <row r="64" spans="1:11" ht="12" customHeight="1">
      <c r="A64" s="1" t="s">
        <v>668</v>
      </c>
    </row>
  </sheetData>
  <mergeCells count="1">
    <mergeCell ref="B2:D2"/>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sheetPr codeName="Sheet6111">
    <pageSetUpPr fitToPage="1"/>
  </sheetPr>
  <dimension ref="A1:K59"/>
  <sheetViews>
    <sheetView showGridLines="0" showZeros="0" workbookViewId="0"/>
  </sheetViews>
  <sheetFormatPr defaultColWidth="14.83203125" defaultRowHeight="12"/>
  <cols>
    <col min="1" max="1" width="27.83203125" style="1" customWidth="1"/>
    <col min="2" max="3" width="16.83203125" style="1" customWidth="1"/>
    <col min="4" max="4" width="18.83203125" style="1" customWidth="1"/>
    <col min="5" max="5" width="16.83203125" style="1" customWidth="1"/>
    <col min="6" max="6" width="18.83203125" style="1" customWidth="1"/>
    <col min="7" max="7" width="17.83203125" style="1" customWidth="1"/>
    <col min="8" max="9" width="0" style="1" hidden="1" customWidth="1"/>
    <col min="10" max="16384" width="14.83203125" style="1"/>
  </cols>
  <sheetData>
    <row r="1" spans="1:11" ht="6.95" customHeight="1">
      <c r="A1" s="6"/>
      <c r="B1" s="7"/>
      <c r="C1" s="7"/>
      <c r="D1" s="7"/>
    </row>
    <row r="2" spans="1:11" ht="20.100000000000001" customHeight="1">
      <c r="A2" s="285"/>
      <c r="B2" s="285" t="str">
        <f>"ADMINISTRATION EXPENSES "&amp;FALLYR&amp;"/"&amp;SPRINGYR&amp;" ACTUAL"</f>
        <v>ADMINISTRATION EXPENSES 2011/2012 ACTUAL</v>
      </c>
      <c r="C2" s="194"/>
      <c r="D2" s="194"/>
      <c r="E2" s="194"/>
      <c r="F2" s="194"/>
      <c r="G2" s="473" t="s">
        <v>174</v>
      </c>
    </row>
    <row r="3" spans="1:11" ht="20.100000000000001" customHeight="1">
      <c r="A3" s="8"/>
      <c r="B3" s="286"/>
      <c r="C3" s="287"/>
      <c r="D3" s="287"/>
      <c r="E3" s="287"/>
      <c r="F3" s="287"/>
      <c r="G3" s="288"/>
    </row>
    <row r="4" spans="1:11" ht="14.1" customHeight="1">
      <c r="A4" s="265"/>
      <c r="B4" s="448" t="s">
        <v>384</v>
      </c>
      <c r="C4" s="449"/>
      <c r="D4" s="449"/>
      <c r="E4" s="449"/>
      <c r="F4" s="449"/>
      <c r="G4" s="450"/>
    </row>
    <row r="5" spans="1:11" ht="12.95" customHeight="1">
      <c r="A5" s="289"/>
      <c r="B5" s="290"/>
      <c r="C5" s="290"/>
      <c r="D5" s="290"/>
      <c r="E5" s="290"/>
      <c r="F5" s="290"/>
      <c r="G5" s="290"/>
    </row>
    <row r="6" spans="1:11" ht="12.95" customHeight="1">
      <c r="A6" s="289"/>
      <c r="B6" s="275"/>
      <c r="C6" s="275"/>
      <c r="D6" s="275"/>
      <c r="E6" s="275"/>
      <c r="F6" s="275"/>
      <c r="G6" s="275" t="s">
        <v>69</v>
      </c>
    </row>
    <row r="7" spans="1:11" ht="12.95" customHeight="1">
      <c r="A7" s="289"/>
      <c r="B7" s="291"/>
      <c r="C7" s="139"/>
      <c r="D7" s="291"/>
      <c r="E7" s="291"/>
      <c r="F7" s="291"/>
      <c r="G7" s="291" t="s">
        <v>381</v>
      </c>
    </row>
    <row r="8" spans="1:11" ht="12.95" customHeight="1">
      <c r="A8" s="289"/>
      <c r="B8" s="291" t="s">
        <v>69</v>
      </c>
      <c r="C8" s="291" t="s">
        <v>385</v>
      </c>
      <c r="D8" s="291" t="s">
        <v>386</v>
      </c>
      <c r="E8" s="291"/>
      <c r="F8" s="291" t="s">
        <v>69</v>
      </c>
      <c r="G8" s="292" t="s">
        <v>74</v>
      </c>
    </row>
    <row r="9" spans="1:11" ht="12.95" customHeight="1">
      <c r="A9" s="289"/>
      <c r="B9" s="291" t="s">
        <v>123</v>
      </c>
      <c r="C9" s="291" t="s">
        <v>109</v>
      </c>
      <c r="D9" s="291" t="s">
        <v>388</v>
      </c>
      <c r="E9" s="291" t="s">
        <v>389</v>
      </c>
      <c r="F9" s="291" t="s">
        <v>381</v>
      </c>
      <c r="G9" s="291" t="s">
        <v>390</v>
      </c>
    </row>
    <row r="10" spans="1:11" ht="12.95" customHeight="1">
      <c r="A10" s="20"/>
      <c r="B10" s="292" t="s">
        <v>279</v>
      </c>
      <c r="C10" s="291" t="s">
        <v>387</v>
      </c>
      <c r="D10" s="292" t="s">
        <v>320</v>
      </c>
      <c r="E10" s="292" t="s">
        <v>199</v>
      </c>
      <c r="F10" s="502" t="s">
        <v>279</v>
      </c>
      <c r="G10" s="292" t="s">
        <v>199</v>
      </c>
    </row>
    <row r="11" spans="1:11" ht="15.95" customHeight="1">
      <c r="A11" s="22" t="s">
        <v>95</v>
      </c>
      <c r="B11" s="293" t="s">
        <v>391</v>
      </c>
      <c r="C11" s="293" t="s">
        <v>146</v>
      </c>
      <c r="D11" s="293" t="s">
        <v>12</v>
      </c>
      <c r="E11" s="293" t="s">
        <v>132</v>
      </c>
      <c r="F11" s="293" t="s">
        <v>711</v>
      </c>
      <c r="G11" s="293" t="s">
        <v>132</v>
      </c>
    </row>
    <row r="12" spans="1:11" ht="5.0999999999999996" customHeight="1">
      <c r="A12" s="25"/>
      <c r="C12" s="284"/>
      <c r="D12" s="236"/>
      <c r="E12" s="6"/>
    </row>
    <row r="13" spans="1:11" ht="14.1" customHeight="1">
      <c r="A13" s="413" t="s">
        <v>238</v>
      </c>
      <c r="B13" s="411">
        <f>'- 3 -'!B11</f>
        <v>15091135</v>
      </c>
      <c r="C13" s="411">
        <v>284614</v>
      </c>
      <c r="D13" s="411">
        <v>0</v>
      </c>
      <c r="E13" s="411">
        <f>SUM(B13:D13)</f>
        <v>15375749</v>
      </c>
      <c r="F13" s="411">
        <f>'- 63 -'!G13</f>
        <v>649716</v>
      </c>
      <c r="G13" s="337">
        <f>F13/E13*100</f>
        <v>4.225589270480417</v>
      </c>
      <c r="H13" s="499">
        <v>4.225589270480417E-2</v>
      </c>
      <c r="I13" s="411">
        <v>15375749</v>
      </c>
      <c r="J13" s="1">
        <f t="shared" ref="J13:J48" si="0">I13-E13</f>
        <v>0</v>
      </c>
      <c r="K13" s="1">
        <f>+G13/100-H13</f>
        <v>0</v>
      </c>
    </row>
    <row r="14" spans="1:11" ht="14.1" customHeight="1">
      <c r="A14" s="270" t="s">
        <v>239</v>
      </c>
      <c r="B14" s="171">
        <f>'- 3 -'!B12</f>
        <v>28931240</v>
      </c>
      <c r="C14" s="171">
        <v>1496109</v>
      </c>
      <c r="D14" s="171">
        <v>-513088</v>
      </c>
      <c r="E14" s="171">
        <f>SUM(B14:D14)</f>
        <v>29914261</v>
      </c>
      <c r="F14" s="171">
        <f>'- 63 -'!G14</f>
        <v>964761</v>
      </c>
      <c r="G14" s="79">
        <f t="shared" ref="G14:G52" si="1">F14/E14*100</f>
        <v>3.2250871916909465</v>
      </c>
      <c r="H14" s="158">
        <v>3.2250871916909465E-2</v>
      </c>
      <c r="I14" s="171">
        <v>29914261</v>
      </c>
      <c r="J14" s="1">
        <f t="shared" si="0"/>
        <v>0</v>
      </c>
      <c r="K14" s="1">
        <f t="shared" ref="K14:K52" si="2">+G14/100-H14</f>
        <v>0</v>
      </c>
    </row>
    <row r="15" spans="1:11" ht="14.1" customHeight="1">
      <c r="A15" s="413" t="s">
        <v>240</v>
      </c>
      <c r="B15" s="411">
        <f>'- 3 -'!B13</f>
        <v>73602414</v>
      </c>
      <c r="C15" s="411">
        <v>516582</v>
      </c>
      <c r="D15" s="411">
        <v>0</v>
      </c>
      <c r="E15" s="411">
        <f>SUM(B15:D15)</f>
        <v>74118996</v>
      </c>
      <c r="F15" s="411">
        <f>'- 63 -'!G15</f>
        <v>2460523</v>
      </c>
      <c r="G15" s="337">
        <f t="shared" si="1"/>
        <v>3.319692835558647</v>
      </c>
      <c r="H15" s="499">
        <v>3.3196928355586471E-2</v>
      </c>
      <c r="I15" s="411">
        <v>74118996</v>
      </c>
      <c r="J15" s="1">
        <f t="shared" si="0"/>
        <v>0</v>
      </c>
      <c r="K15" s="1">
        <f t="shared" si="2"/>
        <v>0</v>
      </c>
    </row>
    <row r="16" spans="1:11" ht="14.1" customHeight="1">
      <c r="A16" s="270" t="s">
        <v>653</v>
      </c>
      <c r="B16" s="171"/>
      <c r="C16" s="171">
        <v>0</v>
      </c>
      <c r="D16" s="171"/>
      <c r="E16" s="171"/>
      <c r="F16" s="171"/>
      <c r="G16" s="451" t="s">
        <v>197</v>
      </c>
      <c r="H16" s="158"/>
      <c r="I16" s="171"/>
      <c r="K16" s="1">
        <v>0</v>
      </c>
    </row>
    <row r="17" spans="1:11" ht="14.1" customHeight="1">
      <c r="A17" s="413" t="s">
        <v>241</v>
      </c>
      <c r="B17" s="411">
        <f>'- 3 -'!B15</f>
        <v>18343003</v>
      </c>
      <c r="C17" s="411">
        <v>730777</v>
      </c>
      <c r="D17" s="411">
        <v>0</v>
      </c>
      <c r="E17" s="411">
        <f>SUM(B17:D17)</f>
        <v>19073780</v>
      </c>
      <c r="F17" s="411">
        <f>'- 63 -'!G17</f>
        <v>847527</v>
      </c>
      <c r="G17" s="337">
        <f t="shared" si="1"/>
        <v>4.4434139431198219</v>
      </c>
      <c r="H17" s="499">
        <v>4.443413943119822E-2</v>
      </c>
      <c r="I17" s="411">
        <v>19073780</v>
      </c>
      <c r="J17" s="1">
        <f t="shared" si="0"/>
        <v>0</v>
      </c>
      <c r="K17" s="1">
        <f t="shared" si="2"/>
        <v>0</v>
      </c>
    </row>
    <row r="18" spans="1:11" ht="14.1" customHeight="1">
      <c r="A18" s="270" t="s">
        <v>242</v>
      </c>
      <c r="B18" s="171">
        <f>'- 3 -'!B16</f>
        <v>12598396</v>
      </c>
      <c r="C18" s="171">
        <v>157185</v>
      </c>
      <c r="D18" s="171">
        <v>-92300</v>
      </c>
      <c r="E18" s="171">
        <f>SUM(B18:D18)</f>
        <v>12663281</v>
      </c>
      <c r="F18" s="171">
        <f>'- 63 -'!G18</f>
        <v>672763</v>
      </c>
      <c r="G18" s="79">
        <f t="shared" si="1"/>
        <v>5.3127068727291133</v>
      </c>
      <c r="H18" s="158">
        <v>5.3127068727291137E-2</v>
      </c>
      <c r="I18" s="171">
        <v>12663281</v>
      </c>
      <c r="J18" s="1">
        <f t="shared" si="0"/>
        <v>0</v>
      </c>
      <c r="K18" s="1">
        <f t="shared" si="2"/>
        <v>0</v>
      </c>
    </row>
    <row r="19" spans="1:11" ht="14.1" customHeight="1">
      <c r="A19" s="413" t="s">
        <v>243</v>
      </c>
      <c r="B19" s="411">
        <f>'- 3 -'!B17</f>
        <v>16110457</v>
      </c>
      <c r="C19" s="411">
        <v>467432</v>
      </c>
      <c r="D19" s="411">
        <v>0</v>
      </c>
      <c r="E19" s="411">
        <f>SUM(B19:D19)</f>
        <v>16577889</v>
      </c>
      <c r="F19" s="411">
        <f>'- 63 -'!G19</f>
        <v>735771</v>
      </c>
      <c r="G19" s="337">
        <f t="shared" si="1"/>
        <v>4.4382671400441875</v>
      </c>
      <c r="H19" s="499">
        <v>4.438267140044188E-2</v>
      </c>
      <c r="I19" s="411">
        <v>16577889</v>
      </c>
      <c r="J19" s="1">
        <f t="shared" si="0"/>
        <v>0</v>
      </c>
      <c r="K19" s="1">
        <f t="shared" si="2"/>
        <v>0</v>
      </c>
    </row>
    <row r="20" spans="1:11" ht="14.1" customHeight="1">
      <c r="A20" s="270" t="s">
        <v>244</v>
      </c>
      <c r="B20" s="171"/>
      <c r="C20" s="171">
        <v>0</v>
      </c>
      <c r="D20" s="171"/>
      <c r="E20" s="171"/>
      <c r="F20" s="171"/>
      <c r="G20" s="451" t="s">
        <v>197</v>
      </c>
      <c r="H20" s="158"/>
      <c r="I20" s="171"/>
      <c r="J20" s="1">
        <f t="shared" si="0"/>
        <v>0</v>
      </c>
      <c r="K20" s="1">
        <v>0</v>
      </c>
    </row>
    <row r="21" spans="1:11" ht="14.1" customHeight="1">
      <c r="A21" s="413" t="s">
        <v>245</v>
      </c>
      <c r="B21" s="411">
        <f>'- 3 -'!B19</f>
        <v>37445781</v>
      </c>
      <c r="C21" s="411">
        <v>1835569</v>
      </c>
      <c r="D21" s="411">
        <v>0</v>
      </c>
      <c r="E21" s="411">
        <f t="shared" ref="E21:E48" si="3">SUM(B21:D21)</f>
        <v>39281350</v>
      </c>
      <c r="F21" s="411">
        <f>'- 63 -'!G21</f>
        <v>1396016</v>
      </c>
      <c r="G21" s="337">
        <f t="shared" si="1"/>
        <v>3.5538900776068036</v>
      </c>
      <c r="H21" s="499">
        <v>3.5538900776068034E-2</v>
      </c>
      <c r="I21" s="411">
        <v>39281350</v>
      </c>
      <c r="J21" s="1">
        <f t="shared" si="0"/>
        <v>0</v>
      </c>
      <c r="K21" s="1">
        <f t="shared" si="2"/>
        <v>0</v>
      </c>
    </row>
    <row r="22" spans="1:11" ht="14.1" customHeight="1">
      <c r="A22" s="270" t="s">
        <v>246</v>
      </c>
      <c r="B22" s="171">
        <f>'- 3 -'!B20</f>
        <v>63690797</v>
      </c>
      <c r="C22" s="171">
        <v>1575892</v>
      </c>
      <c r="D22" s="171">
        <v>0</v>
      </c>
      <c r="E22" s="171">
        <f t="shared" si="3"/>
        <v>65266689</v>
      </c>
      <c r="F22" s="171">
        <f>'- 63 -'!G22</f>
        <v>2091228</v>
      </c>
      <c r="G22" s="79">
        <f t="shared" si="1"/>
        <v>3.2041276063506143</v>
      </c>
      <c r="H22" s="158">
        <v>3.2041276063506145E-2</v>
      </c>
      <c r="I22" s="171">
        <v>65266689</v>
      </c>
      <c r="J22" s="1">
        <f t="shared" si="0"/>
        <v>0</v>
      </c>
      <c r="K22" s="1">
        <f t="shared" si="2"/>
        <v>0</v>
      </c>
    </row>
    <row r="23" spans="1:11" ht="14.1" customHeight="1">
      <c r="A23" s="413" t="s">
        <v>247</v>
      </c>
      <c r="B23" s="411">
        <f>'- 3 -'!B21</f>
        <v>31772151</v>
      </c>
      <c r="C23" s="411">
        <v>365510</v>
      </c>
      <c r="D23" s="411">
        <v>0</v>
      </c>
      <c r="E23" s="411">
        <f t="shared" si="3"/>
        <v>32137661</v>
      </c>
      <c r="F23" s="411">
        <f>'- 63 -'!G23</f>
        <v>1477403</v>
      </c>
      <c r="G23" s="337">
        <f t="shared" si="1"/>
        <v>4.5971080471599972</v>
      </c>
      <c r="H23" s="499">
        <v>4.5971080471599972E-2</v>
      </c>
      <c r="I23" s="411">
        <v>32137661</v>
      </c>
      <c r="J23" s="1">
        <f t="shared" si="0"/>
        <v>0</v>
      </c>
      <c r="K23" s="1">
        <f t="shared" si="2"/>
        <v>0</v>
      </c>
    </row>
    <row r="24" spans="1:11" ht="14.1" customHeight="1">
      <c r="A24" s="270" t="s">
        <v>248</v>
      </c>
      <c r="B24" s="171">
        <f>'- 3 -'!B22</f>
        <v>18235400</v>
      </c>
      <c r="C24" s="171">
        <v>79109</v>
      </c>
      <c r="D24" s="171">
        <v>-633328</v>
      </c>
      <c r="E24" s="171">
        <f t="shared" si="3"/>
        <v>17681181</v>
      </c>
      <c r="F24" s="171">
        <f>'- 63 -'!G24</f>
        <v>857239</v>
      </c>
      <c r="G24" s="79">
        <f t="shared" si="1"/>
        <v>4.8483130170999322</v>
      </c>
      <c r="H24" s="158">
        <v>4.8483130170999325E-2</v>
      </c>
      <c r="I24" s="171">
        <v>17681181</v>
      </c>
      <c r="J24" s="1">
        <f t="shared" si="0"/>
        <v>0</v>
      </c>
      <c r="K24" s="1">
        <f t="shared" si="2"/>
        <v>0</v>
      </c>
    </row>
    <row r="25" spans="1:11" ht="14.1" customHeight="1">
      <c r="A25" s="413" t="s">
        <v>249</v>
      </c>
      <c r="B25" s="411">
        <f>'- 3 -'!B23</f>
        <v>15315530</v>
      </c>
      <c r="C25" s="411">
        <v>708845</v>
      </c>
      <c r="D25" s="411">
        <v>-282240</v>
      </c>
      <c r="E25" s="411">
        <f t="shared" si="3"/>
        <v>15742135</v>
      </c>
      <c r="F25" s="411">
        <f>'- 63 -'!G25</f>
        <v>667852</v>
      </c>
      <c r="G25" s="337">
        <f t="shared" si="1"/>
        <v>4.2424486894566718</v>
      </c>
      <c r="H25" s="499">
        <v>4.2424486894566717E-2</v>
      </c>
      <c r="I25" s="411">
        <v>15742135</v>
      </c>
      <c r="J25" s="1">
        <f t="shared" si="0"/>
        <v>0</v>
      </c>
      <c r="K25" s="1">
        <f t="shared" si="2"/>
        <v>0</v>
      </c>
    </row>
    <row r="26" spans="1:11" ht="14.1" customHeight="1">
      <c r="A26" s="270" t="s">
        <v>250</v>
      </c>
      <c r="B26" s="171">
        <f>'- 3 -'!B24</f>
        <v>49284522</v>
      </c>
      <c r="C26" s="171">
        <v>855979</v>
      </c>
      <c r="D26" s="171">
        <v>-348633</v>
      </c>
      <c r="E26" s="171">
        <f t="shared" si="3"/>
        <v>49791868</v>
      </c>
      <c r="F26" s="171">
        <f>'- 63 -'!G26</f>
        <v>2014485</v>
      </c>
      <c r="G26" s="79">
        <f t="shared" si="1"/>
        <v>4.0458112557657007</v>
      </c>
      <c r="H26" s="158">
        <v>4.0458112557657008E-2</v>
      </c>
      <c r="I26" s="171">
        <v>49791868</v>
      </c>
      <c r="J26" s="1">
        <f t="shared" si="0"/>
        <v>0</v>
      </c>
      <c r="K26" s="1">
        <f t="shared" si="2"/>
        <v>0</v>
      </c>
    </row>
    <row r="27" spans="1:11" ht="14.1" customHeight="1">
      <c r="A27" s="413" t="s">
        <v>251</v>
      </c>
      <c r="B27" s="411">
        <f>'- 3 -'!B25</f>
        <v>146591132</v>
      </c>
      <c r="C27" s="411">
        <v>1825883</v>
      </c>
      <c r="D27" s="411">
        <v>0</v>
      </c>
      <c r="E27" s="411">
        <f t="shared" si="3"/>
        <v>148417015</v>
      </c>
      <c r="F27" s="411">
        <f>'- 63 -'!G27</f>
        <v>5525534</v>
      </c>
      <c r="G27" s="337">
        <f t="shared" si="1"/>
        <v>3.7229787972760402</v>
      </c>
      <c r="H27" s="499">
        <v>3.72297879727604E-2</v>
      </c>
      <c r="I27" s="411">
        <v>148417015</v>
      </c>
      <c r="J27" s="1">
        <f t="shared" si="0"/>
        <v>0</v>
      </c>
      <c r="K27" s="1">
        <f t="shared" si="2"/>
        <v>0</v>
      </c>
    </row>
    <row r="28" spans="1:11" ht="14.1" customHeight="1">
      <c r="A28" s="270" t="s">
        <v>252</v>
      </c>
      <c r="B28" s="171">
        <f>'- 3 -'!B26</f>
        <v>35970835</v>
      </c>
      <c r="C28" s="171">
        <v>840684</v>
      </c>
      <c r="D28" s="171">
        <v>0</v>
      </c>
      <c r="E28" s="171">
        <f t="shared" si="3"/>
        <v>36811519</v>
      </c>
      <c r="F28" s="171">
        <f>'- 63 -'!G28</f>
        <v>1459596</v>
      </c>
      <c r="G28" s="79">
        <f t="shared" si="1"/>
        <v>3.9650523522270298</v>
      </c>
      <c r="H28" s="158">
        <v>3.9650523522270296E-2</v>
      </c>
      <c r="I28" s="171">
        <v>36811519</v>
      </c>
      <c r="J28" s="1">
        <f t="shared" si="0"/>
        <v>0</v>
      </c>
      <c r="K28" s="1">
        <f t="shared" si="2"/>
        <v>0</v>
      </c>
    </row>
    <row r="29" spans="1:11" ht="14.1" customHeight="1">
      <c r="A29" s="413" t="s">
        <v>253</v>
      </c>
      <c r="B29" s="411">
        <f>'- 3 -'!B27</f>
        <v>39854230</v>
      </c>
      <c r="C29" s="411">
        <v>859739</v>
      </c>
      <c r="D29" s="411">
        <v>0</v>
      </c>
      <c r="E29" s="411">
        <f t="shared" si="3"/>
        <v>40713969</v>
      </c>
      <c r="F29" s="411">
        <f>'- 63 -'!G29</f>
        <v>2451777</v>
      </c>
      <c r="G29" s="337">
        <f t="shared" si="1"/>
        <v>6.0219552655256967</v>
      </c>
      <c r="H29" s="499">
        <v>6.0219552655256969E-2</v>
      </c>
      <c r="I29" s="411">
        <v>40713969</v>
      </c>
      <c r="J29" s="1">
        <f t="shared" si="0"/>
        <v>0</v>
      </c>
      <c r="K29" s="1">
        <f t="shared" si="2"/>
        <v>0</v>
      </c>
    </row>
    <row r="30" spans="1:11" ht="14.1" customHeight="1">
      <c r="A30" s="270" t="s">
        <v>254</v>
      </c>
      <c r="B30" s="171">
        <f>'- 3 -'!B28</f>
        <v>24871427</v>
      </c>
      <c r="C30" s="171">
        <v>62221</v>
      </c>
      <c r="D30" s="171">
        <v>-135751</v>
      </c>
      <c r="E30" s="171">
        <f t="shared" si="3"/>
        <v>24797897</v>
      </c>
      <c r="F30" s="171">
        <f>'- 63 -'!G30</f>
        <v>1121410</v>
      </c>
      <c r="G30" s="79">
        <f t="shared" si="1"/>
        <v>4.5221979912248207</v>
      </c>
      <c r="H30" s="158">
        <v>4.5221979912248203E-2</v>
      </c>
      <c r="I30" s="171">
        <v>24797897</v>
      </c>
      <c r="J30" s="1">
        <f t="shared" si="0"/>
        <v>0</v>
      </c>
      <c r="K30" s="1">
        <f t="shared" si="2"/>
        <v>0</v>
      </c>
    </row>
    <row r="31" spans="1:11" ht="14.1" customHeight="1">
      <c r="A31" s="413" t="s">
        <v>255</v>
      </c>
      <c r="B31" s="411">
        <f>'- 3 -'!B29</f>
        <v>136669064</v>
      </c>
      <c r="C31" s="411">
        <v>1212697</v>
      </c>
      <c r="D31" s="411">
        <v>0</v>
      </c>
      <c r="E31" s="411">
        <f t="shared" si="3"/>
        <v>137881761</v>
      </c>
      <c r="F31" s="411">
        <f>'- 63 -'!G31</f>
        <v>4899356</v>
      </c>
      <c r="G31" s="337">
        <f t="shared" si="1"/>
        <v>3.5533024560079416</v>
      </c>
      <c r="H31" s="499">
        <v>3.5533024560079417E-2</v>
      </c>
      <c r="I31" s="411">
        <v>137881761</v>
      </c>
      <c r="J31" s="1">
        <f t="shared" si="0"/>
        <v>0</v>
      </c>
      <c r="K31" s="1">
        <f t="shared" si="2"/>
        <v>0</v>
      </c>
    </row>
    <row r="32" spans="1:11" ht="14.1" customHeight="1">
      <c r="A32" s="270" t="s">
        <v>256</v>
      </c>
      <c r="B32" s="171">
        <f>'- 3 -'!B30</f>
        <v>12920903</v>
      </c>
      <c r="C32" s="171">
        <v>269358</v>
      </c>
      <c r="D32" s="171">
        <v>0</v>
      </c>
      <c r="E32" s="171">
        <f t="shared" si="3"/>
        <v>13190261</v>
      </c>
      <c r="F32" s="171">
        <f>'- 63 -'!G32</f>
        <v>629445</v>
      </c>
      <c r="G32" s="79">
        <f t="shared" si="1"/>
        <v>4.7720435554686897</v>
      </c>
      <c r="H32" s="158">
        <v>4.7720435554686899E-2</v>
      </c>
      <c r="I32" s="171">
        <v>13190261</v>
      </c>
      <c r="J32" s="1">
        <f t="shared" si="0"/>
        <v>0</v>
      </c>
      <c r="K32" s="1">
        <f t="shared" si="2"/>
        <v>0</v>
      </c>
    </row>
    <row r="33" spans="1:11" ht="14.1" customHeight="1">
      <c r="A33" s="413" t="s">
        <v>257</v>
      </c>
      <c r="B33" s="411">
        <f>'- 3 -'!B31</f>
        <v>32097047</v>
      </c>
      <c r="C33" s="411">
        <v>620393</v>
      </c>
      <c r="D33" s="411">
        <v>0</v>
      </c>
      <c r="E33" s="411">
        <f t="shared" si="3"/>
        <v>32717440</v>
      </c>
      <c r="F33" s="411">
        <f>'- 63 -'!G33</f>
        <v>1215301</v>
      </c>
      <c r="G33" s="337">
        <f t="shared" si="1"/>
        <v>3.7145357338471472</v>
      </c>
      <c r="H33" s="499">
        <v>3.714535733847147E-2</v>
      </c>
      <c r="I33" s="411">
        <v>32717440</v>
      </c>
      <c r="J33" s="1">
        <f t="shared" si="0"/>
        <v>0</v>
      </c>
      <c r="K33" s="1">
        <f t="shared" si="2"/>
        <v>0</v>
      </c>
    </row>
    <row r="34" spans="1:11" ht="14.1" customHeight="1">
      <c r="A34" s="270" t="s">
        <v>258</v>
      </c>
      <c r="B34" s="171">
        <f>'- 3 -'!B32</f>
        <v>23898175</v>
      </c>
      <c r="C34" s="171">
        <v>512996</v>
      </c>
      <c r="D34" s="171">
        <v>-246848</v>
      </c>
      <c r="E34" s="171">
        <f t="shared" si="3"/>
        <v>24164323</v>
      </c>
      <c r="F34" s="171">
        <f>'- 63 -'!G34</f>
        <v>1093056</v>
      </c>
      <c r="G34" s="79">
        <f t="shared" si="1"/>
        <v>4.5234290238547139</v>
      </c>
      <c r="H34" s="158">
        <v>4.5234290238547137E-2</v>
      </c>
      <c r="I34" s="171">
        <v>24164323</v>
      </c>
      <c r="J34" s="1">
        <f t="shared" si="0"/>
        <v>0</v>
      </c>
      <c r="K34" s="1">
        <f t="shared" si="2"/>
        <v>0</v>
      </c>
    </row>
    <row r="35" spans="1:11" ht="14.1" customHeight="1">
      <c r="A35" s="413" t="s">
        <v>259</v>
      </c>
      <c r="B35" s="411">
        <f>'- 3 -'!B33</f>
        <v>24604684</v>
      </c>
      <c r="C35" s="411">
        <v>1866460</v>
      </c>
      <c r="D35" s="411">
        <v>0</v>
      </c>
      <c r="E35" s="411">
        <f t="shared" si="3"/>
        <v>26471144</v>
      </c>
      <c r="F35" s="411">
        <f>'- 63 -'!G35</f>
        <v>1178254</v>
      </c>
      <c r="G35" s="337">
        <f t="shared" si="1"/>
        <v>4.4510883247055739</v>
      </c>
      <c r="H35" s="499">
        <v>4.4510883247055738E-2</v>
      </c>
      <c r="I35" s="411">
        <v>26471144</v>
      </c>
      <c r="J35" s="1">
        <f t="shared" si="0"/>
        <v>0</v>
      </c>
      <c r="K35" s="1">
        <f t="shared" si="2"/>
        <v>0</v>
      </c>
    </row>
    <row r="36" spans="1:11" ht="14.1" customHeight="1">
      <c r="A36" s="270" t="s">
        <v>260</v>
      </c>
      <c r="B36" s="171">
        <f>'- 3 -'!B34</f>
        <v>22989029</v>
      </c>
      <c r="C36" s="171">
        <v>656042</v>
      </c>
      <c r="D36" s="171">
        <v>0</v>
      </c>
      <c r="E36" s="171">
        <f t="shared" si="3"/>
        <v>23645071</v>
      </c>
      <c r="F36" s="171">
        <f>'- 63 -'!G36</f>
        <v>1031858</v>
      </c>
      <c r="G36" s="79">
        <f t="shared" si="1"/>
        <v>4.3639454497725971</v>
      </c>
      <c r="H36" s="158">
        <v>4.3639454497725973E-2</v>
      </c>
      <c r="I36" s="171">
        <v>23645071</v>
      </c>
      <c r="J36" s="1">
        <f t="shared" si="0"/>
        <v>0</v>
      </c>
      <c r="K36" s="1">
        <f t="shared" si="2"/>
        <v>0</v>
      </c>
    </row>
    <row r="37" spans="1:11" ht="14.1" customHeight="1">
      <c r="A37" s="413" t="s">
        <v>261</v>
      </c>
      <c r="B37" s="411">
        <f>'- 3 -'!B35</f>
        <v>161378600</v>
      </c>
      <c r="C37" s="411">
        <v>7227575</v>
      </c>
      <c r="D37" s="411">
        <v>-1013370</v>
      </c>
      <c r="E37" s="411">
        <f t="shared" si="3"/>
        <v>167592805</v>
      </c>
      <c r="F37" s="411">
        <f>'- 63 -'!G37</f>
        <v>5558103</v>
      </c>
      <c r="G37" s="337">
        <f t="shared" si="1"/>
        <v>3.3164329459131614</v>
      </c>
      <c r="H37" s="499">
        <v>3.3164329459131614E-2</v>
      </c>
      <c r="I37" s="411">
        <v>167592805</v>
      </c>
      <c r="J37" s="1">
        <f t="shared" si="0"/>
        <v>0</v>
      </c>
      <c r="K37" s="1">
        <f t="shared" si="2"/>
        <v>0</v>
      </c>
    </row>
    <row r="38" spans="1:11" ht="14.1" customHeight="1">
      <c r="A38" s="270" t="s">
        <v>262</v>
      </c>
      <c r="B38" s="171">
        <f>'- 3 -'!B36</f>
        <v>20574396</v>
      </c>
      <c r="C38" s="171">
        <v>1329357</v>
      </c>
      <c r="D38" s="171">
        <v>-156537</v>
      </c>
      <c r="E38" s="171">
        <f t="shared" si="3"/>
        <v>21747216</v>
      </c>
      <c r="F38" s="171">
        <f>'- 63 -'!G38</f>
        <v>971474</v>
      </c>
      <c r="G38" s="79">
        <f t="shared" si="1"/>
        <v>4.467118917658242</v>
      </c>
      <c r="H38" s="158">
        <v>4.4671189176582415E-2</v>
      </c>
      <c r="I38" s="171">
        <v>21747216</v>
      </c>
      <c r="J38" s="1">
        <f t="shared" si="0"/>
        <v>0</v>
      </c>
      <c r="K38" s="1">
        <f t="shared" si="2"/>
        <v>0</v>
      </c>
    </row>
    <row r="39" spans="1:11" ht="14.1" customHeight="1">
      <c r="A39" s="413" t="s">
        <v>263</v>
      </c>
      <c r="B39" s="411">
        <f>'- 3 -'!B37</f>
        <v>38102866</v>
      </c>
      <c r="C39" s="411">
        <v>1090824</v>
      </c>
      <c r="D39" s="411">
        <v>-303443</v>
      </c>
      <c r="E39" s="411">
        <f t="shared" si="3"/>
        <v>38890247</v>
      </c>
      <c r="F39" s="411">
        <f>'- 63 -'!G39</f>
        <v>1512713</v>
      </c>
      <c r="G39" s="337">
        <f t="shared" si="1"/>
        <v>3.8896975892181911</v>
      </c>
      <c r="H39" s="499">
        <v>3.8896975892181912E-2</v>
      </c>
      <c r="I39" s="411">
        <v>38890247</v>
      </c>
      <c r="J39" s="1">
        <f t="shared" si="0"/>
        <v>0</v>
      </c>
      <c r="K39" s="1">
        <f t="shared" si="2"/>
        <v>0</v>
      </c>
    </row>
    <row r="40" spans="1:11" ht="14.1" customHeight="1">
      <c r="A40" s="270" t="s">
        <v>264</v>
      </c>
      <c r="B40" s="171">
        <f>'- 3 -'!B38</f>
        <v>103819604</v>
      </c>
      <c r="C40" s="171">
        <v>8317959</v>
      </c>
      <c r="D40" s="171">
        <v>-595979</v>
      </c>
      <c r="E40" s="171">
        <f t="shared" si="3"/>
        <v>111541584</v>
      </c>
      <c r="F40" s="171">
        <f>'- 63 -'!G40</f>
        <v>3795785</v>
      </c>
      <c r="G40" s="79">
        <f t="shared" si="1"/>
        <v>3.4030223203572221</v>
      </c>
      <c r="H40" s="158">
        <v>3.403022320357222E-2</v>
      </c>
      <c r="I40" s="171">
        <v>111541584</v>
      </c>
      <c r="J40" s="1">
        <f t="shared" si="0"/>
        <v>0</v>
      </c>
      <c r="K40" s="1">
        <f t="shared" si="2"/>
        <v>0</v>
      </c>
    </row>
    <row r="41" spans="1:11" ht="14.1" customHeight="1">
      <c r="A41" s="413" t="s">
        <v>265</v>
      </c>
      <c r="B41" s="411">
        <f>'- 3 -'!B39</f>
        <v>19107909</v>
      </c>
      <c r="C41" s="411">
        <v>618075</v>
      </c>
      <c r="D41" s="411">
        <v>0</v>
      </c>
      <c r="E41" s="411">
        <f t="shared" si="3"/>
        <v>19725984</v>
      </c>
      <c r="F41" s="411">
        <f>'- 63 -'!G41</f>
        <v>905518</v>
      </c>
      <c r="G41" s="337">
        <f t="shared" si="1"/>
        <v>4.59048329350769</v>
      </c>
      <c r="H41" s="499">
        <v>4.5904832935076904E-2</v>
      </c>
      <c r="I41" s="411">
        <v>19725984</v>
      </c>
      <c r="J41" s="1">
        <f t="shared" si="0"/>
        <v>0</v>
      </c>
      <c r="K41" s="1">
        <f t="shared" si="2"/>
        <v>0</v>
      </c>
    </row>
    <row r="42" spans="1:11" ht="14.1" customHeight="1">
      <c r="A42" s="270" t="s">
        <v>266</v>
      </c>
      <c r="B42" s="171">
        <f>'- 3 -'!B40</f>
        <v>91292210</v>
      </c>
      <c r="C42" s="171">
        <v>3159601</v>
      </c>
      <c r="D42" s="171">
        <v>0</v>
      </c>
      <c r="E42" s="171">
        <f t="shared" si="3"/>
        <v>94451811</v>
      </c>
      <c r="F42" s="171">
        <f>'- 63 -'!G42</f>
        <v>3312293</v>
      </c>
      <c r="G42" s="79">
        <f t="shared" si="1"/>
        <v>3.5068602337333692</v>
      </c>
      <c r="H42" s="158">
        <v>3.5068602337333693E-2</v>
      </c>
      <c r="I42" s="171">
        <v>94451811</v>
      </c>
      <c r="J42" s="1">
        <f t="shared" si="0"/>
        <v>0</v>
      </c>
      <c r="K42" s="1">
        <f t="shared" si="2"/>
        <v>0</v>
      </c>
    </row>
    <row r="43" spans="1:11" ht="14.1" customHeight="1">
      <c r="A43" s="413" t="s">
        <v>267</v>
      </c>
      <c r="B43" s="411">
        <f>'- 3 -'!B41</f>
        <v>55887829</v>
      </c>
      <c r="C43" s="411">
        <v>1987004</v>
      </c>
      <c r="D43" s="411">
        <v>-964216</v>
      </c>
      <c r="E43" s="411">
        <f t="shared" si="3"/>
        <v>56910617</v>
      </c>
      <c r="F43" s="411">
        <f>'- 63 -'!G43</f>
        <v>2483246</v>
      </c>
      <c r="G43" s="337">
        <f t="shared" si="1"/>
        <v>4.3634142993037663</v>
      </c>
      <c r="H43" s="499">
        <v>4.363414299303766E-2</v>
      </c>
      <c r="I43" s="411">
        <v>56910617</v>
      </c>
      <c r="J43" s="1">
        <f t="shared" si="0"/>
        <v>0</v>
      </c>
      <c r="K43" s="1">
        <f t="shared" si="2"/>
        <v>0</v>
      </c>
    </row>
    <row r="44" spans="1:11" ht="14.1" customHeight="1">
      <c r="A44" s="270" t="s">
        <v>268</v>
      </c>
      <c r="B44" s="171">
        <f>'- 3 -'!B42</f>
        <v>19203822</v>
      </c>
      <c r="C44" s="171">
        <v>822120</v>
      </c>
      <c r="D44" s="171">
        <v>0</v>
      </c>
      <c r="E44" s="171">
        <f t="shared" si="3"/>
        <v>20025942</v>
      </c>
      <c r="F44" s="171">
        <f>'- 63 -'!G44</f>
        <v>899827</v>
      </c>
      <c r="G44" s="79">
        <f t="shared" si="1"/>
        <v>4.4933067318381328</v>
      </c>
      <c r="H44" s="158">
        <v>4.4933067318381328E-2</v>
      </c>
      <c r="I44" s="171">
        <v>20025942</v>
      </c>
      <c r="J44" s="1">
        <f t="shared" si="0"/>
        <v>0</v>
      </c>
      <c r="K44" s="1">
        <f t="shared" si="2"/>
        <v>0</v>
      </c>
    </row>
    <row r="45" spans="1:11" ht="14.1" customHeight="1">
      <c r="A45" s="413" t="s">
        <v>269</v>
      </c>
      <c r="B45" s="411">
        <f>'- 3 -'!B43</f>
        <v>11331494</v>
      </c>
      <c r="C45" s="411">
        <v>265926</v>
      </c>
      <c r="D45" s="411">
        <v>-241517</v>
      </c>
      <c r="E45" s="411">
        <f t="shared" si="3"/>
        <v>11355903</v>
      </c>
      <c r="F45" s="411">
        <f>'- 63 -'!G45</f>
        <v>574001</v>
      </c>
      <c r="G45" s="337">
        <f t="shared" si="1"/>
        <v>5.0546486703875511</v>
      </c>
      <c r="H45" s="499">
        <v>5.0546486703875508E-2</v>
      </c>
      <c r="I45" s="411">
        <v>11355903</v>
      </c>
      <c r="J45" s="1">
        <f t="shared" si="0"/>
        <v>0</v>
      </c>
      <c r="K45" s="1">
        <f t="shared" si="2"/>
        <v>0</v>
      </c>
    </row>
    <row r="46" spans="1:11" ht="14.1" customHeight="1">
      <c r="A46" s="270" t="s">
        <v>270</v>
      </c>
      <c r="B46" s="171">
        <f>'- 3 -'!B44</f>
        <v>9765347</v>
      </c>
      <c r="C46" s="171">
        <v>464446</v>
      </c>
      <c r="D46" s="171">
        <v>0</v>
      </c>
      <c r="E46" s="171">
        <f t="shared" si="3"/>
        <v>10229793</v>
      </c>
      <c r="F46" s="171">
        <f>'- 63 -'!G46</f>
        <v>418778</v>
      </c>
      <c r="G46" s="79">
        <f t="shared" si="1"/>
        <v>4.093709423054797</v>
      </c>
      <c r="H46" s="158">
        <v>4.093709423054797E-2</v>
      </c>
      <c r="I46" s="171">
        <v>10229793</v>
      </c>
      <c r="J46" s="1">
        <f t="shared" si="0"/>
        <v>0</v>
      </c>
      <c r="K46" s="1">
        <f t="shared" si="2"/>
        <v>0</v>
      </c>
    </row>
    <row r="47" spans="1:11" ht="14.1" customHeight="1">
      <c r="A47" s="413" t="s">
        <v>271</v>
      </c>
      <c r="B47" s="411">
        <f>'- 3 -'!B45</f>
        <v>15648878</v>
      </c>
      <c r="C47" s="411">
        <v>351764</v>
      </c>
      <c r="D47" s="411">
        <v>-372790</v>
      </c>
      <c r="E47" s="411">
        <f t="shared" si="3"/>
        <v>15627852</v>
      </c>
      <c r="F47" s="411">
        <f>'- 63 -'!G47</f>
        <v>647675</v>
      </c>
      <c r="G47" s="337">
        <f t="shared" si="1"/>
        <v>4.1443635376122074</v>
      </c>
      <c r="H47" s="499">
        <v>4.144363537612207E-2</v>
      </c>
      <c r="I47" s="411">
        <v>15627852</v>
      </c>
      <c r="J47" s="1">
        <f t="shared" si="0"/>
        <v>0</v>
      </c>
      <c r="K47" s="1">
        <f t="shared" si="2"/>
        <v>0</v>
      </c>
    </row>
    <row r="48" spans="1:11" ht="14.1" customHeight="1">
      <c r="A48" s="270" t="s">
        <v>272</v>
      </c>
      <c r="B48" s="171">
        <f>'- 3 -'!B46</f>
        <v>338327854</v>
      </c>
      <c r="C48" s="171">
        <v>2445851</v>
      </c>
      <c r="D48" s="171">
        <v>-752018</v>
      </c>
      <c r="E48" s="171">
        <f t="shared" si="3"/>
        <v>340021687</v>
      </c>
      <c r="F48" s="171">
        <f>'- 63 -'!G48</f>
        <v>10724314</v>
      </c>
      <c r="G48" s="79">
        <f t="shared" si="1"/>
        <v>3.154008820619727</v>
      </c>
      <c r="H48" s="158">
        <v>3.1540088206197268E-2</v>
      </c>
      <c r="I48" s="171">
        <v>340021687</v>
      </c>
      <c r="J48" s="1">
        <f t="shared" si="0"/>
        <v>0</v>
      </c>
      <c r="K48" s="1">
        <f t="shared" si="2"/>
        <v>0</v>
      </c>
    </row>
    <row r="49" spans="1:11" ht="5.0999999999999996" customHeight="1">
      <c r="A49" s="148"/>
      <c r="B49" s="172"/>
      <c r="C49" s="172"/>
      <c r="D49" s="172"/>
      <c r="E49" s="172"/>
      <c r="F49" s="172"/>
      <c r="G49"/>
      <c r="H49" s="149"/>
      <c r="I49" s="172"/>
    </row>
    <row r="50" spans="1:11" ht="14.45" customHeight="1">
      <c r="A50" s="414" t="s">
        <v>273</v>
      </c>
      <c r="B50" s="415">
        <f>SUM(B13:B48)</f>
        <v>1765328161</v>
      </c>
      <c r="C50" s="415">
        <f>SUM(C13:C48)</f>
        <v>45880578</v>
      </c>
      <c r="D50" s="415">
        <f>SUM(D13:D48)</f>
        <v>-6652058</v>
      </c>
      <c r="E50" s="415">
        <f>SUM(E13:E48)</f>
        <v>1804556681</v>
      </c>
      <c r="F50" s="415">
        <f>SUM(F13:F48)</f>
        <v>67244598</v>
      </c>
      <c r="G50" s="340">
        <f t="shared" si="1"/>
        <v>3.7263777141506145</v>
      </c>
      <c r="H50" s="500"/>
      <c r="I50" s="415">
        <f>SUM(I13:I48)</f>
        <v>1804556681</v>
      </c>
      <c r="J50" s="1">
        <f>I50-E50</f>
        <v>0</v>
      </c>
    </row>
    <row r="51" spans="1:11" ht="5.0999999999999996" customHeight="1">
      <c r="A51" s="148" t="s">
        <v>18</v>
      </c>
      <c r="B51" s="172"/>
      <c r="C51" s="172"/>
      <c r="D51" s="172"/>
      <c r="E51" s="172"/>
      <c r="F51" s="172"/>
      <c r="G51"/>
      <c r="H51" s="149"/>
      <c r="I51" s="172"/>
    </row>
    <row r="52" spans="1:11" ht="14.45" customHeight="1">
      <c r="A52" s="270" t="s">
        <v>274</v>
      </c>
      <c r="B52" s="171">
        <f>'- 3 -'!B50</f>
        <v>3230535</v>
      </c>
      <c r="C52" s="171">
        <v>46674</v>
      </c>
      <c r="D52" s="171">
        <v>0</v>
      </c>
      <c r="E52" s="171">
        <f>SUM(B52:D52)</f>
        <v>3277209</v>
      </c>
      <c r="F52" s="171">
        <f>'- 63 -'!G52</f>
        <v>199033</v>
      </c>
      <c r="G52" s="79">
        <f t="shared" si="1"/>
        <v>6.0732470831124905</v>
      </c>
      <c r="H52" s="158">
        <v>6.0732470831124902E-2</v>
      </c>
      <c r="I52" s="171">
        <v>3277209</v>
      </c>
      <c r="J52" s="1">
        <f>I52-E52</f>
        <v>0</v>
      </c>
      <c r="K52" s="1">
        <f t="shared" si="2"/>
        <v>0</v>
      </c>
    </row>
    <row r="53" spans="1:11" ht="50.1" customHeight="1">
      <c r="A53" s="30"/>
      <c r="B53" s="30"/>
      <c r="C53" s="30"/>
      <c r="D53" s="30"/>
      <c r="E53" s="30"/>
      <c r="F53" s="30"/>
      <c r="G53" s="30"/>
    </row>
    <row r="54" spans="1:11" ht="14.45" customHeight="1">
      <c r="A54" s="644" t="s">
        <v>608</v>
      </c>
      <c r="B54" s="295"/>
      <c r="C54" s="295"/>
      <c r="D54" s="295"/>
      <c r="E54" s="206"/>
      <c r="F54" s="206"/>
      <c r="G54" s="206"/>
    </row>
    <row r="55" spans="1:11" ht="12" customHeight="1">
      <c r="A55" s="45" t="s">
        <v>599</v>
      </c>
      <c r="B55" s="45"/>
      <c r="C55" s="45"/>
      <c r="D55" s="45"/>
    </row>
    <row r="56" spans="1:11" ht="14.45" customHeight="1">
      <c r="A56" s="45"/>
      <c r="B56" s="45"/>
      <c r="C56" s="45"/>
      <c r="D56" s="45"/>
    </row>
    <row r="57" spans="1:11" ht="14.45" customHeight="1">
      <c r="A57" s="45"/>
      <c r="B57" s="45"/>
      <c r="C57" s="45"/>
      <c r="D57" s="45"/>
    </row>
    <row r="58" spans="1:11" ht="14.45" customHeight="1">
      <c r="A58" s="45"/>
      <c r="B58" s="45"/>
      <c r="C58" s="45"/>
      <c r="D58" s="45"/>
    </row>
    <row r="59" spans="1:11">
      <c r="A59" s="45"/>
    </row>
  </sheetData>
  <phoneticPr fontId="0" type="noConversion"/>
  <pageMargins left="0.5" right="0.5" top="0.6" bottom="0.2" header="0.3" footer="0.5"/>
  <pageSetup scale="88"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sheetPr transitionEvaluation="1" transitionEntry="1" codeName="Sheet44">
    <pageSetUpPr autoPageBreaks="0" fitToPage="1"/>
  </sheetPr>
  <dimension ref="A1:I55"/>
  <sheetViews>
    <sheetView showGridLines="0" showZeros="0" defaultGridColor="0" colorId="22" workbookViewId="0"/>
  </sheetViews>
  <sheetFormatPr defaultColWidth="15.83203125" defaultRowHeight="12.75"/>
  <cols>
    <col min="1" max="1" width="28.1640625" style="613" customWidth="1"/>
    <col min="2" max="2" width="16.83203125" style="617" bestFit="1" customWidth="1"/>
    <col min="3" max="3" width="13" style="613" customWidth="1"/>
    <col min="4" max="4" width="11.83203125" style="613" customWidth="1"/>
    <col min="5" max="5" width="15.1640625" style="613" customWidth="1"/>
    <col min="6" max="6" width="15.5" style="613" customWidth="1"/>
    <col min="7" max="7" width="14.33203125" style="613" customWidth="1"/>
    <col min="8" max="8" width="8.5" style="613" customWidth="1"/>
    <col min="9" max="9" width="11.83203125" style="613" customWidth="1"/>
    <col min="10" max="16384" width="15.83203125" style="613"/>
  </cols>
  <sheetData>
    <row r="1" spans="1:9">
      <c r="A1" s="664"/>
      <c r="B1" s="665"/>
      <c r="C1" s="666"/>
      <c r="D1" s="666"/>
      <c r="E1" s="666"/>
      <c r="F1" s="666"/>
      <c r="G1" s="666"/>
      <c r="H1" s="666"/>
      <c r="I1" s="666"/>
    </row>
    <row r="2" spans="1:9" s="614" customFormat="1" ht="15.95" customHeight="1">
      <c r="A2" s="722" t="s">
        <v>716</v>
      </c>
      <c r="B2" s="722"/>
      <c r="C2" s="722"/>
      <c r="D2" s="722"/>
      <c r="E2" s="722"/>
      <c r="F2" s="722"/>
      <c r="G2" s="722"/>
      <c r="H2" s="722"/>
      <c r="I2" s="667"/>
    </row>
    <row r="3" spans="1:9" s="614" customFormat="1" ht="16.5" customHeight="1">
      <c r="A3" s="723" t="str">
        <f>Data!B5&amp;" "&amp;"ACTUAL"</f>
        <v>2011/12 ACTUAL</v>
      </c>
      <c r="B3" s="723"/>
      <c r="C3" s="723"/>
      <c r="D3" s="723"/>
      <c r="E3" s="723"/>
      <c r="F3" s="723"/>
      <c r="G3" s="723"/>
      <c r="H3" s="723"/>
      <c r="I3" s="668"/>
    </row>
    <row r="4" spans="1:9">
      <c r="A4" s="666"/>
      <c r="B4" s="669"/>
      <c r="C4" s="666"/>
      <c r="D4" s="666"/>
      <c r="E4" s="666"/>
      <c r="F4" s="666"/>
      <c r="G4" s="666"/>
      <c r="H4" s="666"/>
      <c r="I4" s="666"/>
    </row>
    <row r="5" spans="1:9">
      <c r="A5" s="666"/>
      <c r="B5" s="669"/>
      <c r="C5" s="666"/>
      <c r="D5" s="666"/>
      <c r="E5" s="666"/>
      <c r="F5" s="666"/>
      <c r="G5" s="666"/>
      <c r="H5" s="666"/>
      <c r="I5" s="666"/>
    </row>
    <row r="6" spans="1:9">
      <c r="A6" s="666"/>
      <c r="B6" s="666"/>
      <c r="C6" s="666"/>
      <c r="D6" s="666"/>
      <c r="E6" s="666"/>
      <c r="F6" s="666"/>
      <c r="G6" s="666"/>
      <c r="H6" s="666"/>
      <c r="I6" s="666"/>
    </row>
    <row r="7" spans="1:9">
      <c r="A7" s="666"/>
      <c r="B7" s="721"/>
      <c r="C7" s="721"/>
      <c r="D7" s="721"/>
      <c r="E7" s="721"/>
      <c r="F7" s="721"/>
      <c r="G7" s="721"/>
      <c r="H7" s="721"/>
      <c r="I7" s="666"/>
    </row>
    <row r="8" spans="1:9" ht="39" customHeight="1">
      <c r="A8" s="670"/>
      <c r="B8" s="724" t="s">
        <v>538</v>
      </c>
      <c r="C8" s="719" t="s">
        <v>679</v>
      </c>
      <c r="D8" s="720"/>
      <c r="E8" s="725" t="s">
        <v>539</v>
      </c>
      <c r="F8" s="717" t="s">
        <v>540</v>
      </c>
      <c r="G8" s="717" t="s">
        <v>681</v>
      </c>
      <c r="H8" s="717" t="s">
        <v>682</v>
      </c>
      <c r="I8" s="717" t="s">
        <v>541</v>
      </c>
    </row>
    <row r="9" spans="1:9" ht="19.5" customHeight="1">
      <c r="A9" s="671" t="s">
        <v>542</v>
      </c>
      <c r="B9" s="718"/>
      <c r="C9" s="650" t="s">
        <v>678</v>
      </c>
      <c r="D9" s="649" t="s">
        <v>59</v>
      </c>
      <c r="E9" s="718"/>
      <c r="F9" s="718"/>
      <c r="G9" s="718"/>
      <c r="H9" s="718"/>
      <c r="I9" s="718"/>
    </row>
    <row r="10" spans="1:9" ht="3.95" customHeight="1">
      <c r="A10" s="672"/>
      <c r="B10" s="669"/>
      <c r="C10" s="666"/>
      <c r="D10" s="666"/>
      <c r="E10" s="666"/>
      <c r="F10" s="666"/>
      <c r="G10" s="666"/>
      <c r="H10" s="666"/>
      <c r="I10" s="666"/>
    </row>
    <row r="11" spans="1:9">
      <c r="A11" s="413" t="s">
        <v>543</v>
      </c>
      <c r="B11" s="673">
        <v>9.9700000000000006</v>
      </c>
      <c r="C11" s="673">
        <v>100.51</v>
      </c>
      <c r="D11" s="673">
        <v>47.499999999999993</v>
      </c>
      <c r="E11" s="673">
        <v>40</v>
      </c>
      <c r="F11" s="673">
        <v>8.5</v>
      </c>
      <c r="G11" s="673">
        <v>1.2</v>
      </c>
      <c r="H11" s="673">
        <v>2.25</v>
      </c>
      <c r="I11" s="673">
        <f t="shared" ref="I11:I46" si="0">SUM(B11:H11)</f>
        <v>209.92999999999998</v>
      </c>
    </row>
    <row r="12" spans="1:9">
      <c r="A12" s="270" t="s">
        <v>544</v>
      </c>
      <c r="B12" s="674">
        <v>20.914999999999999</v>
      </c>
      <c r="C12" s="674">
        <v>181.35</v>
      </c>
      <c r="D12" s="674">
        <v>101.14450000000001</v>
      </c>
      <c r="E12" s="674">
        <v>70.514499999999998</v>
      </c>
      <c r="F12" s="674">
        <v>21.3764</v>
      </c>
      <c r="G12" s="674">
        <v>4.7300000000000004</v>
      </c>
      <c r="H12" s="674">
        <v>5.03</v>
      </c>
      <c r="I12" s="674">
        <f t="shared" si="0"/>
        <v>405.06039999999996</v>
      </c>
    </row>
    <row r="13" spans="1:9">
      <c r="A13" s="413" t="s">
        <v>545</v>
      </c>
      <c r="B13" s="673">
        <v>39</v>
      </c>
      <c r="C13" s="673">
        <v>554.6</v>
      </c>
      <c r="D13" s="673">
        <v>266.83000000000004</v>
      </c>
      <c r="E13" s="673">
        <v>116.83</v>
      </c>
      <c r="F13" s="673">
        <v>41.85</v>
      </c>
      <c r="G13" s="673">
        <v>13.25</v>
      </c>
      <c r="H13" s="673">
        <v>6</v>
      </c>
      <c r="I13" s="673">
        <f t="shared" si="0"/>
        <v>1038.3600000000001</v>
      </c>
    </row>
    <row r="14" spans="1:9">
      <c r="A14" s="270" t="s">
        <v>657</v>
      </c>
      <c r="B14" s="674">
        <v>50.14</v>
      </c>
      <c r="C14" s="674">
        <v>350.53</v>
      </c>
      <c r="D14" s="674">
        <v>264.7</v>
      </c>
      <c r="E14" s="674">
        <v>73.48</v>
      </c>
      <c r="F14" s="674">
        <v>52.82</v>
      </c>
      <c r="G14" s="674">
        <v>8.1</v>
      </c>
      <c r="H14" s="674">
        <v>5</v>
      </c>
      <c r="I14" s="674">
        <f t="shared" si="0"/>
        <v>804.77</v>
      </c>
    </row>
    <row r="15" spans="1:9">
      <c r="A15" s="413" t="s">
        <v>546</v>
      </c>
      <c r="B15" s="673">
        <v>14.649999999999999</v>
      </c>
      <c r="C15" s="673">
        <v>102.75</v>
      </c>
      <c r="D15" s="673">
        <v>65.900000000000006</v>
      </c>
      <c r="E15" s="673">
        <v>35.450000000000003</v>
      </c>
      <c r="F15" s="673">
        <v>16.500000000000004</v>
      </c>
      <c r="G15" s="673">
        <v>2.11</v>
      </c>
      <c r="H15" s="673">
        <v>1</v>
      </c>
      <c r="I15" s="673">
        <f t="shared" si="0"/>
        <v>238.36</v>
      </c>
    </row>
    <row r="16" spans="1:9">
      <c r="A16" s="270" t="s">
        <v>547</v>
      </c>
      <c r="B16" s="674">
        <v>9.42</v>
      </c>
      <c r="C16" s="674">
        <v>68.75</v>
      </c>
      <c r="D16" s="674">
        <v>44</v>
      </c>
      <c r="E16" s="674">
        <v>20.8</v>
      </c>
      <c r="F16" s="674">
        <v>9.6999999999999993</v>
      </c>
      <c r="G16" s="674">
        <v>1.8</v>
      </c>
      <c r="H16" s="674">
        <v>2</v>
      </c>
      <c r="I16" s="674">
        <f t="shared" si="0"/>
        <v>156.47</v>
      </c>
    </row>
    <row r="17" spans="1:9">
      <c r="A17" s="413" t="s">
        <v>548</v>
      </c>
      <c r="B17" s="673">
        <v>11.25</v>
      </c>
      <c r="C17" s="673">
        <v>94.99</v>
      </c>
      <c r="D17" s="673">
        <v>57.49</v>
      </c>
      <c r="E17" s="673">
        <v>52.21</v>
      </c>
      <c r="F17" s="673">
        <v>12.67</v>
      </c>
      <c r="G17" s="673">
        <v>2.69</v>
      </c>
      <c r="H17" s="673">
        <v>3</v>
      </c>
      <c r="I17" s="673">
        <f t="shared" si="0"/>
        <v>234.29999999999998</v>
      </c>
    </row>
    <row r="18" spans="1:9">
      <c r="A18" s="270" t="s">
        <v>549</v>
      </c>
      <c r="B18" s="674">
        <v>64.149999999999991</v>
      </c>
      <c r="C18" s="674">
        <v>483.16</v>
      </c>
      <c r="D18" s="674">
        <v>395.58000000000004</v>
      </c>
      <c r="E18" s="674">
        <v>274.79999999999995</v>
      </c>
      <c r="F18" s="674">
        <v>62.589999999999996</v>
      </c>
      <c r="G18" s="674">
        <v>11.011702127659575</v>
      </c>
      <c r="H18" s="674">
        <v>9.0500000000000007</v>
      </c>
      <c r="I18" s="674">
        <f t="shared" si="0"/>
        <v>1300.3417021276596</v>
      </c>
    </row>
    <row r="19" spans="1:9">
      <c r="A19" s="413" t="s">
        <v>550</v>
      </c>
      <c r="B19" s="673">
        <v>18.25</v>
      </c>
      <c r="C19" s="673">
        <v>259.62</v>
      </c>
      <c r="D19" s="673">
        <v>142.28</v>
      </c>
      <c r="E19" s="673">
        <v>83.19</v>
      </c>
      <c r="F19" s="673">
        <v>17.5</v>
      </c>
      <c r="G19" s="673">
        <v>6.8</v>
      </c>
      <c r="H19" s="673">
        <v>6</v>
      </c>
      <c r="I19" s="673">
        <f t="shared" si="0"/>
        <v>533.63999999999987</v>
      </c>
    </row>
    <row r="20" spans="1:9">
      <c r="A20" s="270" t="s">
        <v>551</v>
      </c>
      <c r="B20" s="674">
        <v>38.11</v>
      </c>
      <c r="C20" s="674">
        <v>436.14</v>
      </c>
      <c r="D20" s="674">
        <v>205.58</v>
      </c>
      <c r="E20" s="674">
        <v>171.07999999999998</v>
      </c>
      <c r="F20" s="674">
        <v>70.08</v>
      </c>
      <c r="G20" s="674">
        <v>12.8</v>
      </c>
      <c r="H20" s="674">
        <v>6.33</v>
      </c>
      <c r="I20" s="674">
        <f t="shared" si="0"/>
        <v>940.12000000000012</v>
      </c>
    </row>
    <row r="21" spans="1:9">
      <c r="A21" s="413" t="s">
        <v>552</v>
      </c>
      <c r="B21" s="673">
        <v>24.9</v>
      </c>
      <c r="C21" s="673">
        <v>225.35000000000002</v>
      </c>
      <c r="D21" s="673">
        <v>127.5</v>
      </c>
      <c r="E21" s="673">
        <v>78.5</v>
      </c>
      <c r="F21" s="673">
        <v>24.52</v>
      </c>
      <c r="G21" s="673">
        <v>5.25</v>
      </c>
      <c r="H21" s="673">
        <v>6</v>
      </c>
      <c r="I21" s="673">
        <f t="shared" si="0"/>
        <v>492.02</v>
      </c>
    </row>
    <row r="22" spans="1:9">
      <c r="A22" s="270" t="s">
        <v>553</v>
      </c>
      <c r="B22" s="674">
        <v>11.5</v>
      </c>
      <c r="C22" s="674">
        <v>108</v>
      </c>
      <c r="D22" s="674">
        <v>58</v>
      </c>
      <c r="E22" s="674">
        <v>35.6</v>
      </c>
      <c r="F22" s="674">
        <v>16</v>
      </c>
      <c r="G22" s="674">
        <v>2</v>
      </c>
      <c r="H22" s="674">
        <v>2</v>
      </c>
      <c r="I22" s="674">
        <f t="shared" si="0"/>
        <v>233.1</v>
      </c>
    </row>
    <row r="23" spans="1:9">
      <c r="A23" s="413" t="s">
        <v>554</v>
      </c>
      <c r="B23" s="673">
        <v>11.5</v>
      </c>
      <c r="C23" s="673">
        <v>96</v>
      </c>
      <c r="D23" s="673">
        <v>77.8</v>
      </c>
      <c r="E23" s="673">
        <v>35.700000000000003</v>
      </c>
      <c r="F23" s="673">
        <v>10.45</v>
      </c>
      <c r="G23" s="673">
        <v>2.2999999999999998</v>
      </c>
      <c r="H23" s="673">
        <v>2</v>
      </c>
      <c r="I23" s="673">
        <f t="shared" si="0"/>
        <v>235.75</v>
      </c>
    </row>
    <row r="24" spans="1:9">
      <c r="A24" s="270" t="s">
        <v>555</v>
      </c>
      <c r="B24" s="674">
        <v>30.2</v>
      </c>
      <c r="C24" s="674">
        <v>305.23</v>
      </c>
      <c r="D24" s="674">
        <v>189.56</v>
      </c>
      <c r="E24" s="674">
        <v>122.49</v>
      </c>
      <c r="F24" s="674">
        <v>32.5</v>
      </c>
      <c r="G24" s="674">
        <v>9</v>
      </c>
      <c r="H24" s="674">
        <v>17.079999999999998</v>
      </c>
      <c r="I24" s="674">
        <f t="shared" si="0"/>
        <v>706.06000000000006</v>
      </c>
    </row>
    <row r="25" spans="1:9">
      <c r="A25" s="413" t="s">
        <v>556</v>
      </c>
      <c r="B25" s="673">
        <v>82.7</v>
      </c>
      <c r="C25" s="673">
        <v>894.51</v>
      </c>
      <c r="D25" s="673">
        <v>525.76</v>
      </c>
      <c r="E25" s="673">
        <v>170.31</v>
      </c>
      <c r="F25" s="673">
        <v>122.10000000000001</v>
      </c>
      <c r="G25" s="673">
        <v>32.590000000000003</v>
      </c>
      <c r="H25" s="673">
        <v>15</v>
      </c>
      <c r="I25" s="673">
        <f t="shared" si="0"/>
        <v>1842.9699999999998</v>
      </c>
    </row>
    <row r="26" spans="1:9">
      <c r="A26" s="270" t="s">
        <v>557</v>
      </c>
      <c r="B26" s="674">
        <v>28.02</v>
      </c>
      <c r="C26" s="674">
        <v>213.06</v>
      </c>
      <c r="D26" s="674">
        <v>144.57</v>
      </c>
      <c r="E26" s="674">
        <v>111.8</v>
      </c>
      <c r="F26" s="674">
        <v>24.36</v>
      </c>
      <c r="G26" s="674">
        <v>6.8999999999999995</v>
      </c>
      <c r="H26" s="674">
        <v>6</v>
      </c>
      <c r="I26" s="674">
        <f t="shared" si="0"/>
        <v>534.70999999999992</v>
      </c>
    </row>
    <row r="27" spans="1:9">
      <c r="A27" s="413" t="s">
        <v>558</v>
      </c>
      <c r="B27" s="673">
        <v>19.399999999999999</v>
      </c>
      <c r="C27" s="673">
        <v>226.73</v>
      </c>
      <c r="D27" s="673">
        <v>65</v>
      </c>
      <c r="E27" s="673">
        <v>36.85</v>
      </c>
      <c r="F27" s="673">
        <v>25</v>
      </c>
      <c r="G27" s="673">
        <v>9.8800000000000008</v>
      </c>
      <c r="H27" s="673">
        <v>4.5</v>
      </c>
      <c r="I27" s="673">
        <f t="shared" si="0"/>
        <v>387.36</v>
      </c>
    </row>
    <row r="28" spans="1:9">
      <c r="A28" s="270" t="s">
        <v>559</v>
      </c>
      <c r="B28" s="674">
        <v>15.2</v>
      </c>
      <c r="C28" s="674">
        <v>155.1</v>
      </c>
      <c r="D28" s="674">
        <v>80.41</v>
      </c>
      <c r="E28" s="674">
        <v>50.879999999999995</v>
      </c>
      <c r="F28" s="674">
        <v>17.75</v>
      </c>
      <c r="G28" s="674">
        <v>4</v>
      </c>
      <c r="H28" s="674">
        <v>3.3</v>
      </c>
      <c r="I28" s="674">
        <f t="shared" si="0"/>
        <v>326.64</v>
      </c>
    </row>
    <row r="29" spans="1:9">
      <c r="A29" s="413" t="s">
        <v>560</v>
      </c>
      <c r="B29" s="673">
        <v>73.050000000000011</v>
      </c>
      <c r="C29" s="673">
        <v>819.05</v>
      </c>
      <c r="D29" s="673">
        <v>490.31</v>
      </c>
      <c r="E29" s="673">
        <v>157.85000000000002</v>
      </c>
      <c r="F29" s="673">
        <v>100.61</v>
      </c>
      <c r="G29" s="673">
        <v>28.46</v>
      </c>
      <c r="H29" s="673">
        <v>18</v>
      </c>
      <c r="I29" s="673">
        <f t="shared" si="0"/>
        <v>1687.3299999999997</v>
      </c>
    </row>
    <row r="30" spans="1:9">
      <c r="A30" s="270" t="s">
        <v>561</v>
      </c>
      <c r="B30" s="674">
        <v>9.6</v>
      </c>
      <c r="C30" s="674">
        <v>77.400000000000006</v>
      </c>
      <c r="D30" s="674">
        <v>52.429999999999993</v>
      </c>
      <c r="E30" s="674">
        <v>40.25</v>
      </c>
      <c r="F30" s="674">
        <v>9.2900000000000009</v>
      </c>
      <c r="G30" s="674">
        <v>2.2999999999999998</v>
      </c>
      <c r="H30" s="674">
        <v>2</v>
      </c>
      <c r="I30" s="674">
        <f t="shared" si="0"/>
        <v>193.27</v>
      </c>
    </row>
    <row r="31" spans="1:9">
      <c r="A31" s="413" t="s">
        <v>562</v>
      </c>
      <c r="B31" s="673">
        <v>19.34</v>
      </c>
      <c r="C31" s="673">
        <v>219.96</v>
      </c>
      <c r="D31" s="673">
        <v>139.18</v>
      </c>
      <c r="E31" s="673">
        <v>72.95</v>
      </c>
      <c r="F31" s="673">
        <v>22.07</v>
      </c>
      <c r="G31" s="673">
        <v>5.1700000000000008</v>
      </c>
      <c r="H31" s="673">
        <v>6.14</v>
      </c>
      <c r="I31" s="673">
        <f t="shared" si="0"/>
        <v>484.81</v>
      </c>
    </row>
    <row r="32" spans="1:9">
      <c r="A32" s="270" t="s">
        <v>563</v>
      </c>
      <c r="B32" s="674">
        <v>14.780000000000001</v>
      </c>
      <c r="C32" s="674">
        <v>151.73000000000002</v>
      </c>
      <c r="D32" s="674">
        <v>110.19</v>
      </c>
      <c r="E32" s="674">
        <v>64.069999999999993</v>
      </c>
      <c r="F32" s="674">
        <v>18.970000000000002</v>
      </c>
      <c r="G32" s="674">
        <v>2.1</v>
      </c>
      <c r="H32" s="674">
        <v>5</v>
      </c>
      <c r="I32" s="674">
        <f t="shared" si="0"/>
        <v>366.84000000000009</v>
      </c>
    </row>
    <row r="33" spans="1:9">
      <c r="A33" s="413" t="s">
        <v>564</v>
      </c>
      <c r="B33" s="673">
        <v>17.84</v>
      </c>
      <c r="C33" s="673">
        <v>140.24</v>
      </c>
      <c r="D33" s="673">
        <v>98.79</v>
      </c>
      <c r="E33" s="673">
        <v>101.66</v>
      </c>
      <c r="F33" s="673">
        <v>19.04</v>
      </c>
      <c r="G33" s="673">
        <v>4.3099999999999996</v>
      </c>
      <c r="H33" s="673">
        <v>4</v>
      </c>
      <c r="I33" s="673">
        <f t="shared" si="0"/>
        <v>385.88</v>
      </c>
    </row>
    <row r="34" spans="1:9">
      <c r="A34" s="270" t="s">
        <v>565</v>
      </c>
      <c r="B34" s="674">
        <v>15.5</v>
      </c>
      <c r="C34" s="674">
        <v>138.22999999999999</v>
      </c>
      <c r="D34" s="674">
        <v>74.92</v>
      </c>
      <c r="E34" s="674">
        <v>76.510000000000005</v>
      </c>
      <c r="F34" s="674">
        <v>18.740000000000002</v>
      </c>
      <c r="G34" s="674">
        <v>2.95</v>
      </c>
      <c r="H34" s="674">
        <v>3</v>
      </c>
      <c r="I34" s="674">
        <f t="shared" si="0"/>
        <v>329.84999999999997</v>
      </c>
    </row>
    <row r="35" spans="1:9">
      <c r="A35" s="413" t="s">
        <v>566</v>
      </c>
      <c r="B35" s="673">
        <v>96.45</v>
      </c>
      <c r="C35" s="673">
        <v>1036.48</v>
      </c>
      <c r="D35" s="673">
        <v>403.9</v>
      </c>
      <c r="E35" s="673">
        <v>281.93</v>
      </c>
      <c r="F35" s="673">
        <v>126.57</v>
      </c>
      <c r="G35" s="673">
        <v>27.62</v>
      </c>
      <c r="H35" s="673">
        <v>16</v>
      </c>
      <c r="I35" s="673">
        <f t="shared" si="0"/>
        <v>1988.9499999999998</v>
      </c>
    </row>
    <row r="36" spans="1:9">
      <c r="A36" s="270" t="s">
        <v>567</v>
      </c>
      <c r="B36" s="674">
        <v>14.03</v>
      </c>
      <c r="C36" s="674">
        <v>124.32000000000001</v>
      </c>
      <c r="D36" s="674">
        <v>94.9</v>
      </c>
      <c r="E36" s="674">
        <v>65.47999999999999</v>
      </c>
      <c r="F36" s="674">
        <v>14.459999999999999</v>
      </c>
      <c r="G36" s="674">
        <v>2.06</v>
      </c>
      <c r="H36" s="674">
        <v>2.4</v>
      </c>
      <c r="I36" s="674">
        <f t="shared" si="0"/>
        <v>317.64999999999998</v>
      </c>
    </row>
    <row r="37" spans="1:9">
      <c r="A37" s="413" t="s">
        <v>568</v>
      </c>
      <c r="B37" s="673">
        <v>27.75</v>
      </c>
      <c r="C37" s="673">
        <v>235.46</v>
      </c>
      <c r="D37" s="673">
        <v>151</v>
      </c>
      <c r="E37" s="673">
        <v>106</v>
      </c>
      <c r="F37" s="673">
        <v>27.25</v>
      </c>
      <c r="G37" s="673">
        <v>7.5</v>
      </c>
      <c r="H37" s="673">
        <v>4</v>
      </c>
      <c r="I37" s="673">
        <f t="shared" si="0"/>
        <v>558.96</v>
      </c>
    </row>
    <row r="38" spans="1:9">
      <c r="A38" s="270" t="s">
        <v>569</v>
      </c>
      <c r="B38" s="674">
        <v>66.41</v>
      </c>
      <c r="C38" s="674">
        <v>650.98</v>
      </c>
      <c r="D38" s="674">
        <v>296.17999999999995</v>
      </c>
      <c r="E38" s="674">
        <v>124</v>
      </c>
      <c r="F38" s="674">
        <v>67.37</v>
      </c>
      <c r="G38" s="674">
        <v>24.83</v>
      </c>
      <c r="H38" s="674">
        <v>8</v>
      </c>
      <c r="I38" s="674">
        <f t="shared" si="0"/>
        <v>1237.77</v>
      </c>
    </row>
    <row r="39" spans="1:9">
      <c r="A39" s="413" t="s">
        <v>570</v>
      </c>
      <c r="B39" s="673">
        <v>11.61</v>
      </c>
      <c r="C39" s="673">
        <v>113.63000000000001</v>
      </c>
      <c r="D39" s="673">
        <v>60.44</v>
      </c>
      <c r="E39" s="673">
        <v>71.150000000000006</v>
      </c>
      <c r="F39" s="673">
        <v>20.3</v>
      </c>
      <c r="G39" s="673">
        <v>2.8000000000000003</v>
      </c>
      <c r="H39" s="673">
        <v>3.5</v>
      </c>
      <c r="I39" s="673">
        <f t="shared" si="0"/>
        <v>283.43000000000006</v>
      </c>
    </row>
    <row r="40" spans="1:9">
      <c r="A40" s="270" t="s">
        <v>571</v>
      </c>
      <c r="B40" s="674">
        <v>60.199999999999996</v>
      </c>
      <c r="C40" s="674">
        <v>543.07000000000005</v>
      </c>
      <c r="D40" s="674">
        <v>327.65999999999997</v>
      </c>
      <c r="E40" s="674">
        <v>97.31</v>
      </c>
      <c r="F40" s="674">
        <v>93.009999999999991</v>
      </c>
      <c r="G40" s="674">
        <v>21.17</v>
      </c>
      <c r="H40" s="674">
        <v>12</v>
      </c>
      <c r="I40" s="674">
        <f t="shared" si="0"/>
        <v>1154.42</v>
      </c>
    </row>
    <row r="41" spans="1:9">
      <c r="A41" s="413" t="s">
        <v>572</v>
      </c>
      <c r="B41" s="673">
        <v>28.23</v>
      </c>
      <c r="C41" s="673">
        <v>342.56</v>
      </c>
      <c r="D41" s="673">
        <v>148.30000000000001</v>
      </c>
      <c r="E41" s="673">
        <v>137.9</v>
      </c>
      <c r="F41" s="673">
        <v>45.05</v>
      </c>
      <c r="G41" s="673">
        <v>13.2</v>
      </c>
      <c r="H41" s="673">
        <v>7</v>
      </c>
      <c r="I41" s="673">
        <f t="shared" si="0"/>
        <v>722.24</v>
      </c>
    </row>
    <row r="42" spans="1:9">
      <c r="A42" s="270" t="s">
        <v>573</v>
      </c>
      <c r="B42" s="674">
        <v>11.16</v>
      </c>
      <c r="C42" s="674">
        <v>112.02</v>
      </c>
      <c r="D42" s="674">
        <v>76.539999999999992</v>
      </c>
      <c r="E42" s="674">
        <v>60.720000000000006</v>
      </c>
      <c r="F42" s="674">
        <v>19.080000000000002</v>
      </c>
      <c r="G42" s="674">
        <v>5.6</v>
      </c>
      <c r="H42" s="674">
        <v>3</v>
      </c>
      <c r="I42" s="674">
        <f t="shared" si="0"/>
        <v>288.12</v>
      </c>
    </row>
    <row r="43" spans="1:9">
      <c r="A43" s="413" t="s">
        <v>574</v>
      </c>
      <c r="B43" s="673">
        <v>6.81</v>
      </c>
      <c r="C43" s="673">
        <v>71.739999999999995</v>
      </c>
      <c r="D43" s="673">
        <v>42.87</v>
      </c>
      <c r="E43" s="673">
        <v>34.97</v>
      </c>
      <c r="F43" s="673">
        <v>6.82</v>
      </c>
      <c r="G43" s="673">
        <v>3</v>
      </c>
      <c r="H43" s="673">
        <v>1</v>
      </c>
      <c r="I43" s="673">
        <f t="shared" si="0"/>
        <v>167.20999999999998</v>
      </c>
    </row>
    <row r="44" spans="1:9">
      <c r="A44" s="270" t="s">
        <v>575</v>
      </c>
      <c r="B44" s="674">
        <v>4.76</v>
      </c>
      <c r="C44" s="674">
        <v>59.269999999999996</v>
      </c>
      <c r="D44" s="674">
        <v>48.5</v>
      </c>
      <c r="E44" s="674">
        <v>33.880000000000003</v>
      </c>
      <c r="F44" s="674">
        <v>7</v>
      </c>
      <c r="G44" s="674">
        <v>1.45</v>
      </c>
      <c r="H44" s="674">
        <v>2</v>
      </c>
      <c r="I44" s="674">
        <f t="shared" si="0"/>
        <v>156.85999999999999</v>
      </c>
    </row>
    <row r="45" spans="1:9">
      <c r="A45" s="413" t="s">
        <v>576</v>
      </c>
      <c r="B45" s="673">
        <v>10.700000000000001</v>
      </c>
      <c r="C45" s="673">
        <v>105.88</v>
      </c>
      <c r="D45" s="673">
        <v>81.760000000000005</v>
      </c>
      <c r="E45" s="673">
        <v>32.35</v>
      </c>
      <c r="F45" s="673">
        <v>10.830000000000002</v>
      </c>
      <c r="G45" s="673">
        <v>1.7</v>
      </c>
      <c r="H45" s="673">
        <v>2.5</v>
      </c>
      <c r="I45" s="673">
        <f t="shared" si="0"/>
        <v>245.72</v>
      </c>
    </row>
    <row r="46" spans="1:9">
      <c r="A46" s="270" t="s">
        <v>577</v>
      </c>
      <c r="B46" s="674">
        <v>140.30000000000001</v>
      </c>
      <c r="C46" s="674">
        <v>2094.2000000000003</v>
      </c>
      <c r="D46" s="674">
        <v>1144.5</v>
      </c>
      <c r="E46" s="674">
        <v>562.29999999999995</v>
      </c>
      <c r="F46" s="674">
        <v>278.60000000000002</v>
      </c>
      <c r="G46" s="674">
        <v>85.5</v>
      </c>
      <c r="H46" s="674">
        <v>43.5</v>
      </c>
      <c r="I46" s="674">
        <f t="shared" si="0"/>
        <v>4348.9000000000005</v>
      </c>
    </row>
    <row r="47" spans="1:9" ht="6" customHeight="1">
      <c r="A47" s="148"/>
      <c r="B47" s="674"/>
      <c r="C47" s="674"/>
      <c r="D47" s="674"/>
      <c r="E47" s="674"/>
      <c r="F47" s="674"/>
      <c r="G47" s="674"/>
      <c r="H47" s="674"/>
      <c r="I47" s="674"/>
    </row>
    <row r="48" spans="1:9">
      <c r="A48" s="414" t="s">
        <v>353</v>
      </c>
      <c r="B48" s="675">
        <f t="shared" ref="B48:I48" si="1">SUM(B11:B46)</f>
        <v>1127.7949999999998</v>
      </c>
      <c r="C48" s="675">
        <f t="shared" si="1"/>
        <v>11892.599999999999</v>
      </c>
      <c r="D48" s="675">
        <f t="shared" si="1"/>
        <v>6701.9744999999994</v>
      </c>
      <c r="E48" s="675">
        <f t="shared" si="1"/>
        <v>3701.7644999999993</v>
      </c>
      <c r="F48" s="675">
        <f t="shared" si="1"/>
        <v>1491.3263999999999</v>
      </c>
      <c r="G48" s="675">
        <f t="shared" si="1"/>
        <v>378.13170212765959</v>
      </c>
      <c r="H48" s="675">
        <f t="shared" si="1"/>
        <v>244.58</v>
      </c>
      <c r="I48" s="675">
        <f t="shared" si="1"/>
        <v>25538.172102127661</v>
      </c>
    </row>
    <row r="49" spans="1:9" ht="6" customHeight="1">
      <c r="A49" s="666"/>
      <c r="B49" s="676"/>
      <c r="C49" s="676"/>
      <c r="D49" s="676"/>
      <c r="E49" s="676"/>
      <c r="F49" s="676"/>
      <c r="G49" s="676"/>
      <c r="H49" s="676"/>
      <c r="I49" s="676"/>
    </row>
    <row r="50" spans="1:9">
      <c r="A50" s="677" t="s">
        <v>578</v>
      </c>
      <c r="B50" s="674">
        <v>2.5</v>
      </c>
      <c r="C50" s="674">
        <v>19.32</v>
      </c>
      <c r="D50" s="674">
        <v>7.5</v>
      </c>
      <c r="E50" s="674">
        <v>3</v>
      </c>
      <c r="F50" s="674">
        <v>4</v>
      </c>
      <c r="G50" s="674">
        <v>3</v>
      </c>
      <c r="H50" s="674">
        <v>0</v>
      </c>
      <c r="I50" s="674">
        <f>SUM(B50:H50)</f>
        <v>39.32</v>
      </c>
    </row>
    <row r="51" spans="1:9">
      <c r="A51" s="678" t="s">
        <v>579</v>
      </c>
      <c r="B51" s="673">
        <v>14</v>
      </c>
      <c r="C51" s="673">
        <v>119.55</v>
      </c>
      <c r="D51" s="673">
        <v>6</v>
      </c>
      <c r="E51" s="673">
        <v>49.45</v>
      </c>
      <c r="F51" s="673">
        <v>12</v>
      </c>
      <c r="G51" s="673">
        <v>0</v>
      </c>
      <c r="H51" s="673">
        <v>2</v>
      </c>
      <c r="I51" s="673">
        <f>SUM(B51:H51)</f>
        <v>203</v>
      </c>
    </row>
    <row r="52" spans="1:9" ht="49.5" customHeight="1">
      <c r="A52" s="615"/>
      <c r="B52" s="615"/>
      <c r="C52" s="616">
        <v>0</v>
      </c>
      <c r="D52" s="615"/>
      <c r="E52" s="615"/>
      <c r="F52" s="615"/>
      <c r="G52" s="615"/>
      <c r="H52" s="615"/>
      <c r="I52" s="615"/>
    </row>
    <row r="53" spans="1:9">
      <c r="A53" s="307" t="s">
        <v>670</v>
      </c>
      <c r="B53" s="613"/>
      <c r="C53" s="617"/>
    </row>
    <row r="54" spans="1:9">
      <c r="A54" s="307" t="s">
        <v>704</v>
      </c>
      <c r="B54" s="613"/>
      <c r="C54" s="617"/>
    </row>
    <row r="55" spans="1:9">
      <c r="A55" s="307" t="s">
        <v>586</v>
      </c>
      <c r="B55" s="613"/>
      <c r="C55" s="617"/>
    </row>
  </sheetData>
  <mergeCells count="10">
    <mergeCell ref="H8:H9"/>
    <mergeCell ref="C8:D8"/>
    <mergeCell ref="I8:I9"/>
    <mergeCell ref="B7:H7"/>
    <mergeCell ref="A2:H2"/>
    <mergeCell ref="A3:H3"/>
    <mergeCell ref="B8:B9"/>
    <mergeCell ref="E8:E9"/>
    <mergeCell ref="F8:F9"/>
    <mergeCell ref="G8:G9"/>
  </mergeCells>
  <phoneticPr fontId="6" type="noConversion"/>
  <pageMargins left="0.51181102362204722" right="0.51181102362204722" top="0.59055118110236227" bottom="0.19685039370078741" header="0.31496062992125984" footer="0.51181102362204722"/>
  <pageSetup scale="87" orientation="portrait" r:id="rId1"/>
  <headerFooter alignWithMargins="0">
    <oddHeader>&amp;C&amp;"Arial,Regular"&amp;11&amp;A</oddHeader>
  </headerFooter>
</worksheet>
</file>

<file path=xl/worksheets/sheet59.xml><?xml version="1.0" encoding="utf-8"?>
<worksheet xmlns="http://schemas.openxmlformats.org/spreadsheetml/2006/main" xmlns:r="http://schemas.openxmlformats.org/officeDocument/2006/relationships">
  <sheetPr codeName="Sheet55"/>
  <dimension ref="A1:M57"/>
  <sheetViews>
    <sheetView showGridLines="0" workbookViewId="0"/>
  </sheetViews>
  <sheetFormatPr defaultColWidth="19.83203125" defaultRowHeight="12"/>
  <cols>
    <col min="1" max="1" width="30.83203125" style="579" customWidth="1"/>
    <col min="2" max="2" width="17" style="579" customWidth="1"/>
    <col min="3" max="3" width="12" style="579" customWidth="1"/>
    <col min="4" max="4" width="16.83203125" style="579" customWidth="1"/>
    <col min="5" max="5" width="11.5" style="579" customWidth="1"/>
    <col min="6" max="6" width="13.33203125" style="579" customWidth="1"/>
    <col min="7" max="7" width="12.5" style="579" customWidth="1"/>
    <col min="8" max="9" width="19.83203125" style="579"/>
    <col min="10" max="10" width="25.5" style="579" bestFit="1" customWidth="1"/>
    <col min="11" max="11" width="21.1640625" style="579" bestFit="1" customWidth="1"/>
    <col min="12" max="16384" width="19.83203125" style="579"/>
  </cols>
  <sheetData>
    <row r="1" spans="1:13" ht="6.95" customHeight="1">
      <c r="A1" s="577"/>
      <c r="B1" s="578"/>
      <c r="C1" s="578"/>
    </row>
    <row r="2" spans="1:13" ht="15.95" customHeight="1">
      <c r="A2" s="580" t="s">
        <v>580</v>
      </c>
      <c r="B2" s="581"/>
      <c r="C2" s="581"/>
      <c r="D2" s="581"/>
      <c r="E2" s="581"/>
      <c r="F2" s="581"/>
      <c r="G2" s="581"/>
    </row>
    <row r="3" spans="1:13" ht="15.95" customHeight="1">
      <c r="A3" s="582" t="str">
        <f>+'- 67 -'!A3</f>
        <v>2010/11 AND 2011/12 ACTUAL</v>
      </c>
      <c r="B3" s="583"/>
      <c r="C3" s="583"/>
      <c r="D3" s="583"/>
      <c r="E3" s="583"/>
      <c r="F3" s="583"/>
      <c r="G3" s="583"/>
    </row>
    <row r="4" spans="1:13" ht="15.95" customHeight="1">
      <c r="B4" s="578"/>
      <c r="C4" s="578"/>
      <c r="J4" s="640"/>
      <c r="K4" s="640"/>
      <c r="L4" s="640"/>
      <c r="M4" s="640"/>
    </row>
    <row r="5" spans="1:13" ht="12" customHeight="1">
      <c r="B5" s="578"/>
      <c r="C5" s="578"/>
      <c r="J5" s="640"/>
      <c r="K5" s="640"/>
      <c r="L5" s="640"/>
      <c r="M5" s="640"/>
    </row>
    <row r="6" spans="1:13" ht="15.75" customHeight="1">
      <c r="B6" s="597" t="s">
        <v>581</v>
      </c>
      <c r="C6" s="598"/>
      <c r="D6" s="599"/>
      <c r="E6" s="598"/>
      <c r="F6" s="597" t="s">
        <v>581</v>
      </c>
      <c r="G6" s="599"/>
      <c r="J6" s="641"/>
      <c r="K6" s="640" t="str">
        <f>+'- 15 -'!E6</f>
        <v>STUDENT SUPPORT</v>
      </c>
      <c r="L6" s="640" t="str">
        <f>+'- 16 -'!G6</f>
        <v>INSTRUCTIONAL &amp; OTHER</v>
      </c>
      <c r="M6" s="640"/>
    </row>
    <row r="7" spans="1:13">
      <c r="B7" s="600" t="s">
        <v>582</v>
      </c>
      <c r="C7" s="601"/>
      <c r="D7" s="602"/>
      <c r="E7" s="601"/>
      <c r="F7" s="600" t="s">
        <v>582</v>
      </c>
      <c r="G7" s="602"/>
      <c r="J7" s="641" t="str">
        <f>+'- 15 -'!B7</f>
        <v>REGULAR INSTRUCTION</v>
      </c>
      <c r="K7" s="640" t="str">
        <f>+'- 15 -'!E7</f>
        <v>SERVICES</v>
      </c>
      <c r="L7" s="640" t="str">
        <f>+'- 16 -'!G7</f>
        <v>SUPPORT SERVICES</v>
      </c>
      <c r="M7" s="640"/>
    </row>
    <row r="8" spans="1:13" ht="13.5">
      <c r="A8" s="584"/>
      <c r="B8" s="603" t="s">
        <v>680</v>
      </c>
      <c r="C8" s="604"/>
      <c r="D8" s="605"/>
      <c r="E8" s="604"/>
      <c r="F8" s="603" t="s">
        <v>583</v>
      </c>
      <c r="G8" s="605"/>
      <c r="J8" s="641"/>
      <c r="K8" s="640"/>
      <c r="L8" s="640"/>
      <c r="M8" s="640"/>
    </row>
    <row r="9" spans="1:13" ht="29.25" customHeight="1">
      <c r="A9" s="585" t="s">
        <v>95</v>
      </c>
      <c r="B9" s="586" t="str">
        <f>+'- 67 -'!B9</f>
        <v>2010/11</v>
      </c>
      <c r="C9" s="660" t="s">
        <v>714</v>
      </c>
      <c r="D9" s="586" t="str">
        <f>+'- 67 -'!C9</f>
        <v>2011/12</v>
      </c>
      <c r="E9" s="660" t="s">
        <v>714</v>
      </c>
      <c r="F9" s="612" t="str">
        <f>+B9</f>
        <v>2010/11</v>
      </c>
      <c r="G9" s="612" t="str">
        <f>+D9</f>
        <v>2011/12</v>
      </c>
      <c r="J9" s="640"/>
      <c r="K9" s="640"/>
      <c r="L9" s="640"/>
      <c r="M9" s="640"/>
    </row>
    <row r="10" spans="1:13" ht="5.0999999999999996" customHeight="1">
      <c r="A10" s="587"/>
      <c r="B10" s="588"/>
      <c r="C10" s="588"/>
      <c r="D10" s="577"/>
      <c r="E10" s="577"/>
      <c r="F10" s="577"/>
      <c r="J10" s="640"/>
      <c r="K10" s="640"/>
      <c r="L10" s="640"/>
      <c r="M10" s="640"/>
    </row>
    <row r="11" spans="1:13" ht="14.1" customHeight="1">
      <c r="A11" s="606" t="s">
        <v>238</v>
      </c>
      <c r="B11" s="607">
        <v>10833893</v>
      </c>
      <c r="C11" s="608">
        <v>75.83613772549819</v>
      </c>
      <c r="D11" s="607">
        <v>11551603</v>
      </c>
      <c r="E11" s="608">
        <f>+D11/'- 3 -'!F11*100</f>
        <v>76.833222411754818</v>
      </c>
      <c r="F11" s="607">
        <v>7476.8067632850243</v>
      </c>
      <c r="G11" s="607">
        <f>+D11/'- 7 -'!E11</f>
        <v>8063.9462478184987</v>
      </c>
      <c r="I11" s="589" t="str">
        <f>IF(D11=M11,"",M11-D11)</f>
        <v/>
      </c>
      <c r="J11" s="641">
        <f>+'- 15 -'!B11</f>
        <v>9181898</v>
      </c>
      <c r="K11" s="640">
        <f>+'- 15 -'!E11</f>
        <v>2068711</v>
      </c>
      <c r="L11" s="640">
        <f>+'- 16 -'!G11</f>
        <v>300994</v>
      </c>
      <c r="M11" s="641">
        <f>+J11+K11+L11</f>
        <v>11551603</v>
      </c>
    </row>
    <row r="12" spans="1:13" ht="14.1" customHeight="1">
      <c r="A12" s="590" t="s">
        <v>239</v>
      </c>
      <c r="B12" s="591">
        <v>20437740</v>
      </c>
      <c r="C12" s="592">
        <v>76.723487742912155</v>
      </c>
      <c r="D12" s="591">
        <v>21448783</v>
      </c>
      <c r="E12" s="592">
        <f>+D12/'- 3 -'!F12*100</f>
        <v>76.60673620357619</v>
      </c>
      <c r="F12" s="591">
        <v>8540.2069265226964</v>
      </c>
      <c r="G12" s="591">
        <f>+D12/'- 7 -'!E12</f>
        <v>9168.8110220063954</v>
      </c>
      <c r="I12" s="589" t="str">
        <f>IF(D12=M12,"",M12-D12)</f>
        <v/>
      </c>
      <c r="J12" s="641">
        <f>+'- 15 -'!B12</f>
        <v>16415496</v>
      </c>
      <c r="K12" s="640">
        <f>+'- 15 -'!E12</f>
        <v>4327559</v>
      </c>
      <c r="L12" s="640">
        <f>+'- 16 -'!G12</f>
        <v>705728</v>
      </c>
      <c r="M12" s="641">
        <f t="shared" ref="M12:M48" si="0">+J12+K12+L12</f>
        <v>21448783</v>
      </c>
    </row>
    <row r="13" spans="1:13" ht="14.1" customHeight="1">
      <c r="A13" s="606" t="s">
        <v>240</v>
      </c>
      <c r="B13" s="607">
        <v>56159725</v>
      </c>
      <c r="C13" s="608">
        <v>83.553217039262378</v>
      </c>
      <c r="D13" s="607">
        <v>61777058</v>
      </c>
      <c r="E13" s="608">
        <f>+D13/'- 3 -'!F13*100</f>
        <v>84.565561382662125</v>
      </c>
      <c r="F13" s="607">
        <v>7596.3377519274991</v>
      </c>
      <c r="G13" s="607">
        <f>+D13/'- 7 -'!E13</f>
        <v>8118.9457221711127</v>
      </c>
      <c r="I13" s="589" t="str">
        <f t="shared" ref="I13:I48" si="1">IF(D13=M13,"",M13-D13)</f>
        <v/>
      </c>
      <c r="J13" s="641">
        <f>+'- 15 -'!B13</f>
        <v>43622806</v>
      </c>
      <c r="K13" s="640">
        <f>+'- 15 -'!E13</f>
        <v>16084108</v>
      </c>
      <c r="L13" s="640">
        <f>+'- 16 -'!G13</f>
        <v>2070144</v>
      </c>
      <c r="M13" s="642">
        <f t="shared" si="0"/>
        <v>61777058</v>
      </c>
    </row>
    <row r="14" spans="1:13" ht="14.1" customHeight="1">
      <c r="A14" s="590" t="s">
        <v>653</v>
      </c>
      <c r="B14" s="591">
        <v>46346248</v>
      </c>
      <c r="C14" s="592">
        <v>73.665870242617487</v>
      </c>
      <c r="D14" s="591">
        <v>47861204</v>
      </c>
      <c r="E14" s="592">
        <f>+D14/'- 3 -'!F14*100</f>
        <v>73.179133823654823</v>
      </c>
      <c r="F14" s="591">
        <v>9456.4880636604776</v>
      </c>
      <c r="G14" s="591">
        <f>+D14/'- 7 -'!E14</f>
        <v>9665.0250403877217</v>
      </c>
      <c r="I14" s="589" t="str">
        <f t="shared" si="1"/>
        <v/>
      </c>
      <c r="J14" s="641">
        <f>+'- 15 -'!B14</f>
        <v>36779646</v>
      </c>
      <c r="K14" s="640">
        <f>+'- 15 -'!E14</f>
        <v>8677420</v>
      </c>
      <c r="L14" s="640">
        <f>+'- 16 -'!G14</f>
        <v>2404138</v>
      </c>
      <c r="M14" s="641">
        <f t="shared" si="0"/>
        <v>47861204</v>
      </c>
    </row>
    <row r="15" spans="1:13" ht="14.1" customHeight="1">
      <c r="A15" s="606" t="s">
        <v>241</v>
      </c>
      <c r="B15" s="607">
        <v>12676554</v>
      </c>
      <c r="C15" s="608">
        <v>74.233612150075345</v>
      </c>
      <c r="D15" s="607">
        <v>13437502</v>
      </c>
      <c r="E15" s="608">
        <f>+D15/'- 3 -'!F15*100</f>
        <v>74.701386290748033</v>
      </c>
      <c r="F15" s="607">
        <v>8084.5369897959181</v>
      </c>
      <c r="G15" s="607">
        <f>+D15/'- 7 -'!E15</f>
        <v>8765.4938030006524</v>
      </c>
      <c r="I15" s="589" t="str">
        <f t="shared" si="1"/>
        <v/>
      </c>
      <c r="J15" s="641">
        <f>+'- 15 -'!B15</f>
        <v>9813802</v>
      </c>
      <c r="K15" s="640">
        <f>+'- 15 -'!E15</f>
        <v>3131150</v>
      </c>
      <c r="L15" s="640">
        <f>+'- 16 -'!G15</f>
        <v>492550</v>
      </c>
      <c r="M15" s="641">
        <f t="shared" si="0"/>
        <v>13437502</v>
      </c>
    </row>
    <row r="16" spans="1:13" ht="14.1" customHeight="1">
      <c r="A16" s="590" t="s">
        <v>242</v>
      </c>
      <c r="B16" s="591">
        <v>9231440</v>
      </c>
      <c r="C16" s="592">
        <v>74.759307316887501</v>
      </c>
      <c r="D16" s="591">
        <v>9365299</v>
      </c>
      <c r="E16" s="592">
        <f>+D16/'- 3 -'!F16*100</f>
        <v>74.958294024505975</v>
      </c>
      <c r="F16" s="591">
        <v>8997.5048732943469</v>
      </c>
      <c r="G16" s="591">
        <f>+D16/'- 7 -'!E16</f>
        <v>9464.678120262759</v>
      </c>
      <c r="I16" s="589" t="str">
        <f t="shared" si="1"/>
        <v/>
      </c>
      <c r="J16" s="641">
        <f>+'- 15 -'!B16</f>
        <v>6754414</v>
      </c>
      <c r="K16" s="640">
        <f>+'- 15 -'!E16</f>
        <v>2281344</v>
      </c>
      <c r="L16" s="640">
        <f>+'- 16 -'!G16</f>
        <v>329541</v>
      </c>
      <c r="M16" s="641">
        <f t="shared" si="0"/>
        <v>9365299</v>
      </c>
    </row>
    <row r="17" spans="1:13" ht="14.1" customHeight="1">
      <c r="A17" s="606" t="s">
        <v>243</v>
      </c>
      <c r="B17" s="607">
        <v>11185541</v>
      </c>
      <c r="C17" s="608">
        <v>73.348516867670781</v>
      </c>
      <c r="D17" s="607">
        <v>11503766</v>
      </c>
      <c r="E17" s="608">
        <f>+D17/'- 3 -'!F17*100</f>
        <v>73.744732263162504</v>
      </c>
      <c r="F17" s="607">
        <v>8372.4109281437122</v>
      </c>
      <c r="G17" s="607">
        <f>+D17/'- 7 -'!E17</f>
        <v>8698.4998109640837</v>
      </c>
      <c r="I17" s="589" t="str">
        <f t="shared" si="1"/>
        <v/>
      </c>
      <c r="J17" s="641">
        <f>+'- 15 -'!B17</f>
        <v>8950982</v>
      </c>
      <c r="K17" s="640">
        <f>+'- 15 -'!E17</f>
        <v>2211530</v>
      </c>
      <c r="L17" s="640">
        <f>+'- 16 -'!G17</f>
        <v>341254</v>
      </c>
      <c r="M17" s="641">
        <f t="shared" si="0"/>
        <v>11503766</v>
      </c>
    </row>
    <row r="18" spans="1:13" ht="14.1" customHeight="1">
      <c r="A18" s="590" t="s">
        <v>244</v>
      </c>
      <c r="B18" s="591">
        <v>68986691</v>
      </c>
      <c r="C18" s="592">
        <v>67.059043912045425</v>
      </c>
      <c r="D18" s="591">
        <v>69444923</v>
      </c>
      <c r="E18" s="592">
        <f>+D18/'- 3 -'!F18*100</f>
        <v>66.403242780545767</v>
      </c>
      <c r="F18" s="591">
        <v>11663.993744188012</v>
      </c>
      <c r="G18" s="591">
        <f>+D18/'- 7 -'!E18</f>
        <v>12014.484697496582</v>
      </c>
      <c r="I18" s="589" t="str">
        <f t="shared" si="1"/>
        <v/>
      </c>
      <c r="J18" s="641">
        <f>+'- 15 -'!B18</f>
        <v>46733901</v>
      </c>
      <c r="K18" s="640">
        <f>+'- 15 -'!E18</f>
        <v>16582770</v>
      </c>
      <c r="L18" s="640">
        <f>+'- 16 -'!G18</f>
        <v>6128252</v>
      </c>
      <c r="M18" s="641">
        <f t="shared" si="0"/>
        <v>69444923</v>
      </c>
    </row>
    <row r="19" spans="1:13" ht="14.1" customHeight="1">
      <c r="A19" s="606" t="s">
        <v>245</v>
      </c>
      <c r="B19" s="607">
        <v>28451496</v>
      </c>
      <c r="C19" s="608">
        <v>81.602807103688619</v>
      </c>
      <c r="D19" s="607">
        <v>30111680</v>
      </c>
      <c r="E19" s="608">
        <f>+D19/'- 3 -'!F19*100</f>
        <v>81.1959028099091</v>
      </c>
      <c r="F19" s="607">
        <v>6856.938760754826</v>
      </c>
      <c r="G19" s="607">
        <f>+D19/'- 7 -'!E19</f>
        <v>7272.6499855086468</v>
      </c>
      <c r="I19" s="589" t="str">
        <f t="shared" si="1"/>
        <v/>
      </c>
      <c r="J19" s="641">
        <f>+'- 15 -'!B19</f>
        <v>22773800</v>
      </c>
      <c r="K19" s="640">
        <f>+'- 15 -'!E19</f>
        <v>6440421</v>
      </c>
      <c r="L19" s="640">
        <f>+'- 16 -'!G19</f>
        <v>897459</v>
      </c>
      <c r="M19" s="641">
        <f t="shared" si="0"/>
        <v>30111680</v>
      </c>
    </row>
    <row r="20" spans="1:13" ht="14.1" customHeight="1">
      <c r="A20" s="590" t="s">
        <v>246</v>
      </c>
      <c r="B20" s="591">
        <v>48382887</v>
      </c>
      <c r="C20" s="592">
        <v>79.931036418507617</v>
      </c>
      <c r="D20" s="591">
        <v>50455605</v>
      </c>
      <c r="E20" s="592">
        <f>+D20/'- 3 -'!F20*100</f>
        <v>80.454295747050836</v>
      </c>
      <c r="F20" s="591">
        <v>6689.6490839958524</v>
      </c>
      <c r="G20" s="591">
        <f>+D20/'- 7 -'!E20</f>
        <v>6914.5683157461972</v>
      </c>
      <c r="I20" s="589" t="str">
        <f t="shared" si="1"/>
        <v/>
      </c>
      <c r="J20" s="641">
        <f>+'- 15 -'!B20</f>
        <v>39261250</v>
      </c>
      <c r="K20" s="640">
        <f>+'- 15 -'!E20</f>
        <v>9197260</v>
      </c>
      <c r="L20" s="640">
        <f>+'- 16 -'!G20</f>
        <v>1997095</v>
      </c>
      <c r="M20" s="641">
        <f t="shared" si="0"/>
        <v>50455605</v>
      </c>
    </row>
    <row r="21" spans="1:13" ht="14.1" customHeight="1">
      <c r="A21" s="606" t="s">
        <v>247</v>
      </c>
      <c r="B21" s="607">
        <v>23471468</v>
      </c>
      <c r="C21" s="608">
        <v>76.608350806310398</v>
      </c>
      <c r="D21" s="607">
        <v>24158740</v>
      </c>
      <c r="E21" s="608">
        <f>+D21/'- 3 -'!F21*100</f>
        <v>77.433894095934576</v>
      </c>
      <c r="F21" s="607">
        <v>8136.8189697011721</v>
      </c>
      <c r="G21" s="607">
        <f>+D21/'- 7 -'!E21</f>
        <v>8497.6222300386908</v>
      </c>
      <c r="I21" s="589" t="str">
        <f t="shared" si="1"/>
        <v/>
      </c>
      <c r="J21" s="641">
        <f>+'- 15 -'!B21</f>
        <v>17293587</v>
      </c>
      <c r="K21" s="640">
        <f>+'- 15 -'!E21</f>
        <v>5500860</v>
      </c>
      <c r="L21" s="640">
        <f>+'- 16 -'!G21</f>
        <v>1364293</v>
      </c>
      <c r="M21" s="641">
        <f t="shared" si="0"/>
        <v>24158740</v>
      </c>
    </row>
    <row r="22" spans="1:13" ht="14.1" customHeight="1">
      <c r="A22" s="590" t="s">
        <v>248</v>
      </c>
      <c r="B22" s="591">
        <v>13261211</v>
      </c>
      <c r="C22" s="592">
        <v>76.632047091929138</v>
      </c>
      <c r="D22" s="591">
        <v>13771423</v>
      </c>
      <c r="E22" s="592">
        <f>+D22/'- 3 -'!F22*100</f>
        <v>78.54873702176134</v>
      </c>
      <c r="F22" s="591">
        <v>8322.0652651396304</v>
      </c>
      <c r="G22" s="591">
        <f>+D22/'- 7 -'!E22</f>
        <v>8798.5069000766671</v>
      </c>
      <c r="I22" s="589" t="str">
        <f t="shared" si="1"/>
        <v/>
      </c>
      <c r="J22" s="641">
        <f>+'- 15 -'!B22</f>
        <v>9089823</v>
      </c>
      <c r="K22" s="640">
        <f>+'- 15 -'!E22</f>
        <v>4191020</v>
      </c>
      <c r="L22" s="640">
        <f>+'- 16 -'!G22</f>
        <v>490580</v>
      </c>
      <c r="M22" s="641">
        <f t="shared" si="0"/>
        <v>13771423</v>
      </c>
    </row>
    <row r="23" spans="1:13" ht="14.1" customHeight="1">
      <c r="A23" s="606" t="s">
        <v>249</v>
      </c>
      <c r="B23" s="607">
        <v>10687710</v>
      </c>
      <c r="C23" s="608">
        <v>74.747824155448356</v>
      </c>
      <c r="D23" s="607">
        <v>11006651</v>
      </c>
      <c r="E23" s="608">
        <f>+D23/'- 3 -'!F23*100</f>
        <v>75.127036427358959</v>
      </c>
      <c r="F23" s="607">
        <v>8619.1209677419356</v>
      </c>
      <c r="G23" s="607">
        <f>+D23/'- 7 -'!E23</f>
        <v>9222.1625471302887</v>
      </c>
      <c r="I23" s="589" t="str">
        <f t="shared" si="1"/>
        <v/>
      </c>
      <c r="J23" s="641">
        <f>+'- 15 -'!B23</f>
        <v>7854439</v>
      </c>
      <c r="K23" s="640">
        <f>+'- 15 -'!E23</f>
        <v>2695179</v>
      </c>
      <c r="L23" s="640">
        <f>+'- 16 -'!G23</f>
        <v>457033</v>
      </c>
      <c r="M23" s="641">
        <f t="shared" si="0"/>
        <v>11006651</v>
      </c>
    </row>
    <row r="24" spans="1:13" ht="14.1" customHeight="1">
      <c r="A24" s="590" t="s">
        <v>250</v>
      </c>
      <c r="B24" s="591">
        <v>36727278</v>
      </c>
      <c r="C24" s="592">
        <v>79.32873627430692</v>
      </c>
      <c r="D24" s="591">
        <v>38339110</v>
      </c>
      <c r="E24" s="592">
        <f>+D24/'- 3 -'!F24*100</f>
        <v>79.501153311890889</v>
      </c>
      <c r="F24" s="591">
        <v>8469.5318697537132</v>
      </c>
      <c r="G24" s="591">
        <f>+D24/'- 7 -'!E24</f>
        <v>8851.2316749393976</v>
      </c>
      <c r="I24" s="589" t="str">
        <f t="shared" si="1"/>
        <v/>
      </c>
      <c r="J24" s="641">
        <f>+'- 15 -'!B24</f>
        <v>28758752</v>
      </c>
      <c r="K24" s="640">
        <f>+'- 15 -'!E24</f>
        <v>8175378</v>
      </c>
      <c r="L24" s="640">
        <f>+'- 16 -'!G24</f>
        <v>1404980</v>
      </c>
      <c r="M24" s="641">
        <f t="shared" si="0"/>
        <v>38339110</v>
      </c>
    </row>
    <row r="25" spans="1:13" ht="14.1" customHeight="1">
      <c r="A25" s="606" t="s">
        <v>251</v>
      </c>
      <c r="B25" s="607">
        <v>113960102</v>
      </c>
      <c r="C25" s="608">
        <v>81.477511411917632</v>
      </c>
      <c r="D25" s="607">
        <v>117693084</v>
      </c>
      <c r="E25" s="608">
        <f>+D25/'- 3 -'!F25*100</f>
        <v>81.586536423888163</v>
      </c>
      <c r="F25" s="607">
        <v>8326.7647230746752</v>
      </c>
      <c r="G25" s="607">
        <f>+D25/'- 7 -'!E25</f>
        <v>8540.862409288824</v>
      </c>
      <c r="I25" s="589" t="str">
        <f t="shared" si="1"/>
        <v/>
      </c>
      <c r="J25" s="641">
        <f>+'- 15 -'!B25</f>
        <v>79257030</v>
      </c>
      <c r="K25" s="640">
        <f>+'- 15 -'!E25</f>
        <v>31234507</v>
      </c>
      <c r="L25" s="640">
        <f>+'- 16 -'!G25</f>
        <v>7201547</v>
      </c>
      <c r="M25" s="641">
        <f t="shared" si="0"/>
        <v>117693084</v>
      </c>
    </row>
    <row r="26" spans="1:13" ht="14.1" customHeight="1">
      <c r="A26" s="590" t="s">
        <v>252</v>
      </c>
      <c r="B26" s="591">
        <v>25820129</v>
      </c>
      <c r="C26" s="592">
        <v>74.468561171622852</v>
      </c>
      <c r="D26" s="591">
        <v>26881216</v>
      </c>
      <c r="E26" s="592">
        <f>+D26/'- 3 -'!F26*100</f>
        <v>74.965615123472517</v>
      </c>
      <c r="F26" s="591">
        <v>8224.2806179327927</v>
      </c>
      <c r="G26" s="591">
        <f>+D26/'- 7 -'!E26</f>
        <v>8647.6487051632612</v>
      </c>
      <c r="I26" s="589" t="str">
        <f t="shared" si="1"/>
        <v/>
      </c>
      <c r="J26" s="641">
        <f>+'- 15 -'!B26</f>
        <v>20457051</v>
      </c>
      <c r="K26" s="640">
        <f>+'- 15 -'!E26</f>
        <v>5198453</v>
      </c>
      <c r="L26" s="640">
        <f>+'- 16 -'!G26</f>
        <v>1225712</v>
      </c>
      <c r="M26" s="641">
        <f t="shared" si="0"/>
        <v>26881216</v>
      </c>
    </row>
    <row r="27" spans="1:13" ht="14.1" customHeight="1">
      <c r="A27" s="606" t="s">
        <v>253</v>
      </c>
      <c r="B27" s="607">
        <v>28863922</v>
      </c>
      <c r="C27" s="608">
        <v>79.942567712692764</v>
      </c>
      <c r="D27" s="607">
        <v>31066511</v>
      </c>
      <c r="E27" s="608">
        <f>+D27/'- 3 -'!F27*100</f>
        <v>78.021697540978181</v>
      </c>
      <c r="F27" s="607">
        <v>10112.434572399539</v>
      </c>
      <c r="G27" s="607">
        <f>+D27/'- 7 -'!E27</f>
        <v>11113.837870711552</v>
      </c>
      <c r="I27" s="589" t="str">
        <f t="shared" si="1"/>
        <v/>
      </c>
      <c r="J27" s="641">
        <f>+'- 15 -'!B27</f>
        <v>20664793</v>
      </c>
      <c r="K27" s="640">
        <f>+'- 15 -'!E27</f>
        <v>8058893</v>
      </c>
      <c r="L27" s="640">
        <f>+'- 16 -'!G27</f>
        <v>2342825</v>
      </c>
      <c r="M27" s="641">
        <f t="shared" si="0"/>
        <v>31066511</v>
      </c>
    </row>
    <row r="28" spans="1:13" ht="14.1" customHeight="1">
      <c r="A28" s="590" t="s">
        <v>254</v>
      </c>
      <c r="B28" s="591">
        <v>16300260</v>
      </c>
      <c r="C28" s="592">
        <v>73.935914732112906</v>
      </c>
      <c r="D28" s="591">
        <v>18176265</v>
      </c>
      <c r="E28" s="592">
        <f>+D28/'- 3 -'!F28*100</f>
        <v>73.986849615372492</v>
      </c>
      <c r="F28" s="591">
        <v>8253.2962025316447</v>
      </c>
      <c r="G28" s="591">
        <f>+D28/'- 7 -'!E28</f>
        <v>9074.520718921618</v>
      </c>
      <c r="I28" s="589" t="str">
        <f t="shared" si="1"/>
        <v/>
      </c>
      <c r="J28" s="641">
        <f>+'- 15 -'!B28</f>
        <v>14088175</v>
      </c>
      <c r="K28" s="640">
        <f>+'- 15 -'!E28</f>
        <v>3421430</v>
      </c>
      <c r="L28" s="640">
        <f>+'- 16 -'!G28</f>
        <v>666660</v>
      </c>
      <c r="M28" s="641">
        <f t="shared" si="0"/>
        <v>18176265</v>
      </c>
    </row>
    <row r="29" spans="1:13" ht="14.1" customHeight="1">
      <c r="A29" s="606" t="s">
        <v>255</v>
      </c>
      <c r="B29" s="607">
        <v>105289960</v>
      </c>
      <c r="C29" s="608">
        <v>81.862097603495315</v>
      </c>
      <c r="D29" s="607">
        <v>109524881</v>
      </c>
      <c r="E29" s="608">
        <f>+D29/'- 3 -'!F29*100</f>
        <v>81.668187947259639</v>
      </c>
      <c r="F29" s="607">
        <v>8673.0500251237663</v>
      </c>
      <c r="G29" s="607">
        <f>+D29/'- 7 -'!E29</f>
        <v>8988.9433209677954</v>
      </c>
      <c r="I29" s="589" t="str">
        <f t="shared" si="1"/>
        <v/>
      </c>
      <c r="J29" s="641">
        <f>+'- 15 -'!B29</f>
        <v>75013794</v>
      </c>
      <c r="K29" s="640">
        <f>+'- 15 -'!E29</f>
        <v>28646814</v>
      </c>
      <c r="L29" s="640">
        <f>+'- 16 -'!G29</f>
        <v>5864273</v>
      </c>
      <c r="M29" s="641">
        <f t="shared" si="0"/>
        <v>109524881</v>
      </c>
    </row>
    <row r="30" spans="1:13" ht="14.1" customHeight="1">
      <c r="A30" s="590" t="s">
        <v>256</v>
      </c>
      <c r="B30" s="591">
        <v>8928285</v>
      </c>
      <c r="C30" s="592">
        <v>74.05531476734285</v>
      </c>
      <c r="D30" s="591">
        <v>9484843</v>
      </c>
      <c r="E30" s="592">
        <f>+D30/'- 3 -'!F30*100</f>
        <v>73.690942452442528</v>
      </c>
      <c r="F30" s="591">
        <v>7904.6347941567064</v>
      </c>
      <c r="G30" s="591">
        <f>+D30/'- 7 -'!E30</f>
        <v>8638.2905282331503</v>
      </c>
      <c r="I30" s="589" t="str">
        <f t="shared" si="1"/>
        <v/>
      </c>
      <c r="J30" s="641">
        <f>+'- 15 -'!B30</f>
        <v>7458843</v>
      </c>
      <c r="K30" s="640">
        <f>+'- 15 -'!E30</f>
        <v>1612488</v>
      </c>
      <c r="L30" s="640">
        <f>+'- 16 -'!G30</f>
        <v>413512</v>
      </c>
      <c r="M30" s="641">
        <f t="shared" si="0"/>
        <v>9484843</v>
      </c>
    </row>
    <row r="31" spans="1:13" ht="14.1" customHeight="1">
      <c r="A31" s="606" t="s">
        <v>257</v>
      </c>
      <c r="B31" s="607">
        <v>24520072</v>
      </c>
      <c r="C31" s="608">
        <v>80.313391629154978</v>
      </c>
      <c r="D31" s="607">
        <v>25786329</v>
      </c>
      <c r="E31" s="608">
        <f>+D31/'- 3 -'!F31*100</f>
        <v>80.565580908356736</v>
      </c>
      <c r="F31" s="607">
        <v>7860.2570924827696</v>
      </c>
      <c r="G31" s="607">
        <f>+D31/'- 7 -'!E31</f>
        <v>8062.0068782241678</v>
      </c>
      <c r="I31" s="589" t="str">
        <f t="shared" si="1"/>
        <v/>
      </c>
      <c r="J31" s="641">
        <f>+'- 15 -'!B31</f>
        <v>18476850</v>
      </c>
      <c r="K31" s="640">
        <f>+'- 15 -'!E31</f>
        <v>6145282</v>
      </c>
      <c r="L31" s="640">
        <f>+'- 16 -'!G31</f>
        <v>1164197</v>
      </c>
      <c r="M31" s="641">
        <f t="shared" si="0"/>
        <v>25786329</v>
      </c>
    </row>
    <row r="32" spans="1:13" ht="14.1" customHeight="1">
      <c r="A32" s="590" t="s">
        <v>258</v>
      </c>
      <c r="B32" s="591">
        <v>16838232</v>
      </c>
      <c r="C32" s="592">
        <v>74.240252662050437</v>
      </c>
      <c r="D32" s="591">
        <v>17666691</v>
      </c>
      <c r="E32" s="592">
        <f>+D32/'- 3 -'!F32*100</f>
        <v>75.507611327698925</v>
      </c>
      <c r="F32" s="591">
        <v>8245.9510284035259</v>
      </c>
      <c r="G32" s="591">
        <f>+D32/'- 7 -'!E32</f>
        <v>8565.6683636363632</v>
      </c>
      <c r="I32" s="589" t="str">
        <f t="shared" si="1"/>
        <v/>
      </c>
      <c r="J32" s="641">
        <f>+'- 15 -'!B32</f>
        <v>13536722</v>
      </c>
      <c r="K32" s="640">
        <f>+'- 15 -'!E32</f>
        <v>3443904</v>
      </c>
      <c r="L32" s="640">
        <f>+'- 16 -'!G32</f>
        <v>686065</v>
      </c>
      <c r="M32" s="641">
        <f t="shared" si="0"/>
        <v>17666691</v>
      </c>
    </row>
    <row r="33" spans="1:13" ht="14.1" customHeight="1">
      <c r="A33" s="606" t="s">
        <v>259</v>
      </c>
      <c r="B33" s="607">
        <v>17307296</v>
      </c>
      <c r="C33" s="608">
        <v>72.461099768774886</v>
      </c>
      <c r="D33" s="607">
        <v>17645057</v>
      </c>
      <c r="E33" s="608">
        <f>+D33/'- 3 -'!F33*100</f>
        <v>72.136029019480546</v>
      </c>
      <c r="F33" s="607">
        <v>8247.8536027449481</v>
      </c>
      <c r="G33" s="607">
        <f>+D33/'- 7 -'!E33</f>
        <v>8660.1506748466254</v>
      </c>
      <c r="I33" s="589" t="str">
        <f t="shared" si="1"/>
        <v/>
      </c>
      <c r="J33" s="641">
        <f>+'- 15 -'!B33</f>
        <v>13838333</v>
      </c>
      <c r="K33" s="640">
        <f>+'- 15 -'!E33</f>
        <v>3104971</v>
      </c>
      <c r="L33" s="640">
        <f>+'- 16 -'!G33</f>
        <v>701753</v>
      </c>
      <c r="M33" s="641">
        <f t="shared" si="0"/>
        <v>17645057</v>
      </c>
    </row>
    <row r="34" spans="1:13" ht="14.1" customHeight="1">
      <c r="A34" s="590" t="s">
        <v>260</v>
      </c>
      <c r="B34" s="591">
        <v>16215027</v>
      </c>
      <c r="C34" s="592">
        <v>73.401430191553658</v>
      </c>
      <c r="D34" s="591">
        <v>16670374</v>
      </c>
      <c r="E34" s="592">
        <f>+D34/'- 3 -'!F34*100</f>
        <v>73.761747467300992</v>
      </c>
      <c r="F34" s="591">
        <v>7973.5577301337526</v>
      </c>
      <c r="G34" s="591">
        <f>+D34/'- 7 -'!E34</f>
        <v>8363.2037325038891</v>
      </c>
      <c r="I34" s="589" t="str">
        <f t="shared" si="1"/>
        <v/>
      </c>
      <c r="J34" s="641">
        <f>+'- 15 -'!B34</f>
        <v>13075077</v>
      </c>
      <c r="K34" s="640">
        <f>+'- 15 -'!E34</f>
        <v>3113433</v>
      </c>
      <c r="L34" s="640">
        <f>+'- 16 -'!G34</f>
        <v>481864</v>
      </c>
      <c r="M34" s="641">
        <f t="shared" si="0"/>
        <v>16670374</v>
      </c>
    </row>
    <row r="35" spans="1:13" ht="14.1" customHeight="1">
      <c r="A35" s="606" t="s">
        <v>261</v>
      </c>
      <c r="B35" s="607">
        <v>125570290</v>
      </c>
      <c r="C35" s="608">
        <v>81.221890843451192</v>
      </c>
      <c r="D35" s="607">
        <v>129404298</v>
      </c>
      <c r="E35" s="608">
        <f>+D35/'- 3 -'!F35*100</f>
        <v>81.594974410862548</v>
      </c>
      <c r="F35" s="607">
        <v>7929.4196766860314</v>
      </c>
      <c r="G35" s="607">
        <f>+D35/'- 7 -'!E35</f>
        <v>8208.0681234340809</v>
      </c>
      <c r="I35" s="589" t="str">
        <f t="shared" si="1"/>
        <v/>
      </c>
      <c r="J35" s="641">
        <f>+'- 15 -'!B35</f>
        <v>92001191</v>
      </c>
      <c r="K35" s="640">
        <f>+'- 15 -'!E35</f>
        <v>30650315</v>
      </c>
      <c r="L35" s="640">
        <f>+'- 16 -'!G35</f>
        <v>6752792</v>
      </c>
      <c r="M35" s="641">
        <f t="shared" si="0"/>
        <v>129404298</v>
      </c>
    </row>
    <row r="36" spans="1:13" ht="14.1" customHeight="1">
      <c r="A36" s="590" t="s">
        <v>262</v>
      </c>
      <c r="B36" s="591">
        <v>14809187</v>
      </c>
      <c r="C36" s="592">
        <v>75.284630670741038</v>
      </c>
      <c r="D36" s="591">
        <v>15242547</v>
      </c>
      <c r="E36" s="592">
        <f>+D36/'- 3 -'!F36*100</f>
        <v>75.514325656302546</v>
      </c>
      <c r="F36" s="591">
        <v>8404.7599318955727</v>
      </c>
      <c r="G36" s="591">
        <f>+D36/'- 7 -'!E36</f>
        <v>9132.7423606950269</v>
      </c>
      <c r="I36" s="589" t="str">
        <f t="shared" si="1"/>
        <v/>
      </c>
      <c r="J36" s="641">
        <f>+'- 15 -'!B36</f>
        <v>11776289</v>
      </c>
      <c r="K36" s="640">
        <f>+'- 15 -'!E36</f>
        <v>2790624</v>
      </c>
      <c r="L36" s="640">
        <f>+'- 16 -'!G36</f>
        <v>675634</v>
      </c>
      <c r="M36" s="641">
        <f t="shared" si="0"/>
        <v>15242547</v>
      </c>
    </row>
    <row r="37" spans="1:13" ht="14.1" customHeight="1">
      <c r="A37" s="606" t="s">
        <v>263</v>
      </c>
      <c r="B37" s="607">
        <v>28425989</v>
      </c>
      <c r="C37" s="608">
        <v>78.304249286712363</v>
      </c>
      <c r="D37" s="607">
        <v>29233935</v>
      </c>
      <c r="E37" s="608">
        <f>+D37/'- 3 -'!F37*100</f>
        <v>78.668713266918388</v>
      </c>
      <c r="F37" s="607">
        <v>7874.2351800554015</v>
      </c>
      <c r="G37" s="607">
        <f>+D37/'- 7 -'!E37</f>
        <v>7949.4044867437115</v>
      </c>
      <c r="I37" s="589" t="str">
        <f t="shared" si="1"/>
        <v/>
      </c>
      <c r="J37" s="641">
        <f>+'- 15 -'!B37</f>
        <v>21010253</v>
      </c>
      <c r="K37" s="640">
        <f>+'- 15 -'!E37</f>
        <v>7275372</v>
      </c>
      <c r="L37" s="640">
        <f>+'- 16 -'!G37</f>
        <v>948310</v>
      </c>
      <c r="M37" s="641">
        <f t="shared" si="0"/>
        <v>29233935</v>
      </c>
    </row>
    <row r="38" spans="1:13" ht="14.1" customHeight="1">
      <c r="A38" s="590" t="s">
        <v>264</v>
      </c>
      <c r="B38" s="591">
        <v>77497683</v>
      </c>
      <c r="C38" s="592">
        <v>81.258466205732489</v>
      </c>
      <c r="D38" s="591">
        <v>82907627</v>
      </c>
      <c r="E38" s="592">
        <f>+D38/'- 3 -'!F38*100</f>
        <v>81.951202380426849</v>
      </c>
      <c r="F38" s="591">
        <v>7923.6933694596391</v>
      </c>
      <c r="G38" s="591">
        <f>+D38/'- 7 -'!E38</f>
        <v>8162.127569504607</v>
      </c>
      <c r="I38" s="589" t="str">
        <f t="shared" si="1"/>
        <v/>
      </c>
      <c r="J38" s="641">
        <f>+'- 15 -'!B38</f>
        <v>61011361</v>
      </c>
      <c r="K38" s="640">
        <f>+'- 15 -'!E38</f>
        <v>18390913</v>
      </c>
      <c r="L38" s="640">
        <f>+'- 16 -'!G38</f>
        <v>3505353</v>
      </c>
      <c r="M38" s="641">
        <f t="shared" si="0"/>
        <v>82907627</v>
      </c>
    </row>
    <row r="39" spans="1:13" ht="14.1" customHeight="1">
      <c r="A39" s="606" t="s">
        <v>265</v>
      </c>
      <c r="B39" s="607">
        <v>13503125</v>
      </c>
      <c r="C39" s="608">
        <v>73.284018994512195</v>
      </c>
      <c r="D39" s="607">
        <v>13880865</v>
      </c>
      <c r="E39" s="608">
        <f>+D39/'- 3 -'!F39*100</f>
        <v>73.292642611175978</v>
      </c>
      <c r="F39" s="607">
        <v>8337.3209434428263</v>
      </c>
      <c r="G39" s="607">
        <f>+D39/'- 7 -'!E39</f>
        <v>8735.0481404568636</v>
      </c>
      <c r="I39" s="589" t="str">
        <f t="shared" si="1"/>
        <v/>
      </c>
      <c r="J39" s="641">
        <f>+'- 15 -'!B39</f>
        <v>10626991</v>
      </c>
      <c r="K39" s="640">
        <f>+'- 15 -'!E39</f>
        <v>2478293</v>
      </c>
      <c r="L39" s="640">
        <f>+'- 16 -'!G39</f>
        <v>775581</v>
      </c>
      <c r="M39" s="641">
        <f t="shared" si="0"/>
        <v>13880865</v>
      </c>
    </row>
    <row r="40" spans="1:13" ht="14.1" customHeight="1">
      <c r="A40" s="590" t="s">
        <v>266</v>
      </c>
      <c r="B40" s="591">
        <v>71063868</v>
      </c>
      <c r="C40" s="592">
        <v>82.07917573615677</v>
      </c>
      <c r="D40" s="591">
        <v>74021605</v>
      </c>
      <c r="E40" s="592">
        <f>+D40/'- 3 -'!F40*100</f>
        <v>82.34226264378519</v>
      </c>
      <c r="F40" s="591">
        <v>8666.0928609232451</v>
      </c>
      <c r="G40" s="591">
        <f>+D40/'- 7 -'!E40</f>
        <v>9028.1259909745095</v>
      </c>
      <c r="I40" s="589" t="str">
        <f t="shared" si="1"/>
        <v/>
      </c>
      <c r="J40" s="641">
        <f>+'- 15 -'!B40</f>
        <v>52143643</v>
      </c>
      <c r="K40" s="640">
        <f>+'- 15 -'!E40</f>
        <v>18520799</v>
      </c>
      <c r="L40" s="640">
        <f>+'- 16 -'!G40</f>
        <v>3357163</v>
      </c>
      <c r="M40" s="641">
        <f t="shared" si="0"/>
        <v>74021605</v>
      </c>
    </row>
    <row r="41" spans="1:13" ht="14.1" customHeight="1">
      <c r="A41" s="606" t="s">
        <v>267</v>
      </c>
      <c r="B41" s="607">
        <v>40566069</v>
      </c>
      <c r="C41" s="608">
        <v>76.581898883521404</v>
      </c>
      <c r="D41" s="607">
        <v>41390517</v>
      </c>
      <c r="E41" s="608">
        <f>+D41/'- 3 -'!F41*100</f>
        <v>76.680178067712546</v>
      </c>
      <c r="F41" s="607">
        <v>8809.1355048859932</v>
      </c>
      <c r="G41" s="607">
        <f>+D41/'- 7 -'!E41</f>
        <v>9101.8179219351296</v>
      </c>
      <c r="I41" s="589" t="str">
        <f t="shared" si="1"/>
        <v/>
      </c>
      <c r="J41" s="641">
        <f>+'- 15 -'!B41</f>
        <v>29164158</v>
      </c>
      <c r="K41" s="640">
        <f>+'- 15 -'!E41</f>
        <v>10779307</v>
      </c>
      <c r="L41" s="640">
        <f>+'- 16 -'!G41</f>
        <v>1447052</v>
      </c>
      <c r="M41" s="641">
        <f t="shared" si="0"/>
        <v>41390517</v>
      </c>
    </row>
    <row r="42" spans="1:13" ht="14.1" customHeight="1">
      <c r="A42" s="590" t="s">
        <v>268</v>
      </c>
      <c r="B42" s="591">
        <v>14154217</v>
      </c>
      <c r="C42" s="592">
        <v>76.519518151752735</v>
      </c>
      <c r="D42" s="591">
        <v>14640635</v>
      </c>
      <c r="E42" s="592">
        <f>+D42/'- 3 -'!F42*100</f>
        <v>76.581462848590732</v>
      </c>
      <c r="F42" s="591">
        <v>9128.2193989423449</v>
      </c>
      <c r="G42" s="591">
        <f>+D42/'- 7 -'!E42</f>
        <v>10001.80010930455</v>
      </c>
      <c r="I42" s="589" t="str">
        <f t="shared" si="1"/>
        <v/>
      </c>
      <c r="J42" s="641">
        <f>+'- 15 -'!B42</f>
        <v>10918172</v>
      </c>
      <c r="K42" s="640">
        <f>+'- 15 -'!E42</f>
        <v>3322304</v>
      </c>
      <c r="L42" s="640">
        <f>+'- 16 -'!G42</f>
        <v>400159</v>
      </c>
      <c r="M42" s="641">
        <f t="shared" si="0"/>
        <v>14640635</v>
      </c>
    </row>
    <row r="43" spans="1:13" ht="14.1" customHeight="1">
      <c r="A43" s="606" t="s">
        <v>269</v>
      </c>
      <c r="B43" s="607">
        <v>8212999</v>
      </c>
      <c r="C43" s="608">
        <v>75.881203263714426</v>
      </c>
      <c r="D43" s="607">
        <v>8423643</v>
      </c>
      <c r="E43" s="608">
        <f>+D43/'- 3 -'!F43*100</f>
        <v>76.196364834321514</v>
      </c>
      <c r="F43" s="607">
        <v>8384.8892291985703</v>
      </c>
      <c r="G43" s="607">
        <f>+D43/'- 7 -'!E43</f>
        <v>8659.1724917763149</v>
      </c>
      <c r="I43" s="589" t="str">
        <f t="shared" si="1"/>
        <v/>
      </c>
      <c r="J43" s="641">
        <f>+'- 15 -'!B43</f>
        <v>6001627</v>
      </c>
      <c r="K43" s="640">
        <f>+'- 15 -'!E43</f>
        <v>2029742</v>
      </c>
      <c r="L43" s="640">
        <f>+'- 16 -'!G43</f>
        <v>392274</v>
      </c>
      <c r="M43" s="641">
        <f t="shared" si="0"/>
        <v>8423643</v>
      </c>
    </row>
    <row r="44" spans="1:13" ht="14.1" customHeight="1">
      <c r="A44" s="590" t="s">
        <v>270</v>
      </c>
      <c r="B44" s="591">
        <v>6783296</v>
      </c>
      <c r="C44" s="592">
        <v>75.186000474394859</v>
      </c>
      <c r="D44" s="591">
        <v>7051839</v>
      </c>
      <c r="E44" s="592">
        <f>+D44/'- 3 -'!F44*100</f>
        <v>72.937832730865352</v>
      </c>
      <c r="F44" s="591">
        <v>9254.1555252387443</v>
      </c>
      <c r="G44" s="591">
        <f>+D44/'- 7 -'!E44</f>
        <v>9855.8197064989527</v>
      </c>
      <c r="I44" s="589" t="str">
        <f t="shared" si="1"/>
        <v/>
      </c>
      <c r="J44" s="641">
        <f>+'- 15 -'!B44</f>
        <v>5358167</v>
      </c>
      <c r="K44" s="640">
        <f>+'- 15 -'!E44</f>
        <v>1469738</v>
      </c>
      <c r="L44" s="640">
        <f>+'- 16 -'!G44</f>
        <v>223934</v>
      </c>
      <c r="M44" s="641">
        <f t="shared" si="0"/>
        <v>7051839</v>
      </c>
    </row>
    <row r="45" spans="1:13" ht="14.1" customHeight="1">
      <c r="A45" s="606" t="s">
        <v>271</v>
      </c>
      <c r="B45" s="607">
        <v>11577194</v>
      </c>
      <c r="C45" s="608">
        <v>79.982460389759609</v>
      </c>
      <c r="D45" s="607">
        <v>12143165</v>
      </c>
      <c r="E45" s="608">
        <f>+D45/'- 3 -'!F45*100</f>
        <v>80.349912729918515</v>
      </c>
      <c r="F45" s="607">
        <v>7128.8140394088668</v>
      </c>
      <c r="G45" s="607">
        <f>+D45/'- 7 -'!E45</f>
        <v>7328.4037417018708</v>
      </c>
      <c r="I45" s="589" t="str">
        <f t="shared" si="1"/>
        <v/>
      </c>
      <c r="J45" s="641">
        <f>+'- 15 -'!B45</f>
        <v>9175033</v>
      </c>
      <c r="K45" s="640">
        <f>+'- 15 -'!E45</f>
        <v>2476581</v>
      </c>
      <c r="L45" s="640">
        <f>+'- 16 -'!G45</f>
        <v>491551</v>
      </c>
      <c r="M45" s="641">
        <f t="shared" si="0"/>
        <v>12143165</v>
      </c>
    </row>
    <row r="46" spans="1:13" ht="14.1" customHeight="1">
      <c r="A46" s="590" t="s">
        <v>272</v>
      </c>
      <c r="B46" s="591">
        <v>258535011</v>
      </c>
      <c r="C46" s="592">
        <v>81.147839348119987</v>
      </c>
      <c r="D46" s="591">
        <v>265843965</v>
      </c>
      <c r="E46" s="592">
        <f>+D46/'- 3 -'!F46*100</f>
        <v>81.176723271105175</v>
      </c>
      <c r="F46" s="591">
        <v>8741.8809912660654</v>
      </c>
      <c r="G46" s="591">
        <f>+D46/'- 7 -'!E46</f>
        <v>8789.1890685595445</v>
      </c>
      <c r="I46" s="589" t="str">
        <f t="shared" si="1"/>
        <v/>
      </c>
      <c r="J46" s="641">
        <f>+'- 15 -'!B46</f>
        <v>175929510</v>
      </c>
      <c r="K46" s="640">
        <f>+'- 15 -'!E46</f>
        <v>80096055</v>
      </c>
      <c r="L46" s="640">
        <f>+'- 16 -'!G46</f>
        <v>9818400</v>
      </c>
      <c r="M46" s="641">
        <f t="shared" si="0"/>
        <v>265843965</v>
      </c>
    </row>
    <row r="47" spans="1:13" ht="5.0999999999999996" customHeight="1">
      <c r="B47" s="589"/>
      <c r="C47" s="589"/>
      <c r="D47" s="589"/>
      <c r="E47" s="589"/>
      <c r="F47" s="589"/>
      <c r="G47" s="589"/>
      <c r="I47" s="589" t="str">
        <f t="shared" si="1"/>
        <v/>
      </c>
      <c r="J47" s="641">
        <f>+'- 15 -'!B47</f>
        <v>0</v>
      </c>
      <c r="K47" s="640">
        <f>+'- 15 -'!E47</f>
        <v>0</v>
      </c>
      <c r="L47" s="640">
        <f>+'- 16 -'!G47</f>
        <v>0</v>
      </c>
      <c r="M47" s="641">
        <f t="shared" si="0"/>
        <v>0</v>
      </c>
    </row>
    <row r="48" spans="1:13" ht="14.1" customHeight="1">
      <c r="A48" s="609" t="s">
        <v>273</v>
      </c>
      <c r="B48" s="610">
        <v>1441582095</v>
      </c>
      <c r="C48" s="611">
        <v>78.756511790800161</v>
      </c>
      <c r="D48" s="610">
        <f>SUM(D11:D46)</f>
        <v>1499013239</v>
      </c>
      <c r="E48" s="611">
        <f>+D48/'- 3 -'!F48*100</f>
        <v>78.901230961814321</v>
      </c>
      <c r="F48" s="610">
        <v>8405.268745130732</v>
      </c>
      <c r="G48" s="610">
        <f>+D48/'- 7 -'!E48</f>
        <v>8702.5179314407887</v>
      </c>
      <c r="I48" s="589" t="str">
        <f t="shared" si="1"/>
        <v/>
      </c>
      <c r="J48" s="641">
        <f>+'- 15 -'!B48</f>
        <v>1064267659</v>
      </c>
      <c r="K48" s="640">
        <f>+'- 15 -'!E48</f>
        <v>365824928</v>
      </c>
      <c r="L48" s="640">
        <f>+'- 16 -'!G48</f>
        <v>68920652</v>
      </c>
      <c r="M48" s="641">
        <f t="shared" si="0"/>
        <v>1499013239</v>
      </c>
    </row>
    <row r="49" spans="1:7" ht="5.0999999999999996" customHeight="1">
      <c r="B49" s="589"/>
      <c r="C49" s="589"/>
      <c r="D49" s="589"/>
      <c r="E49" s="589"/>
      <c r="F49" s="589"/>
      <c r="G49" s="589"/>
    </row>
    <row r="50" spans="1:7" ht="49.5" customHeight="1">
      <c r="A50" s="593"/>
      <c r="B50" s="594"/>
      <c r="C50" s="594"/>
      <c r="D50" s="594"/>
      <c r="E50" s="594"/>
      <c r="F50" s="594"/>
      <c r="G50" s="594"/>
    </row>
    <row r="51" spans="1:7">
      <c r="A51" s="595" t="s">
        <v>584</v>
      </c>
      <c r="B51" s="589"/>
      <c r="C51" s="589"/>
      <c r="D51" s="589"/>
      <c r="E51" s="589"/>
      <c r="F51" s="589"/>
      <c r="G51" s="589"/>
    </row>
    <row r="52" spans="1:7">
      <c r="A52" s="595" t="s">
        <v>585</v>
      </c>
      <c r="B52" s="589"/>
      <c r="C52" s="589"/>
      <c r="D52" s="589"/>
      <c r="E52" s="589"/>
      <c r="F52" s="589"/>
      <c r="G52" s="589"/>
    </row>
    <row r="53" spans="1:7" ht="10.5" customHeight="1">
      <c r="A53" s="595" t="s">
        <v>715</v>
      </c>
      <c r="B53" s="595"/>
      <c r="C53" s="595"/>
    </row>
    <row r="54" spans="1:7" ht="12" customHeight="1">
      <c r="B54" s="595"/>
      <c r="C54" s="595"/>
    </row>
    <row r="55" spans="1:7" ht="12" customHeight="1">
      <c r="A55" s="596"/>
      <c r="B55" s="595"/>
      <c r="C55" s="595"/>
    </row>
    <row r="56" spans="1:7" ht="12" customHeight="1">
      <c r="A56" s="596"/>
      <c r="B56" s="595"/>
      <c r="C56" s="595"/>
    </row>
    <row r="57" spans="1:7" ht="14.45" customHeight="1">
      <c r="A57" s="595"/>
    </row>
  </sheetData>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6.xml><?xml version="1.0" encoding="utf-8"?>
<worksheet xmlns="http://schemas.openxmlformats.org/spreadsheetml/2006/main" xmlns:r="http://schemas.openxmlformats.org/officeDocument/2006/relationships">
  <sheetPr codeName="Sheet5">
    <pageSetUpPr fitToPage="1"/>
  </sheetPr>
  <dimension ref="A1:H57"/>
  <sheetViews>
    <sheetView showGridLines="0" showZeros="0" workbookViewId="0"/>
  </sheetViews>
  <sheetFormatPr defaultColWidth="16.83203125" defaultRowHeight="12"/>
  <cols>
    <col min="1" max="1" width="32.83203125" style="1" customWidth="1"/>
    <col min="2" max="6" width="16.83203125" style="1" customWidth="1"/>
    <col min="7" max="16384" width="16.83203125" style="1"/>
  </cols>
  <sheetData>
    <row r="1" spans="1:7" ht="6.95" customHeight="1">
      <c r="A1" s="6"/>
      <c r="B1" s="7"/>
      <c r="C1" s="7"/>
      <c r="D1" s="7"/>
      <c r="E1" s="7"/>
      <c r="F1" s="7"/>
      <c r="G1" s="7"/>
    </row>
    <row r="2" spans="1:7" ht="15.95" customHeight="1">
      <c r="A2" s="71"/>
      <c r="B2" s="81" t="s">
        <v>185</v>
      </c>
      <c r="C2" s="9"/>
      <c r="D2" s="9"/>
      <c r="E2" s="9"/>
      <c r="F2" s="82"/>
      <c r="G2" s="82"/>
    </row>
    <row r="3" spans="1:7" ht="15.95" customHeight="1">
      <c r="A3" s="73"/>
      <c r="B3" s="83" t="s">
        <v>360</v>
      </c>
      <c r="C3" s="11"/>
      <c r="D3" s="11"/>
      <c r="E3" s="11"/>
      <c r="F3" s="84"/>
      <c r="G3" s="84"/>
    </row>
    <row r="4" spans="1:7" ht="15.95" customHeight="1">
      <c r="B4" s="7"/>
      <c r="C4" s="7"/>
      <c r="D4" s="7"/>
      <c r="E4" s="7"/>
      <c r="F4" s="7"/>
      <c r="G4" s="7"/>
    </row>
    <row r="5" spans="1:7" ht="15.95" customHeight="1">
      <c r="B5" s="7"/>
      <c r="C5" s="7"/>
      <c r="D5" s="7"/>
      <c r="E5" s="7"/>
      <c r="F5" s="7"/>
      <c r="G5" s="7"/>
    </row>
    <row r="6" spans="1:7" ht="15.95" customHeight="1">
      <c r="B6" s="689" t="s">
        <v>720</v>
      </c>
      <c r="C6" s="690"/>
      <c r="D6" s="691"/>
      <c r="E6" s="482" t="s">
        <v>720</v>
      </c>
      <c r="F6" s="576" t="s">
        <v>707</v>
      </c>
      <c r="G6" s="576" t="s">
        <v>600</v>
      </c>
    </row>
    <row r="7" spans="1:7" ht="15.95" customHeight="1">
      <c r="B7" s="344" t="s">
        <v>399</v>
      </c>
      <c r="C7" s="345"/>
      <c r="D7" s="346"/>
      <c r="E7" s="347" t="s">
        <v>400</v>
      </c>
      <c r="F7" s="348" t="s">
        <v>401</v>
      </c>
      <c r="G7" s="348" t="s">
        <v>401</v>
      </c>
    </row>
    <row r="8" spans="1:7" ht="15.95" customHeight="1">
      <c r="A8" s="75"/>
      <c r="B8" s="481" t="s">
        <v>437</v>
      </c>
      <c r="C8" s="85" t="s">
        <v>85</v>
      </c>
      <c r="D8" s="86" t="s">
        <v>423</v>
      </c>
      <c r="E8" s="14" t="s">
        <v>424</v>
      </c>
      <c r="F8" s="14" t="s">
        <v>423</v>
      </c>
      <c r="G8" s="14" t="s">
        <v>423</v>
      </c>
    </row>
    <row r="9" spans="1:7" ht="15.95" customHeight="1">
      <c r="A9" s="42" t="s">
        <v>95</v>
      </c>
      <c r="B9" s="563" t="s">
        <v>186</v>
      </c>
      <c r="C9" s="87" t="s">
        <v>186</v>
      </c>
      <c r="D9" s="87" t="s">
        <v>186</v>
      </c>
      <c r="E9" s="88" t="s">
        <v>186</v>
      </c>
      <c r="F9" s="564" t="s">
        <v>186</v>
      </c>
      <c r="G9" s="88" t="s">
        <v>186</v>
      </c>
    </row>
    <row r="10" spans="1:7" ht="5.0999999999999996" customHeight="1">
      <c r="A10" s="5"/>
    </row>
    <row r="11" spans="1:7" ht="14.1" customHeight="1">
      <c r="A11" s="330" t="s">
        <v>238</v>
      </c>
      <c r="B11" s="331">
        <v>1488</v>
      </c>
      <c r="C11" s="331">
        <v>0</v>
      </c>
      <c r="D11" s="331">
        <f>+B11-C11</f>
        <v>1488</v>
      </c>
      <c r="E11" s="337">
        <f>'- 7 -'!E11</f>
        <v>1432.5</v>
      </c>
      <c r="F11" s="337">
        <v>1448.2</v>
      </c>
      <c r="G11" s="337">
        <v>1428.5</v>
      </c>
    </row>
    <row r="12" spans="1:7" ht="14.1" customHeight="1">
      <c r="A12" s="26" t="s">
        <v>239</v>
      </c>
      <c r="B12" s="27">
        <v>2395</v>
      </c>
      <c r="C12" s="27">
        <v>0</v>
      </c>
      <c r="D12" s="27">
        <f t="shared" ref="D12:D46" si="0">+B12-C12</f>
        <v>2395</v>
      </c>
      <c r="E12" s="79">
        <f>'- 7 -'!E12</f>
        <v>2339.3199999999997</v>
      </c>
      <c r="F12" s="79">
        <v>2239.3000000000002</v>
      </c>
      <c r="G12" s="79">
        <v>2250.1</v>
      </c>
    </row>
    <row r="13" spans="1:7" ht="14.1" customHeight="1">
      <c r="A13" s="330" t="s">
        <v>240</v>
      </c>
      <c r="B13" s="331">
        <v>7932</v>
      </c>
      <c r="C13" s="331">
        <v>0</v>
      </c>
      <c r="D13" s="331">
        <f t="shared" si="0"/>
        <v>7932</v>
      </c>
      <c r="E13" s="337">
        <f>'- 7 -'!E13</f>
        <v>7609</v>
      </c>
      <c r="F13" s="337">
        <v>7334</v>
      </c>
      <c r="G13" s="337">
        <v>7006.5</v>
      </c>
    </row>
    <row r="14" spans="1:7" ht="14.1" customHeight="1">
      <c r="A14" s="26" t="s">
        <v>653</v>
      </c>
      <c r="B14" s="27">
        <v>4952</v>
      </c>
      <c r="C14" s="27">
        <v>0</v>
      </c>
      <c r="D14" s="27">
        <f t="shared" si="0"/>
        <v>4952</v>
      </c>
      <c r="E14" s="79">
        <f>'- 7 -'!E14</f>
        <v>4952</v>
      </c>
      <c r="F14" s="79">
        <v>4700.5</v>
      </c>
      <c r="G14" s="79">
        <v>4659.8999999999996</v>
      </c>
    </row>
    <row r="15" spans="1:7" ht="14.1" customHeight="1">
      <c r="A15" s="330" t="s">
        <v>241</v>
      </c>
      <c r="B15" s="331">
        <v>1588</v>
      </c>
      <c r="C15" s="331">
        <v>0</v>
      </c>
      <c r="D15" s="331">
        <f t="shared" si="0"/>
        <v>1588</v>
      </c>
      <c r="E15" s="337">
        <f>'- 7 -'!E15</f>
        <v>1533</v>
      </c>
      <c r="F15" s="337">
        <v>1541.2</v>
      </c>
      <c r="G15" s="337">
        <v>1587.3</v>
      </c>
    </row>
    <row r="16" spans="1:7" ht="14.1" customHeight="1">
      <c r="A16" s="26" t="s">
        <v>242</v>
      </c>
      <c r="B16" s="27">
        <v>1024</v>
      </c>
      <c r="C16" s="27">
        <v>0</v>
      </c>
      <c r="D16" s="27">
        <f t="shared" si="0"/>
        <v>1024</v>
      </c>
      <c r="E16" s="79">
        <f>'- 7 -'!E16</f>
        <v>989.5</v>
      </c>
      <c r="F16" s="79">
        <v>991.1</v>
      </c>
      <c r="G16" s="79">
        <v>985.3</v>
      </c>
    </row>
    <row r="17" spans="1:7" ht="14.1" customHeight="1">
      <c r="A17" s="330" t="s">
        <v>243</v>
      </c>
      <c r="B17" s="331">
        <v>1363</v>
      </c>
      <c r="C17" s="331">
        <v>0</v>
      </c>
      <c r="D17" s="331">
        <f t="shared" si="0"/>
        <v>1363</v>
      </c>
      <c r="E17" s="337">
        <f>'- 7 -'!E17</f>
        <v>1322.5</v>
      </c>
      <c r="F17" s="337">
        <v>1295.5</v>
      </c>
      <c r="G17" s="337">
        <v>1302.5</v>
      </c>
    </row>
    <row r="18" spans="1:7" ht="14.1" customHeight="1">
      <c r="A18" s="26" t="s">
        <v>244</v>
      </c>
      <c r="B18" s="27">
        <v>6526</v>
      </c>
      <c r="C18" s="27">
        <v>486</v>
      </c>
      <c r="D18" s="27">
        <f t="shared" si="0"/>
        <v>6040</v>
      </c>
      <c r="E18" s="79">
        <f>'- 7 -'!E18</f>
        <v>5780.1</v>
      </c>
      <c r="F18" s="79">
        <v>2566.4</v>
      </c>
      <c r="G18" s="79">
        <v>2512.1</v>
      </c>
    </row>
    <row r="19" spans="1:7" ht="14.1" customHeight="1">
      <c r="A19" s="330" t="s">
        <v>245</v>
      </c>
      <c r="B19" s="331">
        <v>4291</v>
      </c>
      <c r="C19" s="331">
        <v>0</v>
      </c>
      <c r="D19" s="331">
        <f t="shared" si="0"/>
        <v>4291</v>
      </c>
      <c r="E19" s="337">
        <f>'- 7 -'!E19</f>
        <v>4140.3999999999996</v>
      </c>
      <c r="F19" s="337">
        <v>4116</v>
      </c>
      <c r="G19" s="337">
        <v>4072.2</v>
      </c>
    </row>
    <row r="20" spans="1:7" ht="14.1" customHeight="1">
      <c r="A20" s="26" t="s">
        <v>246</v>
      </c>
      <c r="B20" s="27">
        <v>7590</v>
      </c>
      <c r="C20" s="27">
        <v>0</v>
      </c>
      <c r="D20" s="27">
        <f t="shared" si="0"/>
        <v>7590</v>
      </c>
      <c r="E20" s="79">
        <f>'- 7 -'!E20</f>
        <v>7297</v>
      </c>
      <c r="F20" s="79">
        <v>7222.2</v>
      </c>
      <c r="G20" s="79">
        <v>7173.9</v>
      </c>
    </row>
    <row r="21" spans="1:7" ht="14.1" customHeight="1">
      <c r="A21" s="330" t="s">
        <v>247</v>
      </c>
      <c r="B21" s="331">
        <v>2942</v>
      </c>
      <c r="C21" s="331">
        <v>0</v>
      </c>
      <c r="D21" s="331">
        <f t="shared" si="0"/>
        <v>2942</v>
      </c>
      <c r="E21" s="337">
        <f>'- 7 -'!E21</f>
        <v>2843</v>
      </c>
      <c r="F21" s="337">
        <v>2884.6</v>
      </c>
      <c r="G21" s="337">
        <v>2929.5</v>
      </c>
    </row>
    <row r="22" spans="1:7" ht="14.1" customHeight="1">
      <c r="A22" s="26" t="s">
        <v>248</v>
      </c>
      <c r="B22" s="27">
        <v>1624</v>
      </c>
      <c r="C22" s="27">
        <v>0</v>
      </c>
      <c r="D22" s="27">
        <f t="shared" si="0"/>
        <v>1624</v>
      </c>
      <c r="E22" s="79">
        <f>'- 7 -'!E22</f>
        <v>1565.2</v>
      </c>
      <c r="F22" s="79">
        <v>1593.5</v>
      </c>
      <c r="G22" s="79">
        <v>1606.3</v>
      </c>
    </row>
    <row r="23" spans="1:7" ht="14.1" customHeight="1">
      <c r="A23" s="330" t="s">
        <v>249</v>
      </c>
      <c r="B23" s="331">
        <v>1239</v>
      </c>
      <c r="C23" s="331">
        <v>0</v>
      </c>
      <c r="D23" s="331">
        <f t="shared" si="0"/>
        <v>1239</v>
      </c>
      <c r="E23" s="337">
        <f>'- 7 -'!E23</f>
        <v>1193.5</v>
      </c>
      <c r="F23" s="337">
        <v>1112.5999999999999</v>
      </c>
      <c r="G23" s="337">
        <v>1144.0999999999999</v>
      </c>
    </row>
    <row r="24" spans="1:7" ht="14.1" customHeight="1">
      <c r="A24" s="26" t="s">
        <v>250</v>
      </c>
      <c r="B24" s="27">
        <v>4481</v>
      </c>
      <c r="C24" s="27">
        <v>0</v>
      </c>
      <c r="D24" s="27">
        <f t="shared" si="0"/>
        <v>4481</v>
      </c>
      <c r="E24" s="79">
        <f>'- 7 -'!E24</f>
        <v>4331.5</v>
      </c>
      <c r="F24" s="79">
        <v>4271.8999999999996</v>
      </c>
      <c r="G24" s="79">
        <v>4361.5</v>
      </c>
    </row>
    <row r="25" spans="1:7" ht="14.1" customHeight="1">
      <c r="A25" s="330" t="s">
        <v>251</v>
      </c>
      <c r="B25" s="331">
        <v>14269</v>
      </c>
      <c r="C25" s="331">
        <v>0</v>
      </c>
      <c r="D25" s="331">
        <f t="shared" si="0"/>
        <v>14269</v>
      </c>
      <c r="E25" s="337">
        <f>'- 7 -'!E25</f>
        <v>13780</v>
      </c>
      <c r="F25" s="337">
        <v>13609.7</v>
      </c>
      <c r="G25" s="337">
        <v>13806.8</v>
      </c>
    </row>
    <row r="26" spans="1:7" ht="14.1" customHeight="1">
      <c r="A26" s="26" t="s">
        <v>252</v>
      </c>
      <c r="B26" s="27">
        <v>3227</v>
      </c>
      <c r="C26" s="27">
        <v>0</v>
      </c>
      <c r="D26" s="27">
        <f t="shared" si="0"/>
        <v>3227</v>
      </c>
      <c r="E26" s="79">
        <f>'- 7 -'!E26</f>
        <v>3108.5</v>
      </c>
      <c r="F26" s="79">
        <v>2991.4</v>
      </c>
      <c r="G26" s="79">
        <v>3002.3</v>
      </c>
    </row>
    <row r="27" spans="1:7" ht="14.1" customHeight="1">
      <c r="A27" s="330" t="s">
        <v>253</v>
      </c>
      <c r="B27" s="331">
        <v>2911</v>
      </c>
      <c r="C27" s="331">
        <v>0</v>
      </c>
      <c r="D27" s="331">
        <f t="shared" si="0"/>
        <v>2911</v>
      </c>
      <c r="E27" s="337">
        <f>'- 7 -'!E27</f>
        <v>2795.3</v>
      </c>
      <c r="F27" s="337">
        <v>2802.6</v>
      </c>
      <c r="G27" s="337">
        <v>2801.5</v>
      </c>
    </row>
    <row r="28" spans="1:7" ht="14.1" customHeight="1">
      <c r="A28" s="26" t="s">
        <v>254</v>
      </c>
      <c r="B28" s="27">
        <v>2057</v>
      </c>
      <c r="C28" s="27">
        <v>0</v>
      </c>
      <c r="D28" s="27">
        <f t="shared" si="0"/>
        <v>2057</v>
      </c>
      <c r="E28" s="79">
        <f>'- 7 -'!E28</f>
        <v>2003</v>
      </c>
      <c r="F28" s="79">
        <v>1569.4</v>
      </c>
      <c r="G28" s="79">
        <v>1590</v>
      </c>
    </row>
    <row r="29" spans="1:7" ht="14.1" customHeight="1">
      <c r="A29" s="330" t="s">
        <v>255</v>
      </c>
      <c r="B29" s="331">
        <v>12684</v>
      </c>
      <c r="C29" s="331">
        <v>0</v>
      </c>
      <c r="D29" s="331">
        <f t="shared" si="0"/>
        <v>12684</v>
      </c>
      <c r="E29" s="337">
        <f>'- 7 -'!E29</f>
        <v>12184.4</v>
      </c>
      <c r="F29" s="337">
        <v>12020.5</v>
      </c>
      <c r="G29" s="337">
        <v>12106.5</v>
      </c>
    </row>
    <row r="30" spans="1:7" ht="14.1" customHeight="1">
      <c r="A30" s="26" t="s">
        <v>256</v>
      </c>
      <c r="B30" s="27">
        <v>1130</v>
      </c>
      <c r="C30" s="27">
        <v>0</v>
      </c>
      <c r="D30" s="27">
        <f t="shared" si="0"/>
        <v>1130</v>
      </c>
      <c r="E30" s="79">
        <f>'- 7 -'!E30</f>
        <v>1098</v>
      </c>
      <c r="F30" s="79">
        <v>1126</v>
      </c>
      <c r="G30" s="79">
        <v>1142.7</v>
      </c>
    </row>
    <row r="31" spans="1:7" ht="14.1" customHeight="1">
      <c r="A31" s="330" t="s">
        <v>257</v>
      </c>
      <c r="B31" s="331">
        <v>3306</v>
      </c>
      <c r="C31" s="331">
        <v>0</v>
      </c>
      <c r="D31" s="331">
        <f t="shared" si="0"/>
        <v>3306</v>
      </c>
      <c r="E31" s="337">
        <f>'- 7 -'!E31</f>
        <v>3198.5</v>
      </c>
      <c r="F31" s="337">
        <v>2991.1</v>
      </c>
      <c r="G31" s="337">
        <v>3002.4</v>
      </c>
    </row>
    <row r="32" spans="1:7" ht="14.1" customHeight="1">
      <c r="A32" s="26" t="s">
        <v>258</v>
      </c>
      <c r="B32" s="27">
        <v>2152</v>
      </c>
      <c r="C32" s="27">
        <v>0</v>
      </c>
      <c r="D32" s="27">
        <f t="shared" si="0"/>
        <v>2152</v>
      </c>
      <c r="E32" s="79">
        <f>'- 7 -'!E32</f>
        <v>2062.5</v>
      </c>
      <c r="F32" s="79">
        <v>2030.8</v>
      </c>
      <c r="G32" s="79">
        <v>2061.3000000000002</v>
      </c>
    </row>
    <row r="33" spans="1:8" ht="14.1" customHeight="1">
      <c r="A33" s="330" t="s">
        <v>259</v>
      </c>
      <c r="B33" s="331">
        <v>2120</v>
      </c>
      <c r="C33" s="331">
        <v>0</v>
      </c>
      <c r="D33" s="331">
        <f t="shared" si="0"/>
        <v>2120</v>
      </c>
      <c r="E33" s="337">
        <f>'- 7 -'!E33</f>
        <v>2037.5</v>
      </c>
      <c r="F33" s="337">
        <v>2060.4</v>
      </c>
      <c r="G33" s="337">
        <v>2101.6999999999998</v>
      </c>
    </row>
    <row r="34" spans="1:8" ht="14.1" customHeight="1">
      <c r="A34" s="26" t="s">
        <v>260</v>
      </c>
      <c r="B34" s="27">
        <v>2062</v>
      </c>
      <c r="C34" s="27">
        <v>0</v>
      </c>
      <c r="D34" s="27">
        <f t="shared" si="0"/>
        <v>2062</v>
      </c>
      <c r="E34" s="79">
        <f>'- 7 -'!E34</f>
        <v>1993.3</v>
      </c>
      <c r="F34" s="79">
        <v>2029.8</v>
      </c>
      <c r="G34" s="79">
        <v>2010.5</v>
      </c>
    </row>
    <row r="35" spans="1:8" ht="14.1" customHeight="1">
      <c r="A35" s="330" t="s">
        <v>261</v>
      </c>
      <c r="B35" s="331">
        <v>16322</v>
      </c>
      <c r="C35" s="331">
        <v>0</v>
      </c>
      <c r="D35" s="331">
        <f t="shared" si="0"/>
        <v>16322</v>
      </c>
      <c r="E35" s="337">
        <f>'- 7 -'!E35</f>
        <v>15765.5</v>
      </c>
      <c r="F35" s="337">
        <v>15637.6</v>
      </c>
      <c r="G35" s="337">
        <v>15905.7</v>
      </c>
    </row>
    <row r="36" spans="1:8" ht="14.1" customHeight="1">
      <c r="A36" s="26" t="s">
        <v>262</v>
      </c>
      <c r="B36" s="27">
        <v>1722</v>
      </c>
      <c r="C36" s="27">
        <v>0</v>
      </c>
      <c r="D36" s="27">
        <f t="shared" si="0"/>
        <v>1722</v>
      </c>
      <c r="E36" s="79">
        <f>'- 7 -'!E36</f>
        <v>1669</v>
      </c>
      <c r="F36" s="79">
        <v>1652</v>
      </c>
      <c r="G36" s="79">
        <v>1711.6</v>
      </c>
    </row>
    <row r="37" spans="1:8" ht="14.1" customHeight="1">
      <c r="A37" s="330" t="s">
        <v>263</v>
      </c>
      <c r="B37" s="331">
        <v>3828</v>
      </c>
      <c r="C37" s="331">
        <v>0</v>
      </c>
      <c r="D37" s="331">
        <f t="shared" si="0"/>
        <v>3828</v>
      </c>
      <c r="E37" s="337">
        <f>'- 7 -'!E37</f>
        <v>3677.5</v>
      </c>
      <c r="F37" s="337">
        <v>3608.2</v>
      </c>
      <c r="G37" s="337">
        <v>3571.3</v>
      </c>
    </row>
    <row r="38" spans="1:8" ht="14.1" customHeight="1">
      <c r="A38" s="26" t="s">
        <v>264</v>
      </c>
      <c r="B38" s="27">
        <v>10534</v>
      </c>
      <c r="C38" s="27">
        <v>0</v>
      </c>
      <c r="D38" s="27">
        <f t="shared" si="0"/>
        <v>10534</v>
      </c>
      <c r="E38" s="79">
        <f>'- 7 -'!E38</f>
        <v>10157.6</v>
      </c>
      <c r="F38" s="79">
        <v>9714.7000000000007</v>
      </c>
      <c r="G38" s="79">
        <v>9255.1</v>
      </c>
    </row>
    <row r="39" spans="1:8" ht="14.1" customHeight="1">
      <c r="A39" s="330" t="s">
        <v>265</v>
      </c>
      <c r="B39" s="331">
        <v>1644</v>
      </c>
      <c r="C39" s="331">
        <v>0</v>
      </c>
      <c r="D39" s="331">
        <f t="shared" si="0"/>
        <v>1644</v>
      </c>
      <c r="E39" s="337">
        <f>'- 7 -'!E39</f>
        <v>1589.1</v>
      </c>
      <c r="F39" s="337">
        <v>1620.6</v>
      </c>
      <c r="G39" s="337">
        <v>1613.7</v>
      </c>
    </row>
    <row r="40" spans="1:8" ht="14.1" customHeight="1">
      <c r="A40" s="26" t="s">
        <v>266</v>
      </c>
      <c r="B40" s="27">
        <v>8496</v>
      </c>
      <c r="C40" s="27">
        <v>0</v>
      </c>
      <c r="D40" s="27">
        <f t="shared" si="0"/>
        <v>8496</v>
      </c>
      <c r="E40" s="79">
        <f>'- 7 -'!E40</f>
        <v>8199</v>
      </c>
      <c r="F40" s="79">
        <v>8068.3</v>
      </c>
      <c r="G40" s="79">
        <v>8131.7</v>
      </c>
    </row>
    <row r="41" spans="1:8" ht="14.1" customHeight="1">
      <c r="A41" s="330" t="s">
        <v>267</v>
      </c>
      <c r="B41" s="331">
        <v>4710</v>
      </c>
      <c r="C41" s="331">
        <v>0</v>
      </c>
      <c r="D41" s="331">
        <f t="shared" si="0"/>
        <v>4710</v>
      </c>
      <c r="E41" s="337">
        <f>'- 7 -'!E41</f>
        <v>4547.5</v>
      </c>
      <c r="F41" s="337">
        <v>4538.8999999999996</v>
      </c>
      <c r="G41" s="337">
        <v>4554.8</v>
      </c>
    </row>
    <row r="42" spans="1:8" ht="14.1" customHeight="1">
      <c r="A42" s="26" t="s">
        <v>268</v>
      </c>
      <c r="B42" s="27">
        <v>1569</v>
      </c>
      <c r="C42" s="27">
        <v>46</v>
      </c>
      <c r="D42" s="27">
        <f t="shared" si="0"/>
        <v>1523</v>
      </c>
      <c r="E42" s="79">
        <f>'- 7 -'!E42</f>
        <v>1463.8</v>
      </c>
      <c r="F42" s="79">
        <v>1511.6</v>
      </c>
      <c r="G42" s="79">
        <v>1508.9</v>
      </c>
    </row>
    <row r="43" spans="1:8" ht="14.1" customHeight="1">
      <c r="A43" s="330" t="s">
        <v>269</v>
      </c>
      <c r="B43" s="331">
        <v>1018</v>
      </c>
      <c r="C43" s="331">
        <v>0</v>
      </c>
      <c r="D43" s="331">
        <f t="shared" si="0"/>
        <v>1018</v>
      </c>
      <c r="E43" s="337">
        <f>'- 7 -'!E43</f>
        <v>972.80000000000007</v>
      </c>
      <c r="F43" s="337">
        <v>979.5</v>
      </c>
      <c r="G43" s="337">
        <v>983.3</v>
      </c>
    </row>
    <row r="44" spans="1:8" ht="14.1" customHeight="1">
      <c r="A44" s="26" t="s">
        <v>270</v>
      </c>
      <c r="B44" s="27">
        <v>743</v>
      </c>
      <c r="C44" s="27">
        <v>0</v>
      </c>
      <c r="D44" s="27">
        <f t="shared" si="0"/>
        <v>743</v>
      </c>
      <c r="E44" s="79">
        <f>'- 7 -'!E44</f>
        <v>715.5</v>
      </c>
      <c r="F44" s="79">
        <v>731</v>
      </c>
      <c r="G44" s="79">
        <v>758.5</v>
      </c>
    </row>
    <row r="45" spans="1:8" ht="14.1" customHeight="1">
      <c r="A45" s="330" t="s">
        <v>271</v>
      </c>
      <c r="B45" s="331">
        <v>1727</v>
      </c>
      <c r="C45" s="331">
        <v>0</v>
      </c>
      <c r="D45" s="331">
        <f t="shared" si="0"/>
        <v>1727</v>
      </c>
      <c r="E45" s="337">
        <f>'- 7 -'!E45</f>
        <v>1657</v>
      </c>
      <c r="F45" s="337">
        <v>1604.3</v>
      </c>
      <c r="G45" s="337">
        <v>1609.4</v>
      </c>
    </row>
    <row r="46" spans="1:8" ht="14.1" customHeight="1">
      <c r="A46" s="26" t="s">
        <v>272</v>
      </c>
      <c r="B46" s="27">
        <v>33481</v>
      </c>
      <c r="C46" s="27">
        <v>1878</v>
      </c>
      <c r="D46" s="27">
        <f t="shared" si="0"/>
        <v>31603</v>
      </c>
      <c r="E46" s="79">
        <f>'- 7 -'!E46</f>
        <v>30246.7</v>
      </c>
      <c r="F46" s="79">
        <v>29261.3</v>
      </c>
      <c r="G46" s="79">
        <v>29233.4</v>
      </c>
    </row>
    <row r="47" spans="1:8" ht="5.0999999999999996" customHeight="1">
      <c r="A47"/>
      <c r="B47"/>
      <c r="C47"/>
      <c r="D47"/>
      <c r="E47"/>
      <c r="F47"/>
      <c r="G47"/>
      <c r="H47"/>
    </row>
    <row r="48" spans="1:8" ht="14.1" customHeight="1">
      <c r="A48" s="332" t="s">
        <v>273</v>
      </c>
      <c r="B48" s="333">
        <f t="shared" ref="B48:G48" si="1">SUM(B11:B46)</f>
        <v>181147</v>
      </c>
      <c r="C48" s="333">
        <f t="shared" si="1"/>
        <v>2410</v>
      </c>
      <c r="D48" s="333">
        <f t="shared" si="1"/>
        <v>178737</v>
      </c>
      <c r="E48" s="340">
        <f t="shared" si="1"/>
        <v>172250.52</v>
      </c>
      <c r="F48" s="340">
        <f t="shared" si="1"/>
        <v>165476.70000000001</v>
      </c>
      <c r="G48" s="340">
        <f t="shared" si="1"/>
        <v>165482.79999999996</v>
      </c>
      <c r="H48" s="643"/>
    </row>
    <row r="49" spans="1:7" ht="5.0999999999999996" customHeight="1">
      <c r="A49" s="28" t="s">
        <v>18</v>
      </c>
      <c r="B49" s="29"/>
      <c r="C49" s="29"/>
      <c r="D49" s="29"/>
      <c r="E49" s="80"/>
      <c r="F49" s="80"/>
      <c r="G49" s="80"/>
    </row>
    <row r="50" spans="1:7" ht="14.1" customHeight="1">
      <c r="A50" s="330" t="s">
        <v>274</v>
      </c>
      <c r="B50" s="331">
        <v>182</v>
      </c>
      <c r="C50" s="331">
        <v>0</v>
      </c>
      <c r="D50" s="331">
        <f>+B50-C50</f>
        <v>182</v>
      </c>
      <c r="E50" s="337">
        <f>'- 7 -'!E50</f>
        <v>181</v>
      </c>
      <c r="F50" s="337">
        <v>184</v>
      </c>
      <c r="G50" s="337">
        <v>204.2</v>
      </c>
    </row>
    <row r="51" spans="1:7" ht="14.1" customHeight="1">
      <c r="A51" s="26" t="s">
        <v>275</v>
      </c>
      <c r="B51" s="27"/>
      <c r="C51" s="27"/>
      <c r="D51" s="27">
        <f>+B51-C51</f>
        <v>0</v>
      </c>
      <c r="E51" s="79">
        <f>'- 7 -'!E51</f>
        <v>642.5</v>
      </c>
      <c r="F51" s="79"/>
      <c r="G51" s="79"/>
    </row>
    <row r="52" spans="1:7" ht="50.1" customHeight="1">
      <c r="A52" s="30"/>
      <c r="B52" s="30"/>
      <c r="C52" s="30"/>
      <c r="D52" s="30"/>
      <c r="E52" s="30"/>
      <c r="F52" s="89"/>
      <c r="G52" s="89"/>
    </row>
    <row r="53" spans="1:7" ht="15" customHeight="1">
      <c r="A53" s="1" t="s">
        <v>402</v>
      </c>
      <c r="C53" s="90"/>
      <c r="D53" s="90"/>
      <c r="E53" s="90"/>
      <c r="F53" s="90"/>
    </row>
    <row r="54" spans="1:7" ht="12" customHeight="1">
      <c r="A54" s="1" t="s">
        <v>405</v>
      </c>
      <c r="C54" s="90"/>
      <c r="D54" s="90"/>
      <c r="E54" s="90"/>
      <c r="F54" s="90"/>
    </row>
    <row r="55" spans="1:7" ht="12" customHeight="1">
      <c r="A55" s="1" t="s">
        <v>658</v>
      </c>
      <c r="C55" s="90"/>
      <c r="D55" s="90"/>
      <c r="E55" s="90"/>
      <c r="F55" s="90"/>
    </row>
    <row r="56" spans="1:7" ht="12" customHeight="1">
      <c r="A56" s="1" t="s">
        <v>724</v>
      </c>
      <c r="C56" s="90"/>
      <c r="D56" s="90"/>
      <c r="E56" s="90"/>
      <c r="F56" s="91"/>
    </row>
    <row r="57" spans="1:7">
      <c r="A57" s="1" t="s">
        <v>659</v>
      </c>
    </row>
  </sheetData>
  <mergeCells count="1">
    <mergeCell ref="B6:D6"/>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sheetPr codeName="Sheet61">
    <pageSetUpPr fitToPage="1"/>
  </sheetPr>
  <dimension ref="A1:I58"/>
  <sheetViews>
    <sheetView showGridLines="0" showZeros="0" workbookViewId="0"/>
  </sheetViews>
  <sheetFormatPr defaultColWidth="12.83203125" defaultRowHeight="12"/>
  <cols>
    <col min="1" max="1" width="30.83203125" style="1" customWidth="1"/>
    <col min="2" max="8" width="12.83203125" style="1" customWidth="1"/>
    <col min="9" max="16384" width="12.83203125" style="1"/>
  </cols>
  <sheetData>
    <row r="1" spans="1:9" ht="6.95" customHeight="1">
      <c r="A1" s="6"/>
      <c r="B1" s="7"/>
      <c r="C1" s="7"/>
    </row>
    <row r="2" spans="1:9" ht="15.95" customHeight="1">
      <c r="A2" s="278" t="s">
        <v>367</v>
      </c>
      <c r="B2" s="279"/>
      <c r="C2" s="279"/>
      <c r="D2" s="279"/>
      <c r="E2" s="279"/>
      <c r="F2" s="160"/>
      <c r="G2" s="160"/>
      <c r="H2" s="160"/>
      <c r="I2" s="160"/>
    </row>
    <row r="3" spans="1:9" ht="15.95" customHeight="1">
      <c r="A3" s="280" t="str">
        <f>B9&amp;" AND "&amp;C9&amp;" ACTUAL"</f>
        <v>2010/11 AND 2011/12 ACTUAL</v>
      </c>
      <c r="B3" s="281"/>
      <c r="C3" s="282"/>
      <c r="D3" s="282"/>
      <c r="E3" s="282"/>
      <c r="F3" s="283"/>
      <c r="G3" s="283"/>
      <c r="H3" s="283"/>
      <c r="I3" s="283"/>
    </row>
    <row r="4" spans="1:9" ht="15.95" customHeight="1">
      <c r="B4" s="38"/>
      <c r="C4" s="7"/>
    </row>
    <row r="5" spans="1:9" ht="15.95" customHeight="1">
      <c r="B5" s="259"/>
      <c r="C5" s="7"/>
    </row>
    <row r="6" spans="1:9" ht="15.95" customHeight="1">
      <c r="B6" s="452" t="s">
        <v>123</v>
      </c>
      <c r="C6" s="453"/>
      <c r="D6" s="454"/>
      <c r="E6" s="455"/>
      <c r="F6" s="452" t="s">
        <v>128</v>
      </c>
      <c r="G6" s="453"/>
      <c r="H6" s="462"/>
      <c r="I6" s="463"/>
    </row>
    <row r="7" spans="1:9" ht="15.95" customHeight="1">
      <c r="B7" s="456" t="s">
        <v>88</v>
      </c>
      <c r="C7" s="457"/>
      <c r="D7" s="456" t="s">
        <v>13</v>
      </c>
      <c r="E7" s="457"/>
      <c r="F7" s="456" t="s">
        <v>366</v>
      </c>
      <c r="G7" s="457"/>
      <c r="H7" s="456" t="s">
        <v>162</v>
      </c>
      <c r="I7" s="457"/>
    </row>
    <row r="8" spans="1:9" ht="15.95" customHeight="1">
      <c r="A8" s="75"/>
      <c r="B8" s="458" t="s">
        <v>415</v>
      </c>
      <c r="C8" s="459"/>
      <c r="D8" s="458" t="s">
        <v>14</v>
      </c>
      <c r="E8" s="459"/>
      <c r="F8" s="458" t="s">
        <v>98</v>
      </c>
      <c r="G8" s="459"/>
      <c r="H8" s="458" t="s">
        <v>365</v>
      </c>
      <c r="I8" s="459"/>
    </row>
    <row r="9" spans="1:9" ht="15.95" customHeight="1">
      <c r="A9" s="42" t="s">
        <v>95</v>
      </c>
      <c r="B9" s="630" t="str">
        <f>PrevY</f>
        <v>2010/11</v>
      </c>
      <c r="C9" s="631" t="str">
        <f>+CurrY</f>
        <v>2011/12</v>
      </c>
      <c r="D9" s="630" t="str">
        <f>+B9</f>
        <v>2010/11</v>
      </c>
      <c r="E9" s="631" t="s">
        <v>721</v>
      </c>
      <c r="F9" s="631">
        <v>2010</v>
      </c>
      <c r="G9" s="631" t="s">
        <v>722</v>
      </c>
      <c r="H9" s="631">
        <f>+F9</f>
        <v>2010</v>
      </c>
      <c r="I9" s="631" t="s">
        <v>723</v>
      </c>
    </row>
    <row r="10" spans="1:9" ht="5.0999999999999996" customHeight="1">
      <c r="A10" s="5"/>
      <c r="C10" s="284"/>
    </row>
    <row r="11" spans="1:9" ht="14.1" customHeight="1">
      <c r="A11" s="411" t="s">
        <v>238</v>
      </c>
      <c r="B11" s="411">
        <v>9859</v>
      </c>
      <c r="C11" s="411">
        <f>'- 4 -'!E11</f>
        <v>10495</v>
      </c>
      <c r="D11" s="412">
        <v>13.8421857088269</v>
      </c>
      <c r="E11" s="412">
        <f>'- 9 -'!C11</f>
        <v>13.396614607687271</v>
      </c>
      <c r="F11" s="411">
        <v>282358</v>
      </c>
      <c r="G11" s="411">
        <f>'- 56 -'!F11</f>
        <v>281078</v>
      </c>
      <c r="H11" s="412">
        <v>16.264649234805809</v>
      </c>
      <c r="I11" s="412">
        <f>'- 54 -'!G11</f>
        <v>16.260223607697586</v>
      </c>
    </row>
    <row r="12" spans="1:9" ht="14.1" customHeight="1">
      <c r="A12" s="171" t="s">
        <v>239</v>
      </c>
      <c r="B12" s="171">
        <v>11131</v>
      </c>
      <c r="C12" s="171">
        <f>'- 4 -'!E12</f>
        <v>11969</v>
      </c>
      <c r="D12" s="271">
        <v>12.639940844028946</v>
      </c>
      <c r="E12" s="271">
        <f>'- 9 -'!C12</f>
        <v>11.995590082814141</v>
      </c>
      <c r="F12" s="171">
        <v>219028</v>
      </c>
      <c r="G12" s="171">
        <f>'- 56 -'!F12</f>
        <v>222424</v>
      </c>
      <c r="H12" s="271">
        <v>19.739799746031309</v>
      </c>
      <c r="I12" s="271">
        <f>'- 54 -'!G12</f>
        <v>19.737489474605759</v>
      </c>
    </row>
    <row r="13" spans="1:9" ht="14.1" customHeight="1">
      <c r="A13" s="411" t="s">
        <v>240</v>
      </c>
      <c r="B13" s="411">
        <v>9092</v>
      </c>
      <c r="C13" s="411">
        <f>'- 4 -'!E13</f>
        <v>9601</v>
      </c>
      <c r="D13" s="412">
        <v>13.901319995487196</v>
      </c>
      <c r="E13" s="412">
        <f>'- 9 -'!C13</f>
        <v>13.038039753255655</v>
      </c>
      <c r="F13" s="411">
        <v>269793</v>
      </c>
      <c r="G13" s="411">
        <f>'- 56 -'!F13</f>
        <v>267002</v>
      </c>
      <c r="H13" s="412">
        <v>15.440200817088492</v>
      </c>
      <c r="I13" s="412">
        <f>'- 54 -'!G13</f>
        <v>16.273409900912203</v>
      </c>
    </row>
    <row r="14" spans="1:9" ht="14.1" customHeight="1">
      <c r="A14" s="171" t="s">
        <v>653</v>
      </c>
      <c r="B14" s="171">
        <v>12837</v>
      </c>
      <c r="C14" s="171">
        <f>'- 4 -'!E14</f>
        <v>13207</v>
      </c>
      <c r="D14" s="271">
        <v>12.675218538250659</v>
      </c>
      <c r="E14" s="271">
        <f>'- 9 -'!C14</f>
        <v>12.727459648401357</v>
      </c>
      <c r="F14" s="171">
        <v>278754</v>
      </c>
      <c r="G14" s="171">
        <f>'- 56 -'!F14</f>
        <v>283590</v>
      </c>
      <c r="H14" s="271"/>
      <c r="I14" s="271">
        <f>'- 54 -'!G14</f>
        <v>0</v>
      </c>
    </row>
    <row r="15" spans="1:9" ht="14.1" customHeight="1">
      <c r="A15" s="411" t="s">
        <v>241</v>
      </c>
      <c r="B15" s="411">
        <v>10891</v>
      </c>
      <c r="C15" s="411">
        <f>'- 4 -'!E15</f>
        <v>11734</v>
      </c>
      <c r="D15" s="412">
        <v>14.241598546775657</v>
      </c>
      <c r="E15" s="412">
        <f>'- 9 -'!C15</f>
        <v>13.602484472049689</v>
      </c>
      <c r="F15" s="411">
        <v>435922</v>
      </c>
      <c r="G15" s="411">
        <f>'- 56 -'!F15</f>
        <v>450100</v>
      </c>
      <c r="H15" s="412">
        <v>11.083890808677074</v>
      </c>
      <c r="I15" s="412">
        <f>'- 54 -'!G15</f>
        <v>11.079687843625338</v>
      </c>
    </row>
    <row r="16" spans="1:9" ht="14.1" customHeight="1">
      <c r="A16" s="171" t="s">
        <v>242</v>
      </c>
      <c r="B16" s="171">
        <v>12035</v>
      </c>
      <c r="C16" s="171">
        <f>'- 4 -'!E16</f>
        <v>12627</v>
      </c>
      <c r="D16" s="271">
        <v>13.508887425938116</v>
      </c>
      <c r="E16" s="271">
        <f>'- 9 -'!C16</f>
        <v>13.149501661129568</v>
      </c>
      <c r="F16" s="171">
        <v>138456</v>
      </c>
      <c r="G16" s="171">
        <f>'- 56 -'!F16</f>
        <v>143513</v>
      </c>
      <c r="H16" s="271">
        <v>18.501184617161595</v>
      </c>
      <c r="I16" s="271">
        <f>'- 54 -'!G16</f>
        <v>17.996747644464619</v>
      </c>
    </row>
    <row r="17" spans="1:9" ht="14.1" customHeight="1">
      <c r="A17" s="411" t="s">
        <v>243</v>
      </c>
      <c r="B17" s="411">
        <v>11415</v>
      </c>
      <c r="C17" s="411">
        <f>'- 4 -'!E17</f>
        <v>11795</v>
      </c>
      <c r="D17" s="412">
        <v>12.828884194353757</v>
      </c>
      <c r="E17" s="412">
        <f>'- 9 -'!C17</f>
        <v>13.104439159730479</v>
      </c>
      <c r="F17" s="411">
        <v>378925</v>
      </c>
      <c r="G17" s="411">
        <f>'- 56 -'!F17</f>
        <v>405673</v>
      </c>
      <c r="H17" s="412">
        <v>13.574942202999186</v>
      </c>
      <c r="I17" s="412">
        <f>'- 54 -'!G17</f>
        <v>13.351661643482291</v>
      </c>
    </row>
    <row r="18" spans="1:9" ht="14.1" customHeight="1">
      <c r="A18" s="171" t="s">
        <v>244</v>
      </c>
      <c r="B18" s="171">
        <v>17394</v>
      </c>
      <c r="C18" s="171">
        <f>'- 4 -'!E18</f>
        <v>18093</v>
      </c>
      <c r="D18" s="271">
        <v>11.682919115957885</v>
      </c>
      <c r="E18" s="271">
        <f>'- 9 -'!C18</f>
        <v>11.828469692628822</v>
      </c>
      <c r="F18" s="171">
        <v>63192</v>
      </c>
      <c r="G18" s="171">
        <f>'- 56 -'!F18</f>
        <v>65258</v>
      </c>
      <c r="H18" s="271">
        <v>17.590729446482761</v>
      </c>
      <c r="I18" s="271">
        <f>'- 54 -'!G18</f>
        <v>17.591001652337656</v>
      </c>
    </row>
    <row r="19" spans="1:9" ht="14.1" customHeight="1">
      <c r="A19" s="411" t="s">
        <v>245</v>
      </c>
      <c r="B19" s="411">
        <v>8403</v>
      </c>
      <c r="C19" s="411">
        <f>'- 4 -'!E19</f>
        <v>8957</v>
      </c>
      <c r="D19" s="412">
        <v>14.903559498581231</v>
      </c>
      <c r="E19" s="412">
        <f>'- 9 -'!C19</f>
        <v>15.118121736590352</v>
      </c>
      <c r="F19" s="411">
        <v>165146</v>
      </c>
      <c r="G19" s="411">
        <f>'- 56 -'!F19</f>
        <v>171006</v>
      </c>
      <c r="H19" s="412">
        <v>21.018336615118869</v>
      </c>
      <c r="I19" s="412">
        <f>'- 54 -'!G19</f>
        <v>21.020000803050859</v>
      </c>
    </row>
    <row r="20" spans="1:9" ht="14.1" customHeight="1">
      <c r="A20" s="171" t="s">
        <v>246</v>
      </c>
      <c r="B20" s="171">
        <v>8369</v>
      </c>
      <c r="C20" s="171">
        <f>'- 4 -'!E20</f>
        <v>8594</v>
      </c>
      <c r="D20" s="271">
        <v>15.988902275917717</v>
      </c>
      <c r="E20" s="271">
        <f>'- 9 -'!C20</f>
        <v>15.667203435319376</v>
      </c>
      <c r="F20" s="171">
        <v>170478</v>
      </c>
      <c r="G20" s="171">
        <f>'- 56 -'!F20</f>
        <v>172748</v>
      </c>
      <c r="H20" s="271">
        <v>17.793093046621514</v>
      </c>
      <c r="I20" s="271">
        <f>'- 54 -'!G20</f>
        <v>17.78746939748978</v>
      </c>
    </row>
    <row r="21" spans="1:9" ht="14.1" customHeight="1">
      <c r="A21" s="411" t="s">
        <v>247</v>
      </c>
      <c r="B21" s="411">
        <v>10621</v>
      </c>
      <c r="C21" s="411">
        <f>'- 4 -'!E21</f>
        <v>10974</v>
      </c>
      <c r="D21" s="412">
        <v>13.30412323586385</v>
      </c>
      <c r="E21" s="412">
        <f>'- 9 -'!C21</f>
        <v>13.026345933562427</v>
      </c>
      <c r="F21" s="411">
        <v>256934</v>
      </c>
      <c r="G21" s="411">
        <f>'- 56 -'!F21</f>
        <v>267246</v>
      </c>
      <c r="H21" s="412">
        <v>15.398248377425716</v>
      </c>
      <c r="I21" s="412">
        <f>'- 54 -'!G21</f>
        <v>15.40026891699341</v>
      </c>
    </row>
    <row r="22" spans="1:9" ht="14.1" customHeight="1">
      <c r="A22" s="171" t="s">
        <v>248</v>
      </c>
      <c r="B22" s="171">
        <v>10860</v>
      </c>
      <c r="C22" s="171">
        <f>'- 4 -'!E22</f>
        <v>11201</v>
      </c>
      <c r="D22" s="271">
        <v>13.47568710359408</v>
      </c>
      <c r="E22" s="271">
        <f>'- 9 -'!C22</f>
        <v>13.993741618238714</v>
      </c>
      <c r="F22" s="171">
        <v>108492</v>
      </c>
      <c r="G22" s="171">
        <f>'- 56 -'!F22</f>
        <v>109227</v>
      </c>
      <c r="H22" s="271">
        <v>22.595121458174226</v>
      </c>
      <c r="I22" s="271">
        <f>'- 54 -'!G22</f>
        <v>22.601921231333268</v>
      </c>
    </row>
    <row r="23" spans="1:9" ht="14.1" customHeight="1">
      <c r="A23" s="411" t="s">
        <v>249</v>
      </c>
      <c r="B23" s="411">
        <v>11531</v>
      </c>
      <c r="C23" s="411">
        <f>'- 4 -'!E23</f>
        <v>12275</v>
      </c>
      <c r="D23" s="412">
        <v>12.192723697148473</v>
      </c>
      <c r="E23" s="412">
        <f>'- 9 -'!C23</f>
        <v>11.712463199214916</v>
      </c>
      <c r="F23" s="411">
        <v>181703</v>
      </c>
      <c r="G23" s="411">
        <f>'- 56 -'!F23</f>
        <v>186080</v>
      </c>
      <c r="H23" s="412">
        <v>19.082901007093842</v>
      </c>
      <c r="I23" s="412">
        <f>'- 54 -'!G23</f>
        <v>19.07583416637717</v>
      </c>
    </row>
    <row r="24" spans="1:9" ht="14.1" customHeight="1">
      <c r="A24" s="171" t="s">
        <v>250</v>
      </c>
      <c r="B24" s="171">
        <v>10676</v>
      </c>
      <c r="C24" s="171">
        <f>'- 4 -'!E24</f>
        <v>11133</v>
      </c>
      <c r="D24" s="271">
        <v>13.443700396825395</v>
      </c>
      <c r="E24" s="271">
        <f>'- 9 -'!C24</f>
        <v>13.310082045293919</v>
      </c>
      <c r="F24" s="171">
        <v>314465</v>
      </c>
      <c r="G24" s="171">
        <f>'- 56 -'!F24</f>
        <v>323683</v>
      </c>
      <c r="H24" s="271">
        <v>14.290363007402711</v>
      </c>
      <c r="I24" s="271">
        <f>'- 54 -'!G24</f>
        <v>14.290681012303951</v>
      </c>
    </row>
    <row r="25" spans="1:9" ht="14.1" customHeight="1">
      <c r="A25" s="411" t="s">
        <v>251</v>
      </c>
      <c r="B25" s="411">
        <v>10220</v>
      </c>
      <c r="C25" s="411">
        <f>'- 4 -'!E25</f>
        <v>10468</v>
      </c>
      <c r="D25" s="412">
        <v>14.200483517851771</v>
      </c>
      <c r="E25" s="412">
        <f>'- 9 -'!C25</f>
        <v>14.354017145654733</v>
      </c>
      <c r="F25" s="411">
        <v>317923</v>
      </c>
      <c r="G25" s="411">
        <f>'- 56 -'!F25</f>
        <v>322805</v>
      </c>
      <c r="H25" s="412">
        <v>14.2</v>
      </c>
      <c r="I25" s="412">
        <f>'- 54 -'!G25</f>
        <v>14.207083257968403</v>
      </c>
    </row>
    <row r="26" spans="1:9" ht="14.1" customHeight="1">
      <c r="A26" s="171" t="s">
        <v>252</v>
      </c>
      <c r="B26" s="171">
        <v>11044</v>
      </c>
      <c r="C26" s="171">
        <f>'- 4 -'!E26</f>
        <v>11535</v>
      </c>
      <c r="D26" s="271">
        <v>13.453462461432979</v>
      </c>
      <c r="E26" s="271">
        <f>'- 9 -'!C26</f>
        <v>13.262650396791534</v>
      </c>
      <c r="F26" s="171">
        <v>196802</v>
      </c>
      <c r="G26" s="171">
        <f>'- 56 -'!F26</f>
        <v>200580</v>
      </c>
      <c r="H26" s="271">
        <v>21.310106308847356</v>
      </c>
      <c r="I26" s="271">
        <f>'- 54 -'!G26</f>
        <v>21.310099571369033</v>
      </c>
    </row>
    <row r="27" spans="1:9" ht="14.1" customHeight="1">
      <c r="A27" s="411" t="s">
        <v>253</v>
      </c>
      <c r="B27" s="411">
        <v>12650</v>
      </c>
      <c r="C27" s="411">
        <f>'- 4 -'!E27</f>
        <v>14245</v>
      </c>
      <c r="D27" s="412">
        <v>12.015069877083684</v>
      </c>
      <c r="E27" s="412">
        <f>'- 9 -'!C27</f>
        <v>11.544624788336845</v>
      </c>
      <c r="F27" s="411">
        <v>129523</v>
      </c>
      <c r="G27" s="411">
        <f>'- 56 -'!F27</f>
        <v>144246</v>
      </c>
      <c r="H27" s="412">
        <v>21.754293361252532</v>
      </c>
      <c r="I27" s="412">
        <f>'- 54 -'!G27</f>
        <v>21.734583333079545</v>
      </c>
    </row>
    <row r="28" spans="1:9" ht="14.1" customHeight="1">
      <c r="A28" s="171" t="s">
        <v>254</v>
      </c>
      <c r="B28" s="171">
        <v>11163</v>
      </c>
      <c r="C28" s="171">
        <f>'- 4 -'!E28</f>
        <v>12265</v>
      </c>
      <c r="D28" s="271">
        <v>12.70014790045656</v>
      </c>
      <c r="E28" s="271">
        <f>'- 9 -'!C28</f>
        <v>12.28080931943593</v>
      </c>
      <c r="F28" s="171">
        <v>266480</v>
      </c>
      <c r="G28" s="171">
        <f>'- 56 -'!F28</f>
        <v>276207</v>
      </c>
      <c r="H28" s="271">
        <v>15.795598569521049</v>
      </c>
      <c r="I28" s="271">
        <f>'- 54 -'!G28</f>
        <v>15.799986367024479</v>
      </c>
    </row>
    <row r="29" spans="1:9" ht="14.1" customHeight="1">
      <c r="A29" s="411" t="s">
        <v>255</v>
      </c>
      <c r="B29" s="411">
        <v>10595</v>
      </c>
      <c r="C29" s="411">
        <f>'- 4 -'!E29</f>
        <v>11007</v>
      </c>
      <c r="D29" s="412">
        <v>13.890522557982539</v>
      </c>
      <c r="E29" s="412">
        <f>'- 9 -'!C29</f>
        <v>13.964128130193112</v>
      </c>
      <c r="F29" s="411">
        <v>404892</v>
      </c>
      <c r="G29" s="411">
        <f>'- 56 -'!F29</f>
        <v>409243</v>
      </c>
      <c r="H29" s="412">
        <v>14.2</v>
      </c>
      <c r="I29" s="412">
        <f>'- 54 -'!G29</f>
        <v>14.171129536129861</v>
      </c>
    </row>
    <row r="30" spans="1:9" ht="14.1" customHeight="1">
      <c r="A30" s="171" t="s">
        <v>256</v>
      </c>
      <c r="B30" s="171">
        <v>10674</v>
      </c>
      <c r="C30" s="171">
        <f>'- 4 -'!E30</f>
        <v>11722</v>
      </c>
      <c r="D30" s="271">
        <v>13.90324963072378</v>
      </c>
      <c r="E30" s="271">
        <f>'- 9 -'!C30</f>
        <v>13.071428571428571</v>
      </c>
      <c r="F30" s="171">
        <v>224001</v>
      </c>
      <c r="G30" s="171">
        <f>'- 56 -'!F30</f>
        <v>231885</v>
      </c>
      <c r="H30" s="271">
        <v>18.892033760133017</v>
      </c>
      <c r="I30" s="271">
        <f>'- 54 -'!G30</f>
        <v>18.890004331886431</v>
      </c>
    </row>
    <row r="31" spans="1:9" ht="14.1" customHeight="1">
      <c r="A31" s="411" t="s">
        <v>257</v>
      </c>
      <c r="B31" s="411">
        <v>9787</v>
      </c>
      <c r="C31" s="411">
        <f>'- 4 -'!E31</f>
        <v>10007</v>
      </c>
      <c r="D31" s="412">
        <v>13.154121863799283</v>
      </c>
      <c r="E31" s="412">
        <f>'- 9 -'!C31</f>
        <v>13.593285167870803</v>
      </c>
      <c r="F31" s="411">
        <v>248907</v>
      </c>
      <c r="G31" s="411">
        <f>'- 56 -'!F31</f>
        <v>257290</v>
      </c>
      <c r="H31" s="412">
        <v>16.070849650358223</v>
      </c>
      <c r="I31" s="412">
        <f>'- 54 -'!G31</f>
        <v>16.849638303999118</v>
      </c>
    </row>
    <row r="32" spans="1:9" ht="14.1" customHeight="1">
      <c r="A32" s="171" t="s">
        <v>258</v>
      </c>
      <c r="B32" s="171">
        <v>11107</v>
      </c>
      <c r="C32" s="171">
        <f>'- 4 -'!E32</f>
        <v>11344</v>
      </c>
      <c r="D32" s="271">
        <v>12.893856159626191</v>
      </c>
      <c r="E32" s="271">
        <f>'- 9 -'!C32</f>
        <v>12.805786663355269</v>
      </c>
      <c r="F32" s="171">
        <v>295171</v>
      </c>
      <c r="G32" s="171">
        <f>'- 56 -'!F32</f>
        <v>308251</v>
      </c>
      <c r="H32" s="271">
        <v>14.795973074472984</v>
      </c>
      <c r="I32" s="271">
        <f>'- 54 -'!G32</f>
        <v>14.800594313118088</v>
      </c>
    </row>
    <row r="33" spans="1:9" ht="14.1" customHeight="1">
      <c r="A33" s="411" t="s">
        <v>259</v>
      </c>
      <c r="B33" s="411">
        <v>11382</v>
      </c>
      <c r="C33" s="411">
        <f>'- 4 -'!E33</f>
        <v>12005</v>
      </c>
      <c r="D33" s="412">
        <v>13.392047992852129</v>
      </c>
      <c r="E33" s="412">
        <f>'- 9 -'!C33</f>
        <v>13.13414555534068</v>
      </c>
      <c r="F33" s="411">
        <v>262393</v>
      </c>
      <c r="G33" s="411">
        <f>'- 56 -'!F33</f>
        <v>275524</v>
      </c>
      <c r="H33" s="412">
        <v>17.126165955699314</v>
      </c>
      <c r="I33" s="412">
        <f>'- 54 -'!G33</f>
        <v>17.128675060382932</v>
      </c>
    </row>
    <row r="34" spans="1:9" ht="14.1" customHeight="1">
      <c r="A34" s="171" t="s">
        <v>260</v>
      </c>
      <c r="B34" s="171">
        <v>10863</v>
      </c>
      <c r="C34" s="171">
        <f>'- 4 -'!E34</f>
        <v>11338</v>
      </c>
      <c r="D34" s="271">
        <v>13.810526315789472</v>
      </c>
      <c r="E34" s="271">
        <f>'- 9 -'!C34</f>
        <v>13.241878695276689</v>
      </c>
      <c r="F34" s="171">
        <v>291853</v>
      </c>
      <c r="G34" s="171">
        <f>'- 56 -'!F34</f>
        <v>294942</v>
      </c>
      <c r="H34" s="271">
        <v>18.471191657285292</v>
      </c>
      <c r="I34" s="271">
        <f>'- 54 -'!G34</f>
        <v>18.46967131856848</v>
      </c>
    </row>
    <row r="35" spans="1:9" ht="14.1" customHeight="1">
      <c r="A35" s="411" t="s">
        <v>261</v>
      </c>
      <c r="B35" s="411">
        <v>9763</v>
      </c>
      <c r="C35" s="411">
        <f>'- 4 -'!E35</f>
        <v>10060</v>
      </c>
      <c r="D35" s="412">
        <v>13.947630329666456</v>
      </c>
      <c r="E35" s="412">
        <f>'- 9 -'!C35</f>
        <v>14.276076897304248</v>
      </c>
      <c r="F35" s="411">
        <v>270262</v>
      </c>
      <c r="G35" s="411">
        <f>'- 56 -'!F35</f>
        <v>274647</v>
      </c>
      <c r="H35" s="412">
        <v>15.8</v>
      </c>
      <c r="I35" s="412">
        <f>'- 54 -'!G35</f>
        <v>15.81319500556242</v>
      </c>
    </row>
    <row r="36" spans="1:9" ht="14.1" customHeight="1">
      <c r="A36" s="171" t="s">
        <v>262</v>
      </c>
      <c r="B36" s="171">
        <v>11164</v>
      </c>
      <c r="C36" s="171">
        <f>'- 4 -'!E36</f>
        <v>12094</v>
      </c>
      <c r="D36" s="271">
        <v>13.172157557544088</v>
      </c>
      <c r="E36" s="271">
        <f>'- 9 -'!C36</f>
        <v>12.46918192005977</v>
      </c>
      <c r="F36" s="171">
        <v>291216</v>
      </c>
      <c r="G36" s="171">
        <f>'- 56 -'!F36</f>
        <v>305689</v>
      </c>
      <c r="H36" s="271">
        <v>16.698570794056973</v>
      </c>
      <c r="I36" s="271">
        <f>'- 54 -'!G36</f>
        <v>16.790204899083534</v>
      </c>
    </row>
    <row r="37" spans="1:9" ht="14.1" customHeight="1">
      <c r="A37" s="411" t="s">
        <v>263</v>
      </c>
      <c r="B37" s="411">
        <v>10056</v>
      </c>
      <c r="C37" s="411">
        <f>'- 4 -'!E37</f>
        <v>10105</v>
      </c>
      <c r="D37" s="412">
        <v>14.595293927387402</v>
      </c>
      <c r="E37" s="412">
        <f>'- 9 -'!C37</f>
        <v>14.480626870373287</v>
      </c>
      <c r="F37" s="411">
        <v>201088</v>
      </c>
      <c r="G37" s="411">
        <f>'- 56 -'!F37</f>
        <v>208049</v>
      </c>
      <c r="H37" s="412">
        <v>16.041719039009191</v>
      </c>
      <c r="I37" s="412">
        <f>'- 54 -'!G37</f>
        <v>15.991872465850269</v>
      </c>
    </row>
    <row r="38" spans="1:9" ht="14.1" customHeight="1">
      <c r="A38" s="171" t="s">
        <v>264</v>
      </c>
      <c r="B38" s="171">
        <v>9751</v>
      </c>
      <c r="C38" s="171">
        <f>'- 4 -'!E38</f>
        <v>9960</v>
      </c>
      <c r="D38" s="271">
        <v>14.839624931723009</v>
      </c>
      <c r="E38" s="271">
        <f>'- 9 -'!C38</f>
        <v>14.529953653373006</v>
      </c>
      <c r="F38" s="171">
        <v>236878</v>
      </c>
      <c r="G38" s="171">
        <f>'- 56 -'!F38</f>
        <v>229098</v>
      </c>
      <c r="H38" s="271">
        <v>17.3</v>
      </c>
      <c r="I38" s="271">
        <f>'- 54 -'!G38</f>
        <v>17.385442281349981</v>
      </c>
    </row>
    <row r="39" spans="1:9" ht="14.1" customHeight="1">
      <c r="A39" s="411" t="s">
        <v>265</v>
      </c>
      <c r="B39" s="411">
        <v>11377</v>
      </c>
      <c r="C39" s="411">
        <f>'- 4 -'!E39</f>
        <v>11918</v>
      </c>
      <c r="D39" s="412">
        <v>13.202902095051764</v>
      </c>
      <c r="E39" s="412">
        <f>'- 9 -'!C39</f>
        <v>12.999836387434554</v>
      </c>
      <c r="F39" s="411">
        <v>332880</v>
      </c>
      <c r="G39" s="411">
        <f>'- 56 -'!F39</f>
        <v>356056</v>
      </c>
      <c r="H39" s="412">
        <v>15.197595019348284</v>
      </c>
      <c r="I39" s="412">
        <f>'- 54 -'!G39</f>
        <v>15.197590880923656</v>
      </c>
    </row>
    <row r="40" spans="1:9" ht="14.1" customHeight="1">
      <c r="A40" s="171" t="s">
        <v>266</v>
      </c>
      <c r="B40" s="171">
        <v>10558</v>
      </c>
      <c r="C40" s="171">
        <f>'- 4 -'!E40</f>
        <v>10964</v>
      </c>
      <c r="D40" s="271">
        <v>14.091662084135276</v>
      </c>
      <c r="E40" s="271">
        <f>'- 9 -'!C40</f>
        <v>14.001263682781467</v>
      </c>
      <c r="F40" s="171">
        <v>391733</v>
      </c>
      <c r="G40" s="171">
        <f>'- 56 -'!F40</f>
        <v>393537</v>
      </c>
      <c r="H40" s="271">
        <v>14.1</v>
      </c>
      <c r="I40" s="271">
        <f>'- 54 -'!G40</f>
        <v>14.077534892091405</v>
      </c>
    </row>
    <row r="41" spans="1:9" ht="14.1" customHeight="1">
      <c r="A41" s="411" t="s">
        <v>267</v>
      </c>
      <c r="B41" s="411">
        <v>11503</v>
      </c>
      <c r="C41" s="411">
        <f>'- 4 -'!E41</f>
        <v>11870</v>
      </c>
      <c r="D41" s="412">
        <v>12.989027726849633</v>
      </c>
      <c r="E41" s="412">
        <f>'- 9 -'!C41</f>
        <v>12.727756164460242</v>
      </c>
      <c r="F41" s="411">
        <v>317210</v>
      </c>
      <c r="G41" s="411">
        <f>'- 56 -'!F41</f>
        <v>326546</v>
      </c>
      <c r="H41" s="412">
        <v>16.485048456405799</v>
      </c>
      <c r="I41" s="412">
        <f>'- 54 -'!G41</f>
        <v>16.489849022298277</v>
      </c>
    </row>
    <row r="42" spans="1:9" ht="14.1" customHeight="1">
      <c r="A42" s="171" t="s">
        <v>268</v>
      </c>
      <c r="B42" s="171">
        <v>11929</v>
      </c>
      <c r="C42" s="171">
        <f>'- 4 -'!E42</f>
        <v>13060</v>
      </c>
      <c r="D42" s="271">
        <v>13.08744091829845</v>
      </c>
      <c r="E42" s="271">
        <f>'- 9 -'!C42</f>
        <v>12.170948698761121</v>
      </c>
      <c r="F42" s="171">
        <v>185924</v>
      </c>
      <c r="G42" s="171">
        <f>'- 56 -'!F42</f>
        <v>191941</v>
      </c>
      <c r="H42" s="271">
        <v>21.20858638098942</v>
      </c>
      <c r="I42" s="271">
        <f>'- 54 -'!G42</f>
        <v>21.210105703935742</v>
      </c>
    </row>
    <row r="43" spans="1:9" ht="14.1" customHeight="1">
      <c r="A43" s="411" t="s">
        <v>269</v>
      </c>
      <c r="B43" s="411">
        <v>11050</v>
      </c>
      <c r="C43" s="411">
        <f>'- 4 -'!E43</f>
        <v>11364</v>
      </c>
      <c r="D43" s="412">
        <v>13.318738697088778</v>
      </c>
      <c r="E43" s="412">
        <f>'- 9 -'!C43</f>
        <v>13.066487575554065</v>
      </c>
      <c r="F43" s="411">
        <v>287114</v>
      </c>
      <c r="G43" s="411">
        <f>'- 56 -'!F43</f>
        <v>294611</v>
      </c>
      <c r="H43" s="412">
        <v>16.844724328717028</v>
      </c>
      <c r="I43" s="412">
        <f>'- 54 -'!G43</f>
        <v>17.561963451040366</v>
      </c>
    </row>
    <row r="44" spans="1:9" ht="14.1" customHeight="1">
      <c r="A44" s="171" t="s">
        <v>270</v>
      </c>
      <c r="B44" s="171">
        <v>12308</v>
      </c>
      <c r="C44" s="171">
        <f>'- 4 -'!E44</f>
        <v>13513</v>
      </c>
      <c r="D44" s="271">
        <v>11.556046034999211</v>
      </c>
      <c r="E44" s="271">
        <f>'- 9 -'!C44</f>
        <v>11.516175760502174</v>
      </c>
      <c r="F44" s="171">
        <v>166642</v>
      </c>
      <c r="G44" s="171">
        <f>'- 56 -'!F44</f>
        <v>171103</v>
      </c>
      <c r="H44" s="271">
        <v>19.731718836634439</v>
      </c>
      <c r="I44" s="271">
        <f>'- 54 -'!G44</f>
        <v>19.725150319648225</v>
      </c>
    </row>
    <row r="45" spans="1:9" ht="14.1" customHeight="1">
      <c r="A45" s="411" t="s">
        <v>271</v>
      </c>
      <c r="B45" s="411">
        <v>8913</v>
      </c>
      <c r="C45" s="411">
        <f>'- 4 -'!E45</f>
        <v>9121</v>
      </c>
      <c r="D45" s="412">
        <v>15.317864553857763</v>
      </c>
      <c r="E45" s="412">
        <f>'- 9 -'!C45</f>
        <v>14.917176809506662</v>
      </c>
      <c r="F45" s="411">
        <v>208955</v>
      </c>
      <c r="G45" s="411">
        <f>'- 56 -'!F45</f>
        <v>218959</v>
      </c>
      <c r="H45" s="412">
        <v>17.479830700957937</v>
      </c>
      <c r="I45" s="412">
        <f>'- 54 -'!G45</f>
        <v>17.9818897121751</v>
      </c>
    </row>
    <row r="46" spans="1:9" ht="14.1" customHeight="1">
      <c r="A46" s="171" t="s">
        <v>272</v>
      </c>
      <c r="B46" s="171">
        <v>10773</v>
      </c>
      <c r="C46" s="171">
        <f>'- 4 -'!E46</f>
        <v>10827</v>
      </c>
      <c r="D46" s="271">
        <v>13.606763285024154</v>
      </c>
      <c r="E46" s="271">
        <f>'- 9 -'!C46</f>
        <v>13.920609351988217</v>
      </c>
      <c r="F46" s="171">
        <v>286382</v>
      </c>
      <c r="G46" s="171">
        <f>'- 56 -'!F46</f>
        <v>279949</v>
      </c>
      <c r="H46" s="271">
        <v>16.5</v>
      </c>
      <c r="I46" s="271">
        <f>'- 54 -'!G46</f>
        <v>16.513226807077594</v>
      </c>
    </row>
    <row r="47" spans="1:9" ht="5.0999999999999996" customHeight="1">
      <c r="A47"/>
      <c r="B47"/>
      <c r="C47"/>
      <c r="D47" s="460"/>
      <c r="E47" s="460"/>
      <c r="F47"/>
      <c r="G47"/>
      <c r="H47" s="460"/>
      <c r="I47" s="460"/>
    </row>
    <row r="48" spans="1:9" ht="14.1" customHeight="1">
      <c r="A48" s="414" t="s">
        <v>273</v>
      </c>
      <c r="B48" s="415">
        <v>10672</v>
      </c>
      <c r="C48" s="415">
        <f>'- 4 -'!E48</f>
        <v>11030</v>
      </c>
      <c r="D48" s="461">
        <v>13.705882457768663</v>
      </c>
      <c r="E48" s="461">
        <f>'- 9 -'!C48</f>
        <v>13.665833496304678</v>
      </c>
      <c r="F48" s="415">
        <v>275518.5400620249</v>
      </c>
      <c r="G48" s="415">
        <f>'- 56 -'!F48</f>
        <v>278077.70765977941</v>
      </c>
      <c r="H48" s="461">
        <v>15.9</v>
      </c>
      <c r="I48" s="461">
        <f>'- 54 -'!G48</f>
        <v>15.966978298275526</v>
      </c>
    </row>
    <row r="49" spans="1:9" ht="5.0999999999999996" customHeight="1">
      <c r="A49" s="148"/>
      <c r="B49" s="172"/>
      <c r="C49" s="172"/>
      <c r="D49" s="273"/>
      <c r="E49" s="273"/>
      <c r="F49" s="172"/>
      <c r="G49" s="172"/>
      <c r="H49" s="273"/>
      <c r="I49" s="273"/>
    </row>
    <row r="50" spans="1:9" ht="14.1" customHeight="1">
      <c r="A50" s="171" t="s">
        <v>274</v>
      </c>
      <c r="B50" s="171">
        <v>16322</v>
      </c>
      <c r="C50" s="171">
        <f>'- 4 -'!E50</f>
        <v>17798</v>
      </c>
      <c r="D50" s="271">
        <v>8.4792626728110605</v>
      </c>
      <c r="E50" s="271">
        <f>'- 9 -'!C50</f>
        <v>8.5700757575757578</v>
      </c>
      <c r="F50" s="171"/>
      <c r="G50" s="171"/>
      <c r="H50" s="271"/>
      <c r="I50" s="271">
        <f>'- 54 -'!G50</f>
        <v>0</v>
      </c>
    </row>
    <row r="51" spans="1:9" ht="14.1" customHeight="1">
      <c r="A51" s="411" t="s">
        <v>275</v>
      </c>
      <c r="B51" s="411">
        <v>13281</v>
      </c>
      <c r="C51" s="411">
        <f>'- 4 -'!E51</f>
        <v>13472</v>
      </c>
      <c r="D51" s="412">
        <v>17.25</v>
      </c>
      <c r="E51" s="412">
        <f>'- 9 -'!C51</f>
        <v>16.885676741130094</v>
      </c>
      <c r="F51" s="411"/>
      <c r="G51" s="411"/>
      <c r="H51" s="412"/>
      <c r="I51" s="412">
        <f>'- 54 -'!G51</f>
        <v>0</v>
      </c>
    </row>
    <row r="52" spans="1:9" ht="50.1" customHeight="1">
      <c r="A52" s="30"/>
      <c r="B52" s="30"/>
      <c r="C52" s="30"/>
      <c r="D52" s="30"/>
      <c r="E52" s="30"/>
      <c r="F52" s="30"/>
      <c r="G52" s="30"/>
      <c r="H52" s="30"/>
      <c r="I52" s="30"/>
    </row>
    <row r="53" spans="1:9" ht="15" customHeight="1">
      <c r="A53" s="45" t="s">
        <v>609</v>
      </c>
      <c r="B53" s="45"/>
      <c r="C53" s="45"/>
    </row>
    <row r="54" spans="1:9" ht="12" customHeight="1">
      <c r="A54" s="45" t="s">
        <v>610</v>
      </c>
      <c r="B54" s="45"/>
      <c r="C54" s="45"/>
    </row>
    <row r="55" spans="1:9" ht="12" customHeight="1">
      <c r="A55" s="151" t="s">
        <v>713</v>
      </c>
      <c r="B55" s="45"/>
      <c r="C55" s="45"/>
    </row>
    <row r="56" spans="1:9" ht="12" customHeight="1">
      <c r="A56" s="151" t="s">
        <v>728</v>
      </c>
      <c r="B56" s="45"/>
      <c r="C56" s="45"/>
    </row>
    <row r="57" spans="1:9" ht="12" customHeight="1">
      <c r="A57" s="45"/>
      <c r="B57" s="45"/>
      <c r="C57" s="45"/>
    </row>
    <row r="58" spans="1:9" ht="12" customHeight="1">
      <c r="B58" s="45"/>
      <c r="C58" s="45"/>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61.xml><?xml version="1.0" encoding="utf-8"?>
<worksheet xmlns="http://schemas.openxmlformats.org/spreadsheetml/2006/main" xmlns:r="http://schemas.openxmlformats.org/officeDocument/2006/relationships">
  <sheetPr transitionEvaluation="1" codeName="Sheet49"/>
  <dimension ref="A1:T91"/>
  <sheetViews>
    <sheetView showGridLines="0" defaultGridColor="0" colorId="22" workbookViewId="0">
      <pane xSplit="1" ySplit="10" topLeftCell="E11" activePane="bottomRight" state="frozen"/>
      <selection pane="topRight"/>
      <selection pane="bottomLeft"/>
      <selection pane="bottomRight" activeCell="M25" sqref="M25"/>
    </sheetView>
  </sheetViews>
  <sheetFormatPr defaultColWidth="15.83203125" defaultRowHeight="12"/>
  <cols>
    <col min="1" max="1" width="5.83203125" style="1" customWidth="1"/>
    <col min="2" max="2" width="30.83203125" style="1" customWidth="1"/>
    <col min="3" max="13" width="15.83203125" style="1" customWidth="1"/>
    <col min="14" max="14" width="3.5" style="1" customWidth="1"/>
    <col min="15" max="15" width="15.83203125" style="1"/>
    <col min="16" max="16" width="5.83203125" style="1" customWidth="1"/>
    <col min="17" max="18" width="15.83203125" style="1"/>
    <col min="19" max="19" width="3" style="1" customWidth="1"/>
    <col min="20" max="16384" width="15.83203125" style="1"/>
  </cols>
  <sheetData>
    <row r="1" spans="1:20" ht="6" customHeight="1">
      <c r="A1" s="6"/>
      <c r="B1" s="234"/>
      <c r="C1" s="234"/>
      <c r="D1" s="234"/>
      <c r="E1" s="234"/>
      <c r="F1" s="234"/>
      <c r="G1" s="234"/>
      <c r="H1" s="234"/>
      <c r="I1" s="234"/>
      <c r="J1" s="234"/>
      <c r="K1" s="234"/>
      <c r="L1" s="234"/>
      <c r="M1" s="234"/>
    </row>
    <row r="2" spans="1:20">
      <c r="A2" s="234"/>
      <c r="B2" s="206"/>
      <c r="C2" s="206"/>
      <c r="D2" s="206"/>
      <c r="E2" s="206"/>
      <c r="F2" s="206"/>
      <c r="G2" s="206"/>
      <c r="H2" s="206"/>
      <c r="I2" s="206"/>
      <c r="J2" s="206"/>
      <c r="K2" s="206"/>
      <c r="L2" s="206"/>
      <c r="M2" s="206"/>
    </row>
    <row r="3" spans="1:20">
      <c r="A3" s="315" t="s">
        <v>111</v>
      </c>
      <c r="B3" s="1" t="s">
        <v>183</v>
      </c>
      <c r="C3" s="234"/>
      <c r="D3" s="234"/>
      <c r="E3" s="234"/>
      <c r="F3" s="234"/>
      <c r="G3" s="234"/>
      <c r="H3" s="234"/>
      <c r="I3" s="234"/>
      <c r="J3" s="234"/>
      <c r="K3" s="234"/>
      <c r="L3" s="234"/>
      <c r="M3" s="234"/>
    </row>
    <row r="4" spans="1:20">
      <c r="A4" s="1" t="s">
        <v>596</v>
      </c>
      <c r="B4" s="321" t="s">
        <v>705</v>
      </c>
      <c r="C4" s="206"/>
      <c r="D4" s="206"/>
      <c r="E4" s="206"/>
      <c r="F4" s="206"/>
      <c r="G4" s="206"/>
      <c r="H4" s="206"/>
      <c r="I4" s="206"/>
      <c r="J4" s="206"/>
      <c r="K4" s="206"/>
      <c r="L4" s="206"/>
      <c r="M4" s="206"/>
      <c r="O4" s="1" t="s">
        <v>725</v>
      </c>
    </row>
    <row r="5" spans="1:20">
      <c r="A5" s="1" t="s">
        <v>595</v>
      </c>
      <c r="B5" s="321" t="s">
        <v>719</v>
      </c>
      <c r="C5" s="316" t="s">
        <v>74</v>
      </c>
      <c r="D5" s="317"/>
      <c r="E5" s="317"/>
      <c r="F5" s="317"/>
      <c r="G5" s="317"/>
      <c r="H5" s="317"/>
      <c r="I5" s="317"/>
      <c r="J5" s="317"/>
      <c r="K5" s="317"/>
      <c r="L5" s="317"/>
      <c r="M5" s="318"/>
      <c r="O5" s="1" t="s">
        <v>686</v>
      </c>
    </row>
    <row r="6" spans="1:20">
      <c r="A6" s="1" t="s">
        <v>15</v>
      </c>
      <c r="B6" s="629">
        <v>2011</v>
      </c>
      <c r="O6" s="1" t="s">
        <v>726</v>
      </c>
      <c r="T6" s="1" t="s">
        <v>740</v>
      </c>
    </row>
    <row r="7" spans="1:20">
      <c r="A7" s="1" t="s">
        <v>16</v>
      </c>
      <c r="B7" s="319" t="str">
        <f>TEXT((B6+1),"0")</f>
        <v>2012</v>
      </c>
      <c r="C7" s="90"/>
      <c r="M7" s="3" t="s">
        <v>392</v>
      </c>
      <c r="O7" s="1" t="s">
        <v>683</v>
      </c>
      <c r="Q7" s="5" t="s">
        <v>734</v>
      </c>
      <c r="T7" s="3" t="s">
        <v>69</v>
      </c>
    </row>
    <row r="8" spans="1:20">
      <c r="C8" s="320" t="s">
        <v>93</v>
      </c>
      <c r="D8" s="7"/>
      <c r="E8" s="7"/>
      <c r="F8" s="7"/>
      <c r="G8" s="7"/>
      <c r="H8" s="7"/>
      <c r="I8" s="7"/>
      <c r="J8" s="7">
        <v>700</v>
      </c>
      <c r="K8" s="3" t="s">
        <v>69</v>
      </c>
      <c r="L8" s="3" t="s">
        <v>370</v>
      </c>
      <c r="M8" s="3" t="s">
        <v>380</v>
      </c>
      <c r="O8" s="1" t="s">
        <v>684</v>
      </c>
      <c r="Q8" s="680" t="s">
        <v>590</v>
      </c>
      <c r="R8" s="1" t="s">
        <v>592</v>
      </c>
      <c r="T8" s="3" t="s">
        <v>94</v>
      </c>
    </row>
    <row r="9" spans="1:20">
      <c r="A9" s="321" t="s">
        <v>280</v>
      </c>
      <c r="B9" s="1" t="s">
        <v>281</v>
      </c>
      <c r="C9" s="1">
        <v>100</v>
      </c>
      <c r="D9" s="1">
        <v>200</v>
      </c>
      <c r="E9" s="1">
        <v>300</v>
      </c>
      <c r="F9" s="1">
        <v>400</v>
      </c>
      <c r="G9" s="1">
        <v>500</v>
      </c>
      <c r="H9" s="1">
        <v>600</v>
      </c>
      <c r="I9" s="1">
        <v>700</v>
      </c>
      <c r="J9" s="3" t="s">
        <v>108</v>
      </c>
      <c r="K9" s="3" t="s">
        <v>109</v>
      </c>
      <c r="L9" s="3" t="s">
        <v>188</v>
      </c>
      <c r="M9" s="3" t="s">
        <v>214</v>
      </c>
      <c r="O9" s="1" t="s">
        <v>685</v>
      </c>
      <c r="Q9" s="680" t="s">
        <v>149</v>
      </c>
      <c r="R9" s="1" t="s">
        <v>149</v>
      </c>
      <c r="T9" s="520" t="s">
        <v>739</v>
      </c>
    </row>
    <row r="10" spans="1:20" ht="3.95" customHeight="1"/>
    <row r="11" spans="1:20" ht="10.9" customHeight="1">
      <c r="A11" s="319" t="s">
        <v>282</v>
      </c>
      <c r="B11" s="1" t="s">
        <v>238</v>
      </c>
      <c r="C11" s="1">
        <v>35230</v>
      </c>
      <c r="D11" s="1">
        <v>0</v>
      </c>
      <c r="E11" s="1">
        <v>0</v>
      </c>
      <c r="F11" s="1">
        <v>0</v>
      </c>
      <c r="G11" s="1">
        <v>0</v>
      </c>
      <c r="H11" s="1">
        <v>3920</v>
      </c>
      <c r="I11" s="1">
        <v>0</v>
      </c>
      <c r="J11" s="1">
        <v>0</v>
      </c>
      <c r="K11" s="65">
        <f t="shared" ref="K11:K42" si="0">SUM(C11:I11)-J11</f>
        <v>39150</v>
      </c>
      <c r="L11" s="65">
        <v>16554</v>
      </c>
      <c r="M11" s="65">
        <v>0</v>
      </c>
      <c r="O11" s="1">
        <v>281078</v>
      </c>
      <c r="Q11" s="1">
        <v>7078849</v>
      </c>
      <c r="R11" s="1">
        <v>6574518</v>
      </c>
      <c r="T11" s="1">
        <v>255789</v>
      </c>
    </row>
    <row r="12" spans="1:20" ht="10.9" customHeight="1">
      <c r="A12" s="319" t="s">
        <v>283</v>
      </c>
      <c r="B12" s="1" t="s">
        <v>239</v>
      </c>
      <c r="C12" s="1">
        <v>373830</v>
      </c>
      <c r="D12" s="1">
        <v>0</v>
      </c>
      <c r="E12" s="1">
        <v>-40004</v>
      </c>
      <c r="F12" s="1">
        <v>0</v>
      </c>
      <c r="G12" s="1">
        <v>0</v>
      </c>
      <c r="H12" s="1">
        <v>0</v>
      </c>
      <c r="I12" s="1">
        <v>750</v>
      </c>
      <c r="J12" s="1">
        <v>0</v>
      </c>
      <c r="K12" s="65">
        <f t="shared" si="0"/>
        <v>334576</v>
      </c>
      <c r="L12" s="65">
        <v>28028</v>
      </c>
      <c r="M12" s="65">
        <v>0</v>
      </c>
      <c r="O12" s="1">
        <v>222424</v>
      </c>
      <c r="Q12" s="1">
        <v>12759333</v>
      </c>
      <c r="R12" s="1">
        <v>10022378</v>
      </c>
      <c r="T12" s="1">
        <v>384534</v>
      </c>
    </row>
    <row r="13" spans="1:20" ht="10.9" customHeight="1">
      <c r="A13" s="319" t="s">
        <v>284</v>
      </c>
      <c r="B13" s="1" t="s">
        <v>240</v>
      </c>
      <c r="C13" s="1">
        <v>136890</v>
      </c>
      <c r="D13" s="1">
        <v>0</v>
      </c>
      <c r="E13" s="1">
        <v>0</v>
      </c>
      <c r="F13" s="1">
        <v>0</v>
      </c>
      <c r="G13" s="1">
        <v>0</v>
      </c>
      <c r="H13" s="1">
        <v>0</v>
      </c>
      <c r="I13" s="1">
        <v>0</v>
      </c>
      <c r="J13" s="1">
        <v>0</v>
      </c>
      <c r="K13" s="65">
        <f t="shared" si="0"/>
        <v>136890</v>
      </c>
      <c r="L13" s="65">
        <v>56485</v>
      </c>
      <c r="M13" s="65">
        <v>0</v>
      </c>
      <c r="O13" s="1">
        <v>267002</v>
      </c>
      <c r="Q13" s="1">
        <v>33916507</v>
      </c>
      <c r="R13" s="1">
        <v>32068494</v>
      </c>
      <c r="T13" s="1">
        <v>1039643</v>
      </c>
    </row>
    <row r="14" spans="1:20" ht="10.9" customHeight="1">
      <c r="A14" s="319" t="s">
        <v>285</v>
      </c>
      <c r="B14" s="1" t="s">
        <v>276</v>
      </c>
      <c r="C14" s="1">
        <v>297048</v>
      </c>
      <c r="D14" s="1">
        <v>0</v>
      </c>
      <c r="E14" s="1">
        <v>0</v>
      </c>
      <c r="F14" s="1">
        <v>0</v>
      </c>
      <c r="G14" s="1">
        <v>0</v>
      </c>
      <c r="H14" s="1">
        <v>14200</v>
      </c>
      <c r="I14" s="1">
        <v>0</v>
      </c>
      <c r="J14" s="1">
        <v>0</v>
      </c>
      <c r="K14" s="65">
        <f t="shared" si="0"/>
        <v>311248</v>
      </c>
      <c r="L14" s="65">
        <v>0</v>
      </c>
      <c r="M14" s="65">
        <v>0</v>
      </c>
      <c r="O14" s="1">
        <v>283590</v>
      </c>
      <c r="Q14" s="1">
        <v>0</v>
      </c>
      <c r="R14" s="1">
        <v>0</v>
      </c>
      <c r="T14" s="1">
        <v>896422</v>
      </c>
    </row>
    <row r="15" spans="1:20" ht="10.9" customHeight="1">
      <c r="A15" s="319" t="s">
        <v>286</v>
      </c>
      <c r="B15" s="1" t="s">
        <v>241</v>
      </c>
      <c r="C15" s="1">
        <v>28930</v>
      </c>
      <c r="D15" s="1">
        <v>0</v>
      </c>
      <c r="E15" s="1">
        <v>0</v>
      </c>
      <c r="F15" s="1">
        <v>0</v>
      </c>
      <c r="G15" s="1">
        <v>4184</v>
      </c>
      <c r="H15" s="1">
        <v>6000</v>
      </c>
      <c r="I15" s="1">
        <v>0</v>
      </c>
      <c r="J15" s="1">
        <v>0</v>
      </c>
      <c r="K15" s="65">
        <f t="shared" si="0"/>
        <v>39114</v>
      </c>
      <c r="L15" s="65">
        <v>25618</v>
      </c>
      <c r="M15" s="65">
        <v>0</v>
      </c>
      <c r="O15" s="1">
        <v>450100</v>
      </c>
      <c r="Q15" s="1">
        <v>9416384</v>
      </c>
      <c r="R15" s="1">
        <v>7821067</v>
      </c>
      <c r="T15" s="1">
        <v>289004</v>
      </c>
    </row>
    <row r="16" spans="1:20" ht="10.9" customHeight="1">
      <c r="A16" s="319" t="s">
        <v>287</v>
      </c>
      <c r="B16" s="1" t="s">
        <v>242</v>
      </c>
      <c r="C16" s="1">
        <v>0</v>
      </c>
      <c r="D16" s="1">
        <v>0</v>
      </c>
      <c r="E16" s="1">
        <v>0</v>
      </c>
      <c r="F16" s="1">
        <v>0</v>
      </c>
      <c r="G16" s="1">
        <v>0</v>
      </c>
      <c r="H16" s="1">
        <v>0</v>
      </c>
      <c r="I16" s="1">
        <v>0</v>
      </c>
      <c r="J16" s="1">
        <v>0</v>
      </c>
      <c r="K16" s="65">
        <f t="shared" si="0"/>
        <v>0</v>
      </c>
      <c r="L16" s="65">
        <v>19594</v>
      </c>
      <c r="M16" s="65">
        <v>0</v>
      </c>
      <c r="O16" s="1">
        <v>143513</v>
      </c>
      <c r="Q16" s="1">
        <v>4323850</v>
      </c>
      <c r="R16" s="1">
        <v>3571137</v>
      </c>
      <c r="T16" s="1">
        <v>196781</v>
      </c>
    </row>
    <row r="17" spans="1:20" ht="10.9" customHeight="1">
      <c r="A17" s="319" t="s">
        <v>288</v>
      </c>
      <c r="B17" s="1" t="s">
        <v>243</v>
      </c>
      <c r="C17" s="1">
        <v>189810</v>
      </c>
      <c r="D17" s="1">
        <v>0</v>
      </c>
      <c r="E17" s="1">
        <v>0</v>
      </c>
      <c r="F17" s="1">
        <v>0</v>
      </c>
      <c r="G17" s="1">
        <v>912</v>
      </c>
      <c r="H17" s="1">
        <v>0</v>
      </c>
      <c r="I17" s="1">
        <v>0</v>
      </c>
      <c r="J17" s="1">
        <v>0</v>
      </c>
      <c r="K17" s="65">
        <f t="shared" si="0"/>
        <v>190722</v>
      </c>
      <c r="L17" s="65">
        <v>22133</v>
      </c>
      <c r="M17" s="65">
        <v>0</v>
      </c>
      <c r="O17" s="1">
        <v>405673</v>
      </c>
      <c r="Q17" s="1">
        <v>7523708</v>
      </c>
      <c r="R17" s="1">
        <v>7035923</v>
      </c>
      <c r="T17" s="1">
        <v>259999</v>
      </c>
    </row>
    <row r="18" spans="1:20" ht="10.9" customHeight="1">
      <c r="A18" s="319" t="s">
        <v>289</v>
      </c>
      <c r="B18" s="1" t="s">
        <v>244</v>
      </c>
      <c r="C18" s="1">
        <v>3110388</v>
      </c>
      <c r="D18" s="1">
        <v>0</v>
      </c>
      <c r="E18" s="1">
        <v>1361704</v>
      </c>
      <c r="F18" s="1">
        <v>0</v>
      </c>
      <c r="G18" s="1">
        <v>90365</v>
      </c>
      <c r="H18" s="1">
        <v>43527</v>
      </c>
      <c r="I18" s="1">
        <v>222872</v>
      </c>
      <c r="J18" s="1">
        <v>0</v>
      </c>
      <c r="K18" s="65">
        <f t="shared" si="0"/>
        <v>4828856</v>
      </c>
      <c r="L18" s="65">
        <v>0</v>
      </c>
      <c r="M18" s="65">
        <v>0</v>
      </c>
      <c r="O18" s="1">
        <v>65258</v>
      </c>
      <c r="Q18" s="1">
        <v>3319831</v>
      </c>
      <c r="R18" s="1">
        <v>3001357</v>
      </c>
      <c r="T18" s="1">
        <v>1385842</v>
      </c>
    </row>
    <row r="19" spans="1:20" ht="10.9" customHeight="1">
      <c r="A19" s="319" t="s">
        <v>290</v>
      </c>
      <c r="B19" s="1" t="s">
        <v>245</v>
      </c>
      <c r="C19" s="1">
        <v>290407</v>
      </c>
      <c r="D19" s="1">
        <v>0</v>
      </c>
      <c r="E19" s="1">
        <v>0</v>
      </c>
      <c r="F19" s="1">
        <v>0</v>
      </c>
      <c r="G19" s="1">
        <v>26834</v>
      </c>
      <c r="H19" s="1">
        <v>18</v>
      </c>
      <c r="I19" s="1">
        <v>4161</v>
      </c>
      <c r="J19" s="1">
        <v>0</v>
      </c>
      <c r="K19" s="65">
        <f t="shared" si="0"/>
        <v>321420</v>
      </c>
      <c r="L19" s="65">
        <v>29238</v>
      </c>
      <c r="M19" s="65">
        <v>0</v>
      </c>
      <c r="O19" s="1">
        <v>171006</v>
      </c>
      <c r="Q19" s="1">
        <v>15335684</v>
      </c>
      <c r="R19" s="1">
        <v>14689511</v>
      </c>
      <c r="T19" s="1">
        <v>519188</v>
      </c>
    </row>
    <row r="20" spans="1:20" ht="10.9" customHeight="1">
      <c r="A20" s="319" t="s">
        <v>291</v>
      </c>
      <c r="B20" s="1" t="s">
        <v>246</v>
      </c>
      <c r="C20" s="1">
        <v>846868</v>
      </c>
      <c r="D20" s="1">
        <v>0</v>
      </c>
      <c r="E20" s="1">
        <v>0</v>
      </c>
      <c r="F20" s="1">
        <v>0</v>
      </c>
      <c r="G20" s="1">
        <v>0</v>
      </c>
      <c r="H20" s="1">
        <v>0</v>
      </c>
      <c r="I20" s="1">
        <v>0</v>
      </c>
      <c r="J20" s="1">
        <v>0</v>
      </c>
      <c r="K20" s="65">
        <f t="shared" si="0"/>
        <v>846868</v>
      </c>
      <c r="L20" s="65">
        <v>57372</v>
      </c>
      <c r="M20" s="65">
        <v>0</v>
      </c>
      <c r="O20" s="1">
        <v>172748</v>
      </c>
      <c r="Q20" s="1">
        <v>24241815</v>
      </c>
      <c r="R20" s="1">
        <v>22733689</v>
      </c>
      <c r="T20" s="1">
        <v>845027</v>
      </c>
    </row>
    <row r="21" spans="1:20" ht="10.9" customHeight="1">
      <c r="A21" s="319" t="s">
        <v>292</v>
      </c>
      <c r="B21" s="1" t="s">
        <v>247</v>
      </c>
      <c r="C21" s="1">
        <v>279158</v>
      </c>
      <c r="D21" s="1">
        <v>22933</v>
      </c>
      <c r="E21" s="1">
        <v>0</v>
      </c>
      <c r="F21" s="1">
        <v>5921</v>
      </c>
      <c r="G21" s="1">
        <v>8189</v>
      </c>
      <c r="H21" s="1">
        <v>10439</v>
      </c>
      <c r="I21" s="1">
        <v>0</v>
      </c>
      <c r="J21" s="1">
        <v>0</v>
      </c>
      <c r="K21" s="65">
        <f t="shared" si="0"/>
        <v>326640</v>
      </c>
      <c r="L21" s="65">
        <v>32059</v>
      </c>
      <c r="M21" s="65">
        <v>0</v>
      </c>
      <c r="O21" s="1">
        <v>267246</v>
      </c>
      <c r="Q21" s="1">
        <v>13779760</v>
      </c>
      <c r="R21" s="1">
        <v>12490209</v>
      </c>
      <c r="T21" s="1">
        <v>453941</v>
      </c>
    </row>
    <row r="22" spans="1:20" ht="10.9" customHeight="1">
      <c r="A22" s="319" t="s">
        <v>293</v>
      </c>
      <c r="B22" s="1" t="s">
        <v>248</v>
      </c>
      <c r="C22" s="1">
        <v>5670</v>
      </c>
      <c r="D22" s="1">
        <v>0</v>
      </c>
      <c r="E22" s="1">
        <v>0</v>
      </c>
      <c r="F22" s="1">
        <v>0</v>
      </c>
      <c r="G22" s="1">
        <v>0</v>
      </c>
      <c r="H22" s="1">
        <v>13101</v>
      </c>
      <c r="I22" s="1">
        <v>0</v>
      </c>
      <c r="J22" s="1">
        <v>0</v>
      </c>
      <c r="K22" s="65">
        <f t="shared" si="0"/>
        <v>18771</v>
      </c>
      <c r="L22" s="65">
        <v>30443</v>
      </c>
      <c r="M22" s="65">
        <v>0</v>
      </c>
      <c r="O22" s="1">
        <v>109227</v>
      </c>
      <c r="Q22" s="1">
        <v>4238162</v>
      </c>
      <c r="R22" s="1">
        <v>3928755</v>
      </c>
      <c r="T22" s="1">
        <v>338393</v>
      </c>
    </row>
    <row r="23" spans="1:20" ht="10.9" customHeight="1">
      <c r="A23" s="319" t="s">
        <v>294</v>
      </c>
      <c r="B23" s="1" t="s">
        <v>249</v>
      </c>
      <c r="C23" s="1">
        <v>35733</v>
      </c>
      <c r="D23" s="1">
        <v>0</v>
      </c>
      <c r="E23" s="1">
        <v>0</v>
      </c>
      <c r="F23" s="1">
        <v>0</v>
      </c>
      <c r="G23" s="1">
        <v>0</v>
      </c>
      <c r="H23" s="1">
        <v>3700</v>
      </c>
      <c r="I23" s="1">
        <v>0</v>
      </c>
      <c r="J23" s="1">
        <v>0</v>
      </c>
      <c r="K23" s="65">
        <f t="shared" si="0"/>
        <v>39433</v>
      </c>
      <c r="L23" s="65">
        <v>21287</v>
      </c>
      <c r="M23" s="65">
        <v>0</v>
      </c>
      <c r="O23" s="1">
        <v>186080</v>
      </c>
      <c r="Q23" s="1">
        <v>4476014</v>
      </c>
      <c r="R23" s="1">
        <v>4035941</v>
      </c>
      <c r="T23" s="1">
        <v>233256</v>
      </c>
    </row>
    <row r="24" spans="1:20" ht="10.9" customHeight="1">
      <c r="A24" s="319" t="s">
        <v>295</v>
      </c>
      <c r="B24" s="1" t="s">
        <v>250</v>
      </c>
      <c r="C24" s="1">
        <v>238728</v>
      </c>
      <c r="D24" s="1">
        <v>0</v>
      </c>
      <c r="E24" s="1">
        <v>0</v>
      </c>
      <c r="F24" s="1">
        <v>0</v>
      </c>
      <c r="G24" s="1">
        <v>0</v>
      </c>
      <c r="H24" s="1">
        <v>0</v>
      </c>
      <c r="I24" s="1">
        <v>0</v>
      </c>
      <c r="J24" s="1">
        <v>0</v>
      </c>
      <c r="K24" s="65">
        <f t="shared" si="0"/>
        <v>238728</v>
      </c>
      <c r="L24" s="65">
        <v>47887</v>
      </c>
      <c r="M24" s="65">
        <v>0</v>
      </c>
      <c r="O24" s="1">
        <v>323683</v>
      </c>
      <c r="Q24" s="1">
        <v>22841287</v>
      </c>
      <c r="R24" s="1">
        <v>20148384</v>
      </c>
      <c r="T24" s="1">
        <v>705303</v>
      </c>
    </row>
    <row r="25" spans="1:20" ht="10.9" customHeight="1">
      <c r="A25" s="319" t="s">
        <v>296</v>
      </c>
      <c r="B25" s="1" t="s">
        <v>251</v>
      </c>
      <c r="C25" s="1">
        <v>940758</v>
      </c>
      <c r="D25" s="1">
        <v>285467</v>
      </c>
      <c r="E25" s="1">
        <v>0</v>
      </c>
      <c r="F25" s="1">
        <v>270</v>
      </c>
      <c r="G25" s="1">
        <v>11485</v>
      </c>
      <c r="H25" s="1">
        <v>26308</v>
      </c>
      <c r="I25" s="1">
        <v>0</v>
      </c>
      <c r="J25" s="1">
        <v>0</v>
      </c>
      <c r="K25" s="65">
        <f t="shared" si="0"/>
        <v>1264288</v>
      </c>
      <c r="L25" s="65">
        <v>22187</v>
      </c>
      <c r="M25" s="65">
        <v>233187</v>
      </c>
      <c r="O25" s="1">
        <v>322805</v>
      </c>
      <c r="Q25" s="1">
        <v>78046189</v>
      </c>
      <c r="R25" s="1">
        <v>71505186</v>
      </c>
      <c r="T25" s="1">
        <v>2233172</v>
      </c>
    </row>
    <row r="26" spans="1:20" ht="10.9" customHeight="1">
      <c r="A26" s="319" t="s">
        <v>297</v>
      </c>
      <c r="B26" s="1" t="s">
        <v>252</v>
      </c>
      <c r="C26" s="1">
        <v>9866</v>
      </c>
      <c r="D26" s="1">
        <v>0</v>
      </c>
      <c r="E26" s="1">
        <v>0</v>
      </c>
      <c r="F26" s="1">
        <v>0</v>
      </c>
      <c r="G26" s="1">
        <v>0</v>
      </c>
      <c r="H26" s="1">
        <v>12750</v>
      </c>
      <c r="I26" s="1">
        <v>0</v>
      </c>
      <c r="J26" s="1">
        <v>0</v>
      </c>
      <c r="K26" s="65">
        <f t="shared" si="0"/>
        <v>22616</v>
      </c>
      <c r="L26" s="65">
        <v>22758</v>
      </c>
      <c r="M26" s="65">
        <v>0</v>
      </c>
      <c r="O26" s="1">
        <v>200580</v>
      </c>
      <c r="Q26" s="1">
        <v>13210904</v>
      </c>
      <c r="R26" s="1">
        <v>12520544</v>
      </c>
      <c r="T26" s="1">
        <v>769803</v>
      </c>
    </row>
    <row r="27" spans="1:20" ht="10.9" customHeight="1">
      <c r="A27" s="319" t="s">
        <v>298</v>
      </c>
      <c r="B27" s="1" t="s">
        <v>253</v>
      </c>
      <c r="C27" s="1">
        <v>1300</v>
      </c>
      <c r="D27" s="1">
        <v>0</v>
      </c>
      <c r="E27" s="1">
        <v>0</v>
      </c>
      <c r="F27" s="1">
        <v>0</v>
      </c>
      <c r="G27" s="1">
        <v>0</v>
      </c>
      <c r="H27" s="1">
        <v>0</v>
      </c>
      <c r="I27" s="1">
        <v>0</v>
      </c>
      <c r="J27" s="1">
        <v>0</v>
      </c>
      <c r="K27" s="65">
        <f t="shared" si="0"/>
        <v>1300</v>
      </c>
      <c r="L27" s="65">
        <v>68950</v>
      </c>
      <c r="M27" s="65">
        <v>0</v>
      </c>
      <c r="O27" s="1">
        <v>144246</v>
      </c>
      <c r="Q27" s="1">
        <v>8579649</v>
      </c>
      <c r="R27" s="1">
        <v>7493599</v>
      </c>
      <c r="T27" s="1">
        <v>462300</v>
      </c>
    </row>
    <row r="28" spans="1:20" ht="10.9" customHeight="1">
      <c r="A28" s="319" t="s">
        <v>299</v>
      </c>
      <c r="B28" s="1" t="s">
        <v>254</v>
      </c>
      <c r="C28" s="1">
        <v>89756</v>
      </c>
      <c r="D28" s="1">
        <v>8800</v>
      </c>
      <c r="E28" s="1">
        <v>0</v>
      </c>
      <c r="F28" s="1">
        <v>0</v>
      </c>
      <c r="G28" s="1">
        <v>0</v>
      </c>
      <c r="H28" s="1">
        <v>0</v>
      </c>
      <c r="I28" s="1">
        <v>0</v>
      </c>
      <c r="J28" s="1">
        <v>0</v>
      </c>
      <c r="K28" s="65">
        <f t="shared" si="0"/>
        <v>98556</v>
      </c>
      <c r="L28" s="65">
        <v>24275</v>
      </c>
      <c r="M28" s="65">
        <v>0</v>
      </c>
      <c r="O28" s="1">
        <v>276207</v>
      </c>
      <c r="Q28" s="1">
        <v>8239292</v>
      </c>
      <c r="R28" s="1">
        <v>7421939</v>
      </c>
      <c r="T28" s="1">
        <v>403079</v>
      </c>
    </row>
    <row r="29" spans="1:20" ht="10.9" customHeight="1">
      <c r="A29" s="319" t="s">
        <v>300</v>
      </c>
      <c r="B29" s="1" t="s">
        <v>255</v>
      </c>
      <c r="C29" s="1">
        <v>1780395</v>
      </c>
      <c r="D29" s="1">
        <v>0</v>
      </c>
      <c r="E29" s="1">
        <v>0</v>
      </c>
      <c r="F29" s="1">
        <v>0</v>
      </c>
      <c r="G29" s="1">
        <v>720</v>
      </c>
      <c r="H29" s="1">
        <v>0</v>
      </c>
      <c r="I29" s="1">
        <v>0</v>
      </c>
      <c r="J29" s="1">
        <v>0</v>
      </c>
      <c r="K29" s="65">
        <f t="shared" si="0"/>
        <v>1781115</v>
      </c>
      <c r="L29" s="65">
        <v>80088</v>
      </c>
      <c r="M29" s="65">
        <v>692851</v>
      </c>
      <c r="O29" s="1">
        <v>409243</v>
      </c>
      <c r="Q29" s="1">
        <v>75856886</v>
      </c>
      <c r="R29" s="1">
        <v>70997197</v>
      </c>
      <c r="T29" s="1">
        <v>1705086</v>
      </c>
    </row>
    <row r="30" spans="1:20" ht="10.9" customHeight="1">
      <c r="A30" s="319" t="s">
        <v>301</v>
      </c>
      <c r="B30" s="1" t="s">
        <v>256</v>
      </c>
      <c r="C30" s="1">
        <v>35435</v>
      </c>
      <c r="D30" s="1">
        <v>0</v>
      </c>
      <c r="E30" s="1">
        <v>0</v>
      </c>
      <c r="F30" s="1">
        <v>0</v>
      </c>
      <c r="G30" s="1">
        <v>0</v>
      </c>
      <c r="H30" s="1">
        <v>0</v>
      </c>
      <c r="I30" s="1">
        <v>850</v>
      </c>
      <c r="J30" s="1">
        <v>0</v>
      </c>
      <c r="K30" s="65">
        <f t="shared" si="0"/>
        <v>36285</v>
      </c>
      <c r="L30" s="65">
        <v>19839</v>
      </c>
      <c r="M30" s="65">
        <v>0</v>
      </c>
      <c r="O30" s="1">
        <v>231885</v>
      </c>
      <c r="Q30" s="1">
        <v>5296422</v>
      </c>
      <c r="R30" s="1">
        <v>4964207</v>
      </c>
      <c r="T30" s="1">
        <v>208975</v>
      </c>
    </row>
    <row r="31" spans="1:20" ht="10.9" customHeight="1">
      <c r="A31" s="319" t="s">
        <v>302</v>
      </c>
      <c r="B31" s="1" t="s">
        <v>257</v>
      </c>
      <c r="C31" s="1">
        <v>50050</v>
      </c>
      <c r="D31" s="1">
        <v>0</v>
      </c>
      <c r="E31" s="1">
        <v>0</v>
      </c>
      <c r="F31" s="1">
        <v>0</v>
      </c>
      <c r="G31" s="1">
        <v>0</v>
      </c>
      <c r="H31" s="1">
        <v>0</v>
      </c>
      <c r="I31" s="1">
        <v>0</v>
      </c>
      <c r="J31" s="1">
        <v>0</v>
      </c>
      <c r="K31" s="65">
        <f t="shared" si="0"/>
        <v>50050</v>
      </c>
      <c r="L31" s="65">
        <v>37275</v>
      </c>
      <c r="M31" s="65">
        <v>0</v>
      </c>
      <c r="O31" s="1">
        <v>257290</v>
      </c>
      <c r="Q31" s="1">
        <v>13749566</v>
      </c>
      <c r="R31" s="1">
        <v>13226530</v>
      </c>
      <c r="T31" s="1">
        <v>594504</v>
      </c>
    </row>
    <row r="32" spans="1:20" ht="10.9" customHeight="1">
      <c r="A32" s="319" t="s">
        <v>303</v>
      </c>
      <c r="B32" s="1" t="s">
        <v>258</v>
      </c>
      <c r="C32" s="1">
        <v>224964</v>
      </c>
      <c r="D32" s="1">
        <v>0</v>
      </c>
      <c r="E32" s="1">
        <v>934</v>
      </c>
      <c r="F32" s="1">
        <v>0</v>
      </c>
      <c r="G32" s="1">
        <v>0</v>
      </c>
      <c r="H32" s="1">
        <v>4107</v>
      </c>
      <c r="I32" s="1">
        <v>0</v>
      </c>
      <c r="J32" s="1">
        <v>0</v>
      </c>
      <c r="K32" s="65">
        <f t="shared" si="0"/>
        <v>230005</v>
      </c>
      <c r="L32" s="65">
        <v>18838</v>
      </c>
      <c r="M32" s="65">
        <v>0</v>
      </c>
      <c r="O32" s="1">
        <v>308251</v>
      </c>
      <c r="Q32" s="1">
        <v>11434252</v>
      </c>
      <c r="R32" s="1">
        <v>10281143</v>
      </c>
      <c r="T32" s="1">
        <v>384514</v>
      </c>
    </row>
    <row r="33" spans="1:20" ht="10.9" customHeight="1">
      <c r="A33" s="319" t="s">
        <v>304</v>
      </c>
      <c r="B33" s="1" t="s">
        <v>259</v>
      </c>
      <c r="C33" s="1">
        <v>103670</v>
      </c>
      <c r="D33" s="1">
        <v>0</v>
      </c>
      <c r="E33" s="1">
        <v>0</v>
      </c>
      <c r="F33" s="1">
        <v>0</v>
      </c>
      <c r="G33" s="1">
        <v>0</v>
      </c>
      <c r="H33" s="1">
        <v>10330</v>
      </c>
      <c r="I33" s="1">
        <v>0</v>
      </c>
      <c r="J33" s="1">
        <v>0</v>
      </c>
      <c r="K33" s="65">
        <f t="shared" si="0"/>
        <v>114000</v>
      </c>
      <c r="L33" s="65">
        <v>31916</v>
      </c>
      <c r="M33" s="65">
        <v>0</v>
      </c>
      <c r="O33" s="1">
        <v>275524</v>
      </c>
      <c r="Q33" s="1">
        <v>12071194</v>
      </c>
      <c r="R33" s="1">
        <v>11177209</v>
      </c>
      <c r="T33" s="1">
        <v>493477</v>
      </c>
    </row>
    <row r="34" spans="1:20" ht="10.9" customHeight="1">
      <c r="A34" s="319" t="s">
        <v>305</v>
      </c>
      <c r="B34" s="1" t="s">
        <v>260</v>
      </c>
      <c r="C34" s="1">
        <v>337400</v>
      </c>
      <c r="D34" s="1">
        <v>8505</v>
      </c>
      <c r="E34" s="1">
        <v>0</v>
      </c>
      <c r="F34" s="1">
        <v>0</v>
      </c>
      <c r="G34" s="1">
        <v>0</v>
      </c>
      <c r="H34" s="1">
        <v>14368</v>
      </c>
      <c r="I34" s="1">
        <v>0</v>
      </c>
      <c r="J34" s="1">
        <v>0</v>
      </c>
      <c r="K34" s="65">
        <f t="shared" si="0"/>
        <v>360273</v>
      </c>
      <c r="L34" s="65">
        <v>31208</v>
      </c>
      <c r="M34" s="65">
        <v>0</v>
      </c>
      <c r="O34" s="1">
        <v>294942</v>
      </c>
      <c r="Q34" s="1">
        <v>13421696</v>
      </c>
      <c r="R34" s="1">
        <v>12551820</v>
      </c>
      <c r="T34" s="1">
        <v>369041</v>
      </c>
    </row>
    <row r="35" spans="1:20" ht="10.9" customHeight="1">
      <c r="A35" s="319" t="s">
        <v>306</v>
      </c>
      <c r="B35" s="1" t="s">
        <v>261</v>
      </c>
      <c r="C35" s="1">
        <v>455163</v>
      </c>
      <c r="D35" s="1">
        <v>0</v>
      </c>
      <c r="E35" s="1">
        <v>0</v>
      </c>
      <c r="F35" s="1">
        <v>0</v>
      </c>
      <c r="G35" s="1">
        <v>1700</v>
      </c>
      <c r="H35" s="1">
        <v>32850</v>
      </c>
      <c r="I35" s="1">
        <v>0</v>
      </c>
      <c r="J35" s="1">
        <v>0</v>
      </c>
      <c r="K35" s="65">
        <f t="shared" si="0"/>
        <v>489713</v>
      </c>
      <c r="L35" s="65">
        <v>61073</v>
      </c>
      <c r="M35" s="65">
        <v>551053</v>
      </c>
      <c r="O35" s="1">
        <v>274647</v>
      </c>
      <c r="Q35" s="1">
        <v>70133432</v>
      </c>
      <c r="R35" s="1">
        <v>68642909</v>
      </c>
      <c r="T35" s="1">
        <v>2444268</v>
      </c>
    </row>
    <row r="36" spans="1:20" ht="10.9" customHeight="1">
      <c r="A36" s="319" t="s">
        <v>307</v>
      </c>
      <c r="B36" s="1" t="s">
        <v>262</v>
      </c>
      <c r="C36" s="1">
        <v>207155</v>
      </c>
      <c r="D36" s="1">
        <v>0</v>
      </c>
      <c r="E36" s="1">
        <v>0</v>
      </c>
      <c r="F36" s="1">
        <v>0</v>
      </c>
      <c r="G36" s="1">
        <v>0</v>
      </c>
      <c r="H36" s="1">
        <v>1550</v>
      </c>
      <c r="I36" s="1">
        <v>0</v>
      </c>
      <c r="J36" s="1">
        <v>0</v>
      </c>
      <c r="K36" s="65">
        <f t="shared" si="0"/>
        <v>208705</v>
      </c>
      <c r="L36" s="65">
        <v>26229</v>
      </c>
      <c r="M36" s="65">
        <v>0</v>
      </c>
      <c r="O36" s="1">
        <v>305689</v>
      </c>
      <c r="Q36" s="1">
        <v>9503580</v>
      </c>
      <c r="R36" s="1">
        <v>8739689</v>
      </c>
      <c r="T36" s="1">
        <v>321655</v>
      </c>
    </row>
    <row r="37" spans="1:20" ht="10.9" customHeight="1">
      <c r="A37" s="319" t="s">
        <v>308</v>
      </c>
      <c r="B37" s="1" t="s">
        <v>263</v>
      </c>
      <c r="C37" s="1">
        <v>510645</v>
      </c>
      <c r="D37" s="1">
        <v>68960</v>
      </c>
      <c r="E37" s="1">
        <v>0</v>
      </c>
      <c r="F37" s="1">
        <v>0</v>
      </c>
      <c r="G37" s="1">
        <v>0</v>
      </c>
      <c r="H37" s="1">
        <v>17122</v>
      </c>
      <c r="I37" s="1">
        <v>0</v>
      </c>
      <c r="J37" s="1">
        <v>0</v>
      </c>
      <c r="K37" s="65">
        <f t="shared" si="0"/>
        <v>596727</v>
      </c>
      <c r="L37" s="65">
        <v>36027</v>
      </c>
      <c r="M37" s="65">
        <v>0</v>
      </c>
      <c r="O37" s="1">
        <v>208049</v>
      </c>
      <c r="Q37" s="1">
        <v>18978314</v>
      </c>
      <c r="R37" s="1">
        <v>16399220</v>
      </c>
      <c r="T37" s="1">
        <v>549854</v>
      </c>
    </row>
    <row r="38" spans="1:20" ht="10.9" customHeight="1">
      <c r="A38" s="319" t="s">
        <v>309</v>
      </c>
      <c r="B38" s="1" t="s">
        <v>264</v>
      </c>
      <c r="C38" s="1">
        <v>897135</v>
      </c>
      <c r="D38" s="1">
        <v>151079</v>
      </c>
      <c r="E38" s="1">
        <v>22500</v>
      </c>
      <c r="F38" s="1">
        <v>5550</v>
      </c>
      <c r="G38" s="1">
        <v>-28050</v>
      </c>
      <c r="H38" s="1">
        <v>100915</v>
      </c>
      <c r="I38" s="1">
        <v>0</v>
      </c>
      <c r="J38" s="1">
        <v>0</v>
      </c>
      <c r="K38" s="65">
        <f t="shared" si="0"/>
        <v>1149129</v>
      </c>
      <c r="L38" s="65">
        <v>55884</v>
      </c>
      <c r="M38" s="65">
        <v>0</v>
      </c>
      <c r="O38" s="1">
        <v>229098</v>
      </c>
      <c r="Q38" s="1">
        <v>43574469</v>
      </c>
      <c r="R38" s="1">
        <v>38210635</v>
      </c>
      <c r="T38" s="1">
        <v>1165730</v>
      </c>
    </row>
    <row r="39" spans="1:20" ht="10.9" customHeight="1">
      <c r="A39" s="319" t="s">
        <v>310</v>
      </c>
      <c r="B39" s="1" t="s">
        <v>265</v>
      </c>
      <c r="C39" s="1">
        <v>108385</v>
      </c>
      <c r="D39" s="1">
        <v>0</v>
      </c>
      <c r="E39" s="1">
        <v>0</v>
      </c>
      <c r="F39" s="1">
        <v>0</v>
      </c>
      <c r="G39" s="1">
        <v>0</v>
      </c>
      <c r="H39" s="1">
        <v>0</v>
      </c>
      <c r="I39" s="1">
        <v>0</v>
      </c>
      <c r="J39" s="1">
        <v>0</v>
      </c>
      <c r="K39" s="65">
        <f t="shared" si="0"/>
        <v>108385</v>
      </c>
      <c r="L39" s="65">
        <v>24999</v>
      </c>
      <c r="M39" s="65">
        <v>0</v>
      </c>
      <c r="O39" s="1">
        <v>356056</v>
      </c>
      <c r="Q39" s="1">
        <v>9291903</v>
      </c>
      <c r="R39" s="1">
        <v>8533445</v>
      </c>
      <c r="T39" s="1">
        <v>312673</v>
      </c>
    </row>
    <row r="40" spans="1:20" ht="10.9" customHeight="1">
      <c r="A40" s="319" t="s">
        <v>311</v>
      </c>
      <c r="B40" s="1" t="s">
        <v>266</v>
      </c>
      <c r="C40" s="1">
        <v>438483</v>
      </c>
      <c r="D40" s="1">
        <v>0</v>
      </c>
      <c r="E40" s="1">
        <v>0</v>
      </c>
      <c r="F40" s="1">
        <v>5199</v>
      </c>
      <c r="G40" s="1">
        <v>0</v>
      </c>
      <c r="H40" s="1">
        <v>0</v>
      </c>
      <c r="I40" s="1">
        <v>0</v>
      </c>
      <c r="J40" s="1">
        <v>0</v>
      </c>
      <c r="K40" s="65">
        <f t="shared" si="0"/>
        <v>443682</v>
      </c>
      <c r="L40" s="65">
        <v>23283</v>
      </c>
      <c r="M40" s="65">
        <v>289800</v>
      </c>
      <c r="O40" s="1">
        <v>393537</v>
      </c>
      <c r="Q40" s="1">
        <v>48023416</v>
      </c>
      <c r="R40" s="1">
        <v>44542893</v>
      </c>
      <c r="T40" s="1">
        <v>1420105</v>
      </c>
    </row>
    <row r="41" spans="1:20" ht="10.9" customHeight="1">
      <c r="A41" s="319" t="s">
        <v>312</v>
      </c>
      <c r="B41" s="1" t="s">
        <v>267</v>
      </c>
      <c r="C41" s="1">
        <v>518810</v>
      </c>
      <c r="D41" s="1">
        <v>138385</v>
      </c>
      <c r="E41" s="1">
        <v>30000</v>
      </c>
      <c r="F41" s="1">
        <v>0</v>
      </c>
      <c r="G41" s="1">
        <v>-15751</v>
      </c>
      <c r="H41" s="1">
        <v>0</v>
      </c>
      <c r="I41" s="1">
        <v>0</v>
      </c>
      <c r="J41" s="1">
        <v>0</v>
      </c>
      <c r="K41" s="65">
        <f t="shared" si="0"/>
        <v>671444</v>
      </c>
      <c r="L41" s="65">
        <v>47578</v>
      </c>
      <c r="M41" s="65">
        <v>0</v>
      </c>
      <c r="O41" s="1">
        <v>326546</v>
      </c>
      <c r="Q41" s="1">
        <v>29396230</v>
      </c>
      <c r="R41" s="1">
        <v>26416533</v>
      </c>
      <c r="T41" s="1">
        <v>724970</v>
      </c>
    </row>
    <row r="42" spans="1:20" ht="10.9" customHeight="1">
      <c r="A42" s="319" t="s">
        <v>313</v>
      </c>
      <c r="B42" s="1" t="s">
        <v>268</v>
      </c>
      <c r="C42" s="1">
        <v>0</v>
      </c>
      <c r="D42" s="1">
        <v>0</v>
      </c>
      <c r="E42" s="1">
        <v>0</v>
      </c>
      <c r="F42" s="1">
        <v>0</v>
      </c>
      <c r="G42" s="1">
        <v>0</v>
      </c>
      <c r="H42" s="1">
        <v>13000</v>
      </c>
      <c r="I42" s="1">
        <v>0</v>
      </c>
      <c r="J42" s="1">
        <v>0</v>
      </c>
      <c r="K42" s="65">
        <f t="shared" si="0"/>
        <v>13000</v>
      </c>
      <c r="L42" s="65">
        <v>21464</v>
      </c>
      <c r="M42" s="65">
        <v>0</v>
      </c>
      <c r="O42" s="1">
        <v>191941</v>
      </c>
      <c r="Q42" s="1">
        <v>7162332</v>
      </c>
      <c r="R42" s="1">
        <v>6105835</v>
      </c>
      <c r="T42" s="1">
        <v>322621</v>
      </c>
    </row>
    <row r="43" spans="1:20" ht="10.9" customHeight="1">
      <c r="A43" s="319" t="s">
        <v>314</v>
      </c>
      <c r="B43" s="1" t="s">
        <v>269</v>
      </c>
      <c r="C43" s="1">
        <v>21450</v>
      </c>
      <c r="D43" s="1">
        <v>0</v>
      </c>
      <c r="E43" s="1">
        <v>0</v>
      </c>
      <c r="F43" s="1">
        <v>0</v>
      </c>
      <c r="G43" s="1">
        <v>0</v>
      </c>
      <c r="H43" s="1">
        <v>0</v>
      </c>
      <c r="I43" s="1">
        <v>0</v>
      </c>
      <c r="J43" s="1">
        <v>0</v>
      </c>
      <c r="K43" s="65">
        <f>SUM(C43:I43)-J43</f>
        <v>21450</v>
      </c>
      <c r="L43" s="65">
        <v>17379</v>
      </c>
      <c r="M43" s="65">
        <v>0</v>
      </c>
      <c r="O43" s="1">
        <v>294611</v>
      </c>
      <c r="Q43" s="1">
        <v>5127384</v>
      </c>
      <c r="R43" s="1">
        <v>5127384</v>
      </c>
      <c r="T43" s="1">
        <v>182598</v>
      </c>
    </row>
    <row r="44" spans="1:20" ht="10.9" customHeight="1">
      <c r="A44" s="319" t="s">
        <v>315</v>
      </c>
      <c r="B44" s="1" t="s">
        <v>270</v>
      </c>
      <c r="C44" s="1">
        <v>85997</v>
      </c>
      <c r="D44" s="1">
        <v>0</v>
      </c>
      <c r="E44" s="1">
        <v>0</v>
      </c>
      <c r="F44" s="1">
        <v>0</v>
      </c>
      <c r="G44" s="1">
        <v>0</v>
      </c>
      <c r="H44" s="1">
        <v>0</v>
      </c>
      <c r="I44" s="1">
        <v>513</v>
      </c>
      <c r="J44" s="1">
        <v>0</v>
      </c>
      <c r="K44" s="65">
        <f>SUM(C44:I44)-J44</f>
        <v>86510</v>
      </c>
      <c r="L44" s="65">
        <v>9769</v>
      </c>
      <c r="M44" s="65">
        <v>0</v>
      </c>
      <c r="O44" s="1">
        <v>171103</v>
      </c>
      <c r="Q44" s="1">
        <v>3213578</v>
      </c>
      <c r="R44" s="1">
        <v>2744659</v>
      </c>
      <c r="T44" s="1">
        <v>179107</v>
      </c>
    </row>
    <row r="45" spans="1:20" ht="10.9" customHeight="1">
      <c r="A45" s="319" t="s">
        <v>316</v>
      </c>
      <c r="B45" s="1" t="s">
        <v>271</v>
      </c>
      <c r="C45" s="1">
        <v>127193</v>
      </c>
      <c r="D45" s="1">
        <v>0</v>
      </c>
      <c r="E45" s="1">
        <v>7200</v>
      </c>
      <c r="F45" s="1">
        <v>0</v>
      </c>
      <c r="G45" s="1">
        <v>-7200</v>
      </c>
      <c r="H45" s="1">
        <v>0</v>
      </c>
      <c r="I45" s="1">
        <v>0</v>
      </c>
      <c r="J45" s="1">
        <v>0</v>
      </c>
      <c r="K45" s="65">
        <f>SUM(C45:I45)-J45</f>
        <v>127193</v>
      </c>
      <c r="L45" s="65">
        <v>16016</v>
      </c>
      <c r="M45" s="65">
        <v>0</v>
      </c>
      <c r="O45" s="1">
        <v>218959</v>
      </c>
      <c r="Q45" s="1">
        <v>6206364</v>
      </c>
      <c r="R45" s="1">
        <v>6206364</v>
      </c>
      <c r="T45" s="1">
        <v>203304</v>
      </c>
    </row>
    <row r="46" spans="1:20" ht="10.9" customHeight="1">
      <c r="A46" s="319" t="s">
        <v>317</v>
      </c>
      <c r="B46" s="1" t="s">
        <v>272</v>
      </c>
      <c r="C46" s="1">
        <v>1942902</v>
      </c>
      <c r="D46" s="1">
        <v>247122</v>
      </c>
      <c r="E46" s="1">
        <v>0</v>
      </c>
      <c r="F46" s="1">
        <v>0</v>
      </c>
      <c r="G46" s="1">
        <v>8362</v>
      </c>
      <c r="H46" s="1">
        <v>77672</v>
      </c>
      <c r="I46" s="1">
        <v>0</v>
      </c>
      <c r="J46" s="1">
        <v>0</v>
      </c>
      <c r="K46" s="65">
        <f>SUM(C46:I46)-J46</f>
        <v>2276058</v>
      </c>
      <c r="L46" s="65">
        <v>0</v>
      </c>
      <c r="M46" s="65">
        <v>179172</v>
      </c>
      <c r="O46" s="1">
        <v>279949</v>
      </c>
      <c r="Q46" s="1">
        <v>141842273</v>
      </c>
      <c r="R46" s="1">
        <v>132261877</v>
      </c>
      <c r="T46" s="1">
        <v>4974285</v>
      </c>
    </row>
    <row r="47" spans="1:20" ht="3.95" customHeight="1">
      <c r="A47" s="319"/>
      <c r="T47"/>
    </row>
    <row r="48" spans="1:20">
      <c r="A48" s="319"/>
      <c r="B48" s="1" t="s">
        <v>273</v>
      </c>
      <c r="C48" s="1">
        <f t="shared" ref="C48:M48" si="1">SUM(C11:C46)</f>
        <v>14755602</v>
      </c>
      <c r="D48" s="1">
        <f t="shared" si="1"/>
        <v>931251</v>
      </c>
      <c r="E48" s="1">
        <f t="shared" si="1"/>
        <v>1382334</v>
      </c>
      <c r="F48" s="1">
        <f t="shared" si="1"/>
        <v>16940</v>
      </c>
      <c r="G48" s="1">
        <f t="shared" si="1"/>
        <v>101750</v>
      </c>
      <c r="H48" s="1">
        <f t="shared" si="1"/>
        <v>405877</v>
      </c>
      <c r="I48" s="1">
        <f t="shared" si="1"/>
        <v>229146</v>
      </c>
      <c r="J48" s="1">
        <f t="shared" si="1"/>
        <v>0</v>
      </c>
      <c r="K48" s="1">
        <f t="shared" si="1"/>
        <v>17822900</v>
      </c>
      <c r="L48" s="1">
        <f t="shared" si="1"/>
        <v>1083733</v>
      </c>
      <c r="M48" s="1">
        <f t="shared" si="1"/>
        <v>1946063</v>
      </c>
      <c r="O48" s="1">
        <v>278077.70765977941</v>
      </c>
      <c r="Q48" s="1">
        <v>795610509</v>
      </c>
      <c r="R48" s="1">
        <v>734192180</v>
      </c>
      <c r="T48" s="1">
        <f>SUM(T11:T46)</f>
        <v>28228243</v>
      </c>
    </row>
    <row r="49" spans="1:20" ht="3.95" customHeight="1">
      <c r="A49" s="319"/>
      <c r="B49" s="1" t="s">
        <v>18</v>
      </c>
    </row>
    <row r="50" spans="1:20" ht="10.9" customHeight="1">
      <c r="A50" s="319" t="s">
        <v>319</v>
      </c>
      <c r="B50" s="1" t="s">
        <v>274</v>
      </c>
      <c r="C50" s="1">
        <v>0</v>
      </c>
      <c r="D50" s="1">
        <v>0</v>
      </c>
      <c r="E50" s="1">
        <v>0</v>
      </c>
      <c r="F50" s="1">
        <v>0</v>
      </c>
      <c r="G50" s="1">
        <v>0</v>
      </c>
      <c r="H50" s="1">
        <v>0</v>
      </c>
      <c r="I50" s="1">
        <v>0</v>
      </c>
      <c r="J50" s="1">
        <v>0</v>
      </c>
      <c r="K50" s="65">
        <f>SUM(C50:I50)-J50</f>
        <v>0</v>
      </c>
      <c r="L50" s="65">
        <v>10332</v>
      </c>
      <c r="M50" s="65">
        <v>0</v>
      </c>
      <c r="T50" s="521">
        <v>73406</v>
      </c>
    </row>
    <row r="51" spans="1:20">
      <c r="A51" s="319" t="s">
        <v>318</v>
      </c>
      <c r="B51" s="1" t="s">
        <v>275</v>
      </c>
      <c r="C51" s="1">
        <v>480674</v>
      </c>
      <c r="D51" s="1">
        <v>0</v>
      </c>
      <c r="E51" s="1">
        <v>182661</v>
      </c>
      <c r="F51" s="1">
        <v>0</v>
      </c>
      <c r="G51" s="1">
        <v>0</v>
      </c>
      <c r="H51" s="1">
        <v>0</v>
      </c>
      <c r="I51" s="1">
        <v>0</v>
      </c>
      <c r="J51" s="1">
        <v>0</v>
      </c>
      <c r="K51" s="65">
        <f>SUM(C51:I51)-J51</f>
        <v>663335</v>
      </c>
      <c r="L51" s="65">
        <v>0</v>
      </c>
      <c r="M51" s="65">
        <v>0</v>
      </c>
    </row>
    <row r="88" spans="2:3">
      <c r="B88" s="1" t="s">
        <v>524</v>
      </c>
    </row>
    <row r="89" spans="2:3">
      <c r="B89" s="319">
        <f>+FALLYR-1</f>
        <v>2010</v>
      </c>
      <c r="C89" s="1" t="s">
        <v>525</v>
      </c>
    </row>
    <row r="90" spans="2:3">
      <c r="B90" s="319"/>
    </row>
    <row r="91" spans="2:3">
      <c r="B91" s="319"/>
    </row>
  </sheetData>
  <phoneticPr fontId="6" type="noConversion"/>
  <pageMargins left="0.5" right="0.5" top="0.6" bottom="0.2" header="0.3" footer="0.5"/>
  <pageSetup scale="87"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sheetPr codeName="Sheet6">
    <pageSetUpPr fitToPage="1"/>
  </sheetPr>
  <dimension ref="A1:D58"/>
  <sheetViews>
    <sheetView showGridLines="0" showZeros="0" workbookViewId="0"/>
  </sheetViews>
  <sheetFormatPr defaultRowHeight="12"/>
  <cols>
    <col min="1" max="1" width="39.83203125" style="1" customWidth="1"/>
    <col min="2" max="3" width="31.83203125" style="1" customWidth="1"/>
    <col min="4" max="4" width="29.83203125" style="1" customWidth="1"/>
    <col min="5" max="16384" width="9.33203125" style="1"/>
  </cols>
  <sheetData>
    <row r="1" spans="1:4" ht="6.95" customHeight="1">
      <c r="A1" s="6"/>
      <c r="B1" s="7"/>
      <c r="C1" s="7"/>
      <c r="D1" s="7"/>
    </row>
    <row r="2" spans="1:4" ht="15.95" customHeight="1">
      <c r="A2" s="71"/>
      <c r="B2" s="8" t="s">
        <v>187</v>
      </c>
      <c r="C2" s="9"/>
      <c r="D2" s="72"/>
    </row>
    <row r="3" spans="1:4" ht="15.95" customHeight="1">
      <c r="A3" s="73"/>
      <c r="B3" s="10" t="str">
        <f>STATDATE</f>
        <v>ACTUAL SEPTEMBER 30, 2011</v>
      </c>
      <c r="C3" s="11"/>
      <c r="D3" s="74"/>
    </row>
    <row r="4" spans="1:4" ht="15.95" customHeight="1">
      <c r="B4" s="7"/>
      <c r="C4" s="7"/>
      <c r="D4" s="7"/>
    </row>
    <row r="5" spans="1:4" ht="15.95" customHeight="1">
      <c r="B5" s="7"/>
      <c r="C5" s="7"/>
      <c r="D5" s="7"/>
    </row>
    <row r="6" spans="1:4" ht="15.95" customHeight="1">
      <c r="B6" s="7"/>
      <c r="C6" s="7"/>
      <c r="D6" s="7"/>
    </row>
    <row r="7" spans="1:4" ht="15.95" customHeight="1">
      <c r="B7" s="349" t="s">
        <v>187</v>
      </c>
      <c r="C7" s="328"/>
      <c r="D7" s="7"/>
    </row>
    <row r="8" spans="1:4" ht="15.95" customHeight="1">
      <c r="A8" s="75"/>
      <c r="B8" s="76" t="s">
        <v>86</v>
      </c>
      <c r="C8" s="77"/>
      <c r="D8" s="78"/>
    </row>
    <row r="9" spans="1:4" ht="15.95" customHeight="1">
      <c r="A9" s="42" t="s">
        <v>95</v>
      </c>
      <c r="B9" s="43" t="s">
        <v>403</v>
      </c>
      <c r="C9" s="43" t="s">
        <v>404</v>
      </c>
    </row>
    <row r="10" spans="1:4" ht="5.0999999999999996" customHeight="1">
      <c r="A10" s="5"/>
    </row>
    <row r="11" spans="1:4" ht="14.1" customHeight="1">
      <c r="A11" s="330" t="s">
        <v>238</v>
      </c>
      <c r="B11" s="337">
        <v>16.081050740907049</v>
      </c>
      <c r="C11" s="337">
        <v>13.396614607687271</v>
      </c>
    </row>
    <row r="12" spans="1:4" ht="14.1" customHeight="1">
      <c r="A12" s="26" t="s">
        <v>239</v>
      </c>
      <c r="B12" s="79">
        <v>14.984114783499869</v>
      </c>
      <c r="C12" s="79">
        <v>11.995590082814141</v>
      </c>
    </row>
    <row r="13" spans="1:4" ht="14.1" customHeight="1">
      <c r="A13" s="330" t="s">
        <v>240</v>
      </c>
      <c r="B13" s="337">
        <v>17.924194954182468</v>
      </c>
      <c r="C13" s="337">
        <v>13.038039753255655</v>
      </c>
    </row>
    <row r="14" spans="1:4" ht="14.1" customHeight="1">
      <c r="A14" s="26" t="s">
        <v>653</v>
      </c>
      <c r="B14" s="79">
        <v>15.903908533256255</v>
      </c>
      <c r="C14" s="79">
        <v>12.727459648401357</v>
      </c>
    </row>
    <row r="15" spans="1:4" ht="14.1" customHeight="1">
      <c r="A15" s="330" t="s">
        <v>241</v>
      </c>
      <c r="B15" s="337">
        <v>17.867132867132867</v>
      </c>
      <c r="C15" s="337">
        <v>13.602484472049689</v>
      </c>
    </row>
    <row r="16" spans="1:4" ht="14.1" customHeight="1">
      <c r="A16" s="26" t="s">
        <v>242</v>
      </c>
      <c r="B16" s="79">
        <v>16.630252100840337</v>
      </c>
      <c r="C16" s="79">
        <v>13.149501661129568</v>
      </c>
    </row>
    <row r="17" spans="1:3" ht="14.1" customHeight="1">
      <c r="A17" s="330" t="s">
        <v>243</v>
      </c>
      <c r="B17" s="337">
        <v>15.906904017320183</v>
      </c>
      <c r="C17" s="337">
        <v>13.104439159730479</v>
      </c>
    </row>
    <row r="18" spans="1:3" ht="14.1" customHeight="1">
      <c r="A18" s="26" t="s">
        <v>244</v>
      </c>
      <c r="B18" s="79">
        <v>14.633164556962026</v>
      </c>
      <c r="C18" s="79">
        <v>11.828469692628822</v>
      </c>
    </row>
    <row r="19" spans="1:3" ht="14.1" customHeight="1">
      <c r="A19" s="330" t="s">
        <v>245</v>
      </c>
      <c r="B19" s="337">
        <v>18.580981016918724</v>
      </c>
      <c r="C19" s="337">
        <v>15.118121736590352</v>
      </c>
    </row>
    <row r="20" spans="1:3" ht="14.1" customHeight="1">
      <c r="A20" s="26" t="s">
        <v>246</v>
      </c>
      <c r="B20" s="79">
        <v>18.741010889665091</v>
      </c>
      <c r="C20" s="79">
        <v>15.667203435319376</v>
      </c>
    </row>
    <row r="21" spans="1:3" ht="14.1" customHeight="1">
      <c r="A21" s="330" t="s">
        <v>247</v>
      </c>
      <c r="B21" s="337">
        <v>17.604805251099137</v>
      </c>
      <c r="C21" s="337">
        <v>13.026345933562427</v>
      </c>
    </row>
    <row r="22" spans="1:3" ht="14.1" customHeight="1">
      <c r="A22" s="26" t="s">
        <v>248</v>
      </c>
      <c r="B22" s="79">
        <v>18.972121212121213</v>
      </c>
      <c r="C22" s="79">
        <v>13.993741618238714</v>
      </c>
    </row>
    <row r="23" spans="1:3" ht="14.1" customHeight="1">
      <c r="A23" s="330" t="s">
        <v>249</v>
      </c>
      <c r="B23" s="337">
        <v>14.946775203506576</v>
      </c>
      <c r="C23" s="337">
        <v>11.712463199214916</v>
      </c>
    </row>
    <row r="24" spans="1:3" ht="14.1" customHeight="1">
      <c r="A24" s="26" t="s">
        <v>250</v>
      </c>
      <c r="B24" s="79">
        <v>16.696218633157304</v>
      </c>
      <c r="C24" s="79">
        <v>13.310082045293919</v>
      </c>
    </row>
    <row r="25" spans="1:3" ht="14.1" customHeight="1">
      <c r="A25" s="330" t="s">
        <v>251</v>
      </c>
      <c r="B25" s="337">
        <v>19.702602230483272</v>
      </c>
      <c r="C25" s="337">
        <v>14.354017145654733</v>
      </c>
    </row>
    <row r="26" spans="1:3" ht="14.1" customHeight="1">
      <c r="A26" s="26" t="s">
        <v>252</v>
      </c>
      <c r="B26" s="79">
        <v>16.624772702962886</v>
      </c>
      <c r="C26" s="79">
        <v>13.262650396791534</v>
      </c>
    </row>
    <row r="27" spans="1:3" ht="14.1" customHeight="1">
      <c r="A27" s="330" t="s">
        <v>253</v>
      </c>
      <c r="B27" s="337">
        <v>15.263186633176806</v>
      </c>
      <c r="C27" s="337">
        <v>11.544624788336845</v>
      </c>
    </row>
    <row r="28" spans="1:3" ht="14.1" customHeight="1">
      <c r="A28" s="26" t="s">
        <v>254</v>
      </c>
      <c r="B28" s="79">
        <v>15.06015037593985</v>
      </c>
      <c r="C28" s="79">
        <v>12.28080931943593</v>
      </c>
    </row>
    <row r="29" spans="1:3" ht="14.1" customHeight="1">
      <c r="A29" s="330" t="s">
        <v>255</v>
      </c>
      <c r="B29" s="337">
        <v>17.809805010670331</v>
      </c>
      <c r="C29" s="337">
        <v>13.964128130193112</v>
      </c>
    </row>
    <row r="30" spans="1:3" ht="14.1" customHeight="1">
      <c r="A30" s="26" t="s">
        <v>256</v>
      </c>
      <c r="B30" s="79">
        <v>15.565636518287494</v>
      </c>
      <c r="C30" s="79">
        <v>13.071428571428571</v>
      </c>
    </row>
    <row r="31" spans="1:3" ht="14.1" customHeight="1">
      <c r="A31" s="330" t="s">
        <v>257</v>
      </c>
      <c r="B31" s="337">
        <v>17.496307641813903</v>
      </c>
      <c r="C31" s="337">
        <v>13.593285167870803</v>
      </c>
    </row>
    <row r="32" spans="1:3" ht="14.1" customHeight="1">
      <c r="A32" s="26" t="s">
        <v>258</v>
      </c>
      <c r="B32" s="79">
        <v>15.399835735085492</v>
      </c>
      <c r="C32" s="79">
        <v>12.805786663355269</v>
      </c>
    </row>
    <row r="33" spans="1:4" ht="14.1" customHeight="1">
      <c r="A33" s="330" t="s">
        <v>259</v>
      </c>
      <c r="B33" s="337">
        <v>16.216969118115252</v>
      </c>
      <c r="C33" s="337">
        <v>13.13414555534068</v>
      </c>
    </row>
    <row r="34" spans="1:4" ht="14.1" customHeight="1">
      <c r="A34" s="26" t="s">
        <v>260</v>
      </c>
      <c r="B34" s="79">
        <v>16.479001322751323</v>
      </c>
      <c r="C34" s="79">
        <v>13.241878695276689</v>
      </c>
    </row>
    <row r="35" spans="1:4" ht="14.1" customHeight="1">
      <c r="A35" s="330" t="s">
        <v>261</v>
      </c>
      <c r="B35" s="337">
        <v>18.22221965371368</v>
      </c>
      <c r="C35" s="337">
        <v>14.276076897304248</v>
      </c>
    </row>
    <row r="36" spans="1:4" ht="14.1" customHeight="1">
      <c r="A36" s="26" t="s">
        <v>262</v>
      </c>
      <c r="B36" s="79">
        <v>15.489559164733178</v>
      </c>
      <c r="C36" s="79">
        <v>12.46918192005977</v>
      </c>
    </row>
    <row r="37" spans="1:4" ht="14.1" customHeight="1">
      <c r="A37" s="330" t="s">
        <v>263</v>
      </c>
      <c r="B37" s="337">
        <v>18.506869307030346</v>
      </c>
      <c r="C37" s="337">
        <v>14.480626870373287</v>
      </c>
    </row>
    <row r="38" spans="1:4" ht="14.1" customHeight="1">
      <c r="A38" s="26" t="s">
        <v>264</v>
      </c>
      <c r="B38" s="79">
        <v>17.94692391957313</v>
      </c>
      <c r="C38" s="79">
        <v>14.529953653373006</v>
      </c>
    </row>
    <row r="39" spans="1:4" ht="14.1" customHeight="1">
      <c r="A39" s="330" t="s">
        <v>265</v>
      </c>
      <c r="B39" s="337">
        <v>15.577884521125378</v>
      </c>
      <c r="C39" s="337">
        <v>12.999836387434554</v>
      </c>
    </row>
    <row r="40" spans="1:4" ht="14.1" customHeight="1">
      <c r="A40" s="26" t="s">
        <v>266</v>
      </c>
      <c r="B40" s="79">
        <v>17.834768989819889</v>
      </c>
      <c r="C40" s="79">
        <v>14.001263682781467</v>
      </c>
    </row>
    <row r="41" spans="1:4" ht="14.1" customHeight="1">
      <c r="A41" s="330" t="s">
        <v>267</v>
      </c>
      <c r="B41" s="337">
        <v>16.513544919747257</v>
      </c>
      <c r="C41" s="337">
        <v>12.727756164460242</v>
      </c>
    </row>
    <row r="42" spans="1:4" ht="14.1" customHeight="1">
      <c r="A42" s="26" t="s">
        <v>268</v>
      </c>
      <c r="B42" s="79">
        <v>14.820289561607776</v>
      </c>
      <c r="C42" s="79">
        <v>12.170948698761121</v>
      </c>
    </row>
    <row r="43" spans="1:4" ht="14.1" customHeight="1">
      <c r="A43" s="330" t="s">
        <v>269</v>
      </c>
      <c r="B43" s="337">
        <v>16.485341467547876</v>
      </c>
      <c r="C43" s="337">
        <v>13.066487575554065</v>
      </c>
    </row>
    <row r="44" spans="1:4" ht="14.1" customHeight="1">
      <c r="A44" s="26" t="s">
        <v>270</v>
      </c>
      <c r="B44" s="79">
        <v>12.88028802880288</v>
      </c>
      <c r="C44" s="79">
        <v>11.516175760502174</v>
      </c>
    </row>
    <row r="45" spans="1:4" ht="14.1" customHeight="1">
      <c r="A45" s="330" t="s">
        <v>271</v>
      </c>
      <c r="B45" s="337">
        <v>18.394760213143872</v>
      </c>
      <c r="C45" s="337">
        <v>14.917176809506662</v>
      </c>
    </row>
    <row r="46" spans="1:4" ht="14.1" customHeight="1">
      <c r="A46" s="26" t="s">
        <v>272</v>
      </c>
      <c r="B46" s="79">
        <v>18.769283276450512</v>
      </c>
      <c r="C46" s="79">
        <v>13.920609351988217</v>
      </c>
    </row>
    <row r="47" spans="1:4" ht="5.0999999999999996" customHeight="1">
      <c r="A47"/>
      <c r="B47"/>
      <c r="C47"/>
      <c r="D47"/>
    </row>
    <row r="48" spans="1:4" ht="14.1" customHeight="1">
      <c r="A48" s="332" t="s">
        <v>273</v>
      </c>
      <c r="B48" s="340">
        <v>17.558380291452934</v>
      </c>
      <c r="C48" s="340">
        <v>13.665833496304678</v>
      </c>
      <c r="D48" s="5"/>
    </row>
    <row r="49" spans="1:4" ht="5.0999999999999996" customHeight="1">
      <c r="A49" s="28" t="s">
        <v>18</v>
      </c>
      <c r="B49" s="80"/>
      <c r="C49" s="80"/>
    </row>
    <row r="50" spans="1:4" ht="14.1" customHeight="1">
      <c r="A50" s="26" t="s">
        <v>274</v>
      </c>
      <c r="B50" s="79">
        <v>10.760998810939357</v>
      </c>
      <c r="C50" s="79">
        <v>8.5700757575757578</v>
      </c>
    </row>
    <row r="51" spans="1:4" ht="14.1" customHeight="1">
      <c r="A51" s="330" t="s">
        <v>275</v>
      </c>
      <c r="B51" s="337">
        <v>19.469696969696969</v>
      </c>
      <c r="C51" s="337">
        <v>16.885676741130094</v>
      </c>
    </row>
    <row r="52" spans="1:4" ht="49.5" customHeight="1">
      <c r="A52" s="30"/>
      <c r="B52" s="30"/>
      <c r="C52" s="30"/>
      <c r="D52" s="30"/>
    </row>
    <row r="53" spans="1:4" ht="15" customHeight="1">
      <c r="A53" s="45" t="s">
        <v>621</v>
      </c>
      <c r="B53" s="45"/>
      <c r="C53" s="45"/>
      <c r="D53" s="45"/>
    </row>
    <row r="54" spans="1:4" ht="12" customHeight="1">
      <c r="A54" s="45" t="s">
        <v>698</v>
      </c>
      <c r="B54" s="45"/>
      <c r="C54" s="45"/>
      <c r="D54" s="45"/>
    </row>
    <row r="55" spans="1:4" ht="12" customHeight="1">
      <c r="A55" s="1" t="s">
        <v>699</v>
      </c>
      <c r="C55" s="45"/>
      <c r="D55" s="45"/>
    </row>
    <row r="56" spans="1:4" ht="12" customHeight="1">
      <c r="A56" s="45" t="s">
        <v>622</v>
      </c>
      <c r="C56" s="45"/>
      <c r="D56" s="45"/>
    </row>
    <row r="57" spans="1:4" ht="12" customHeight="1">
      <c r="A57" s="45" t="s">
        <v>700</v>
      </c>
      <c r="B57" s="45"/>
      <c r="C57" s="45"/>
      <c r="D57" s="45"/>
    </row>
    <row r="58" spans="1:4">
      <c r="A58" s="45" t="s">
        <v>701</v>
      </c>
    </row>
  </sheetData>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sheetPr codeName="Sheet7"/>
  <dimension ref="A2:M28"/>
  <sheetViews>
    <sheetView showGridLines="0" showZeros="0" workbookViewId="0"/>
  </sheetViews>
  <sheetFormatPr defaultColWidth="15.83203125" defaultRowHeight="12"/>
  <cols>
    <col min="1" max="1" width="6.5" style="1" customWidth="1"/>
    <col min="2" max="2" width="39.5" style="1" customWidth="1"/>
    <col min="3" max="3" width="16" style="1" customWidth="1"/>
    <col min="4" max="4" width="15.83203125" style="1" customWidth="1"/>
    <col min="5" max="5" width="15.5" style="1" customWidth="1"/>
    <col min="6" max="6" width="17.1640625" style="1" customWidth="1"/>
    <col min="7" max="7" width="14.83203125" style="1" customWidth="1"/>
    <col min="8" max="8" width="15" style="1" customWidth="1"/>
    <col min="9" max="9" width="13.5" style="1" customWidth="1"/>
    <col min="10" max="10" width="3.33203125" style="1" customWidth="1"/>
    <col min="11" max="11" width="17.6640625" style="1" customWidth="1"/>
    <col min="12" max="12" width="6.83203125" style="1" customWidth="1"/>
    <col min="13" max="16384" width="15.83203125" style="1"/>
  </cols>
  <sheetData>
    <row r="2" spans="1:11">
      <c r="A2" s="46"/>
      <c r="B2" s="46"/>
      <c r="C2" s="47" t="str">
        <f>OPYEAR</f>
        <v>OPERATING FUND 2011/2012 ACTUAL</v>
      </c>
      <c r="D2" s="48"/>
      <c r="E2" s="48"/>
      <c r="F2" s="48"/>
      <c r="G2" s="48"/>
      <c r="H2" s="48"/>
      <c r="I2" s="48"/>
      <c r="J2" s="48"/>
      <c r="K2" s="49"/>
    </row>
    <row r="4" spans="1:11" ht="19.5" customHeight="1">
      <c r="C4" s="7"/>
      <c r="D4" s="7"/>
      <c r="E4" s="7"/>
      <c r="F4" s="7"/>
      <c r="G4" s="7"/>
      <c r="H4" s="7"/>
      <c r="I4" s="7"/>
      <c r="J4" s="7"/>
      <c r="K4" s="7"/>
    </row>
    <row r="5" spans="1:11" ht="15.75">
      <c r="C5" s="325" t="s">
        <v>475</v>
      </c>
      <c r="D5" s="50"/>
      <c r="E5" s="50"/>
      <c r="F5" s="50"/>
      <c r="G5" s="50"/>
      <c r="H5" s="50"/>
      <c r="I5" s="50"/>
      <c r="J5" s="50"/>
      <c r="K5" s="7"/>
    </row>
    <row r="6" spans="1:11" ht="16.5" customHeight="1">
      <c r="C6" s="7"/>
      <c r="D6" s="7"/>
      <c r="E6" s="7"/>
      <c r="F6" s="7"/>
      <c r="G6" s="7"/>
      <c r="H6" s="7"/>
      <c r="I6" s="7"/>
      <c r="J6" s="7"/>
      <c r="K6" s="7"/>
    </row>
    <row r="7" spans="1:11">
      <c r="C7" s="7"/>
      <c r="D7" s="7"/>
      <c r="E7" s="7"/>
      <c r="F7" s="7"/>
      <c r="G7" s="7"/>
      <c r="H7" s="7"/>
      <c r="I7" s="7"/>
      <c r="J7" s="7"/>
      <c r="K7" s="7"/>
    </row>
    <row r="8" spans="1:11">
      <c r="C8" s="327" t="s">
        <v>164</v>
      </c>
      <c r="D8" s="350"/>
      <c r="E8" s="350"/>
      <c r="F8" s="350"/>
      <c r="G8" s="350"/>
      <c r="H8" s="350"/>
      <c r="I8" s="350"/>
      <c r="J8" s="351"/>
      <c r="K8" s="7"/>
    </row>
    <row r="9" spans="1:11">
      <c r="C9" s="7"/>
      <c r="D9" s="7"/>
      <c r="E9" s="7"/>
      <c r="F9" s="7"/>
      <c r="G9" s="7"/>
      <c r="H9" s="7"/>
      <c r="I9" s="7"/>
      <c r="J9" s="7"/>
      <c r="K9" s="7"/>
    </row>
    <row r="10" spans="1:11">
      <c r="A10" s="51"/>
      <c r="B10" s="52"/>
      <c r="C10" s="352"/>
      <c r="D10" s="352" t="s">
        <v>165</v>
      </c>
      <c r="E10" s="353"/>
      <c r="F10" s="352" t="s">
        <v>166</v>
      </c>
      <c r="G10" s="358" t="s">
        <v>145</v>
      </c>
      <c r="H10" s="536" t="s">
        <v>494</v>
      </c>
      <c r="I10" s="354"/>
      <c r="J10" s="355"/>
      <c r="K10" s="352"/>
    </row>
    <row r="11" spans="1:11" ht="13.5" customHeight="1">
      <c r="A11" s="692" t="s">
        <v>175</v>
      </c>
      <c r="B11" s="693"/>
      <c r="C11" s="356" t="s">
        <v>167</v>
      </c>
      <c r="D11" s="356" t="s">
        <v>168</v>
      </c>
      <c r="E11" s="346" t="s">
        <v>154</v>
      </c>
      <c r="F11" s="356" t="s">
        <v>169</v>
      </c>
      <c r="G11" s="344" t="s">
        <v>154</v>
      </c>
      <c r="H11" s="535" t="s">
        <v>495</v>
      </c>
      <c r="I11" s="345" t="s">
        <v>109</v>
      </c>
      <c r="J11" s="357"/>
      <c r="K11" s="356" t="s">
        <v>170</v>
      </c>
    </row>
    <row r="13" spans="1:11">
      <c r="A13" s="55">
        <v>100</v>
      </c>
      <c r="B13" s="5" t="s">
        <v>63</v>
      </c>
      <c r="C13" s="56">
        <f>'- 12 -'!B21</f>
        <v>911305919</v>
      </c>
      <c r="D13" s="57">
        <f>'- 12 -'!B22</f>
        <v>56614438</v>
      </c>
      <c r="E13" s="57">
        <f>'- 12 -'!B39</f>
        <v>28151327</v>
      </c>
      <c r="F13" s="57">
        <f>'- 12 -'!B45</f>
        <v>68195975</v>
      </c>
      <c r="G13" s="58"/>
      <c r="H13" s="206"/>
      <c r="I13" s="59"/>
      <c r="J13" s="58"/>
      <c r="K13" s="56">
        <f>SUM(C13:F13)</f>
        <v>1064267659</v>
      </c>
    </row>
    <row r="14" spans="1:11" ht="24" customHeight="1">
      <c r="A14" s="55">
        <v>200</v>
      </c>
      <c r="B14" s="5" t="s">
        <v>478</v>
      </c>
      <c r="C14" s="56">
        <f>'- 12 -'!D21</f>
        <v>320027309</v>
      </c>
      <c r="D14" s="57">
        <f>'- 12 -'!D22</f>
        <v>32187741</v>
      </c>
      <c r="E14" s="57">
        <f>'- 12 -'!D39</f>
        <v>8873396</v>
      </c>
      <c r="F14" s="57">
        <f>'- 12 -'!D45</f>
        <v>4736482</v>
      </c>
      <c r="G14" s="58"/>
      <c r="H14" s="206"/>
      <c r="I14" s="59"/>
      <c r="J14" s="58"/>
      <c r="K14" s="56">
        <f>SUM(C14:F14)</f>
        <v>365824928</v>
      </c>
    </row>
    <row r="15" spans="1:11" ht="24" customHeight="1">
      <c r="A15" s="55">
        <v>300</v>
      </c>
      <c r="B15" s="5" t="s">
        <v>220</v>
      </c>
      <c r="C15" s="56">
        <f>'- 12 -'!F21</f>
        <v>7054796</v>
      </c>
      <c r="D15" s="57">
        <f>'- 12 -'!F22</f>
        <v>492707</v>
      </c>
      <c r="E15" s="57">
        <f>'- 12 -'!F39</f>
        <v>878524</v>
      </c>
      <c r="F15" s="57">
        <f>'- 12 -'!F45</f>
        <v>358904</v>
      </c>
      <c r="G15" s="58"/>
      <c r="H15" s="206"/>
      <c r="I15" s="59">
        <f>'- 12 -'!F47</f>
        <v>59700</v>
      </c>
      <c r="J15" s="128" t="s">
        <v>200</v>
      </c>
      <c r="K15" s="56">
        <f>SUM(C15:F15,I15)</f>
        <v>8844631</v>
      </c>
    </row>
    <row r="16" spans="1:11" ht="24" customHeight="1">
      <c r="A16" s="55">
        <v>400</v>
      </c>
      <c r="B16" s="5" t="s">
        <v>171</v>
      </c>
      <c r="C16" s="56">
        <f>'- 12 -'!H21</f>
        <v>14299683</v>
      </c>
      <c r="D16" s="57">
        <f>'- 12 -'!H22</f>
        <v>1292862</v>
      </c>
      <c r="E16" s="57">
        <f>'- 12 -'!H39</f>
        <v>2196344</v>
      </c>
      <c r="F16" s="57">
        <f>'- 12 -'!H45</f>
        <v>1625608</v>
      </c>
      <c r="G16" s="58"/>
      <c r="H16" s="206"/>
      <c r="I16" s="59"/>
      <c r="J16" s="539"/>
      <c r="K16" s="56">
        <f>SUM(C16:F16)</f>
        <v>19414497</v>
      </c>
    </row>
    <row r="17" spans="1:13" ht="24" customHeight="1">
      <c r="A17" s="55">
        <v>500</v>
      </c>
      <c r="B17" s="5" t="s">
        <v>194</v>
      </c>
      <c r="C17" s="56">
        <f>'- 12 -'!J21</f>
        <v>44268970</v>
      </c>
      <c r="D17" s="57">
        <f>'- 12 -'!J22</f>
        <v>6182369</v>
      </c>
      <c r="E17" s="57">
        <f>'- 12 -'!J39</f>
        <v>13788438</v>
      </c>
      <c r="F17" s="57">
        <f>'- 12 -'!J45</f>
        <v>2744423</v>
      </c>
      <c r="G17" s="58"/>
      <c r="H17" s="206"/>
      <c r="I17" s="59">
        <f>'- 12 -'!J47</f>
        <v>-59700</v>
      </c>
      <c r="J17" s="128" t="s">
        <v>200</v>
      </c>
      <c r="K17" s="56">
        <f>SUM(C17:F17,I17)</f>
        <v>66924500</v>
      </c>
    </row>
    <row r="18" spans="1:13" ht="12" customHeight="1">
      <c r="A18" s="55"/>
      <c r="B18" s="5"/>
      <c r="C18" s="60"/>
      <c r="D18" s="61"/>
      <c r="E18" s="61"/>
      <c r="F18" s="61"/>
      <c r="G18" s="58"/>
      <c r="H18" s="206"/>
      <c r="I18" s="62"/>
      <c r="J18" s="539"/>
      <c r="K18" s="56"/>
    </row>
    <row r="19" spans="1:13" ht="24" customHeight="1">
      <c r="A19" s="63">
        <v>600</v>
      </c>
      <c r="B19" s="64" t="s">
        <v>532</v>
      </c>
      <c r="C19" s="56">
        <f>'- 13 -'!B21</f>
        <v>45145507</v>
      </c>
      <c r="D19" s="57">
        <f>'- 13 -'!B22</f>
        <v>4345997</v>
      </c>
      <c r="E19" s="57">
        <f>'- 13 -'!B39</f>
        <v>11800894</v>
      </c>
      <c r="F19" s="57">
        <f>'- 13 -'!B45</f>
        <v>7628254</v>
      </c>
      <c r="G19" s="58"/>
      <c r="H19" s="206"/>
      <c r="I19" s="59"/>
      <c r="J19" s="539"/>
      <c r="K19" s="56">
        <f>SUM(C19:F19)</f>
        <v>68920652</v>
      </c>
    </row>
    <row r="20" spans="1:13" ht="28.5" customHeight="1">
      <c r="A20" s="55">
        <v>700</v>
      </c>
      <c r="B20" s="5" t="s">
        <v>172</v>
      </c>
      <c r="C20" s="56">
        <f>'- 13 -'!D21</f>
        <v>36597966</v>
      </c>
      <c r="D20" s="57">
        <f>'- 13 -'!D22</f>
        <v>5206883</v>
      </c>
      <c r="E20" s="57">
        <f>'- 13 -'!D39</f>
        <v>23457207</v>
      </c>
      <c r="F20" s="57">
        <f>'- 13 -'!D45</f>
        <v>16382493</v>
      </c>
      <c r="G20" s="58"/>
      <c r="H20" s="206"/>
      <c r="I20" s="59"/>
      <c r="J20" s="539"/>
      <c r="K20" s="56">
        <f>SUM(C20:F20)</f>
        <v>81644549</v>
      </c>
      <c r="L20" s="694" t="s">
        <v>201</v>
      </c>
    </row>
    <row r="21" spans="1:13" ht="24" customHeight="1">
      <c r="A21" s="55">
        <v>800</v>
      </c>
      <c r="B21" s="5" t="s">
        <v>173</v>
      </c>
      <c r="C21" s="56">
        <f>'- 13 -'!F21</f>
        <v>97872080</v>
      </c>
      <c r="D21" s="57">
        <f>'- 13 -'!F22</f>
        <v>16581807</v>
      </c>
      <c r="E21" s="57">
        <f>'- 13 -'!F39</f>
        <v>81851022</v>
      </c>
      <c r="F21" s="57">
        <f>'- 13 -'!F45</f>
        <v>21877958</v>
      </c>
      <c r="G21" s="58"/>
      <c r="H21" s="206"/>
      <c r="I21" s="59">
        <f>'- 13 -'!F47</f>
        <v>0</v>
      </c>
      <c r="J21" s="540"/>
      <c r="K21" s="56">
        <f>SUM(C21:F21,I21)</f>
        <v>218182867</v>
      </c>
      <c r="L21" s="694"/>
    </row>
    <row r="22" spans="1:13" ht="24" customHeight="1">
      <c r="A22" s="55">
        <v>900</v>
      </c>
      <c r="B22" s="5" t="s">
        <v>68</v>
      </c>
      <c r="C22" s="60"/>
      <c r="D22" s="61"/>
      <c r="E22" s="61"/>
      <c r="F22" s="61"/>
      <c r="G22" s="57">
        <v>1651242</v>
      </c>
      <c r="H22" s="57">
        <v>506096</v>
      </c>
      <c r="I22" s="62">
        <v>31937903</v>
      </c>
      <c r="J22" s="540" t="s">
        <v>357</v>
      </c>
      <c r="K22" s="56">
        <f>SUM(G22:I22)</f>
        <v>34095241</v>
      </c>
    </row>
    <row r="23" spans="1:13">
      <c r="A23" s="55"/>
      <c r="B23" s="5"/>
      <c r="C23" s="60"/>
      <c r="D23" s="61"/>
      <c r="E23" s="61"/>
      <c r="F23" s="61"/>
      <c r="G23" s="61"/>
      <c r="H23" s="39"/>
      <c r="I23" s="62"/>
      <c r="J23" s="58"/>
      <c r="K23" s="60"/>
    </row>
    <row r="24" spans="1:13">
      <c r="B24" s="5"/>
      <c r="C24" s="65"/>
      <c r="D24" s="65"/>
      <c r="E24" s="65"/>
      <c r="F24" s="65"/>
      <c r="G24" s="65"/>
      <c r="H24" s="65"/>
      <c r="I24" s="65"/>
      <c r="K24" s="65"/>
    </row>
    <row r="25" spans="1:13">
      <c r="A25" s="66"/>
      <c r="B25" s="67" t="s">
        <v>170</v>
      </c>
      <c r="C25" s="68">
        <f>SUM(C13:C22)</f>
        <v>1476572230</v>
      </c>
      <c r="D25" s="69">
        <f>SUM(D13:D22)</f>
        <v>122904804</v>
      </c>
      <c r="E25" s="69">
        <f>SUM(E13:E22)</f>
        <v>170997152</v>
      </c>
      <c r="F25" s="69">
        <f>SUM(F13:F22)</f>
        <v>123550097</v>
      </c>
      <c r="G25" s="69">
        <f>G22</f>
        <v>1651242</v>
      </c>
      <c r="H25" s="69">
        <f>H22</f>
        <v>506096</v>
      </c>
      <c r="I25" s="543">
        <f>SUM(I13:I22)</f>
        <v>31937903</v>
      </c>
      <c r="J25" s="70"/>
      <c r="K25" s="68">
        <f>SUM(K13:K22)</f>
        <v>1928119524</v>
      </c>
      <c r="M25" s="1">
        <f>K25-'- 3 -'!D48</f>
        <v>0</v>
      </c>
    </row>
    <row r="26" spans="1:13" ht="60" customHeight="1"/>
    <row r="27" spans="1:13">
      <c r="A27" s="127" t="s">
        <v>200</v>
      </c>
      <c r="B27" s="1" t="s">
        <v>361</v>
      </c>
      <c r="C27" s="5"/>
    </row>
    <row r="28" spans="1:13" ht="13.5" customHeight="1">
      <c r="A28" s="541" t="s">
        <v>357</v>
      </c>
      <c r="B28" s="1" t="s">
        <v>522</v>
      </c>
      <c r="C28" s="5"/>
    </row>
  </sheetData>
  <mergeCells count="2">
    <mergeCell ref="A11:B11"/>
    <mergeCell ref="L20:L2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8">
    <pageSetUpPr autoPageBreaks="0" fitToPage="1"/>
  </sheetPr>
  <dimension ref="A2:L54"/>
  <sheetViews>
    <sheetView showGridLines="0" showZeros="0" workbookViewId="0"/>
  </sheetViews>
  <sheetFormatPr defaultColWidth="15.83203125" defaultRowHeight="12"/>
  <cols>
    <col min="1" max="1" width="49.6640625" style="1" customWidth="1"/>
    <col min="2" max="2" width="15.83203125" style="1" customWidth="1"/>
    <col min="3" max="3" width="8.83203125" style="1" customWidth="1"/>
    <col min="4" max="4" width="15.83203125" style="1" customWidth="1"/>
    <col min="5" max="5" width="8.83203125" style="1" customWidth="1"/>
    <col min="6" max="6" width="15.83203125" style="1" customWidth="1"/>
    <col min="7" max="7" width="8.83203125" style="1" customWidth="1"/>
    <col min="8" max="8" width="15.83203125" style="1" customWidth="1"/>
    <col min="9" max="9" width="8.83203125" style="1" customWidth="1"/>
    <col min="10" max="10" width="15.83203125" style="1" customWidth="1"/>
    <col min="11" max="11" width="8.83203125" style="1" customWidth="1"/>
    <col min="12" max="12" width="5" style="1" customWidth="1"/>
    <col min="13" max="16384" width="15.83203125" style="1"/>
  </cols>
  <sheetData>
    <row r="2" spans="1:11">
      <c r="A2" s="46"/>
      <c r="B2" s="46"/>
      <c r="C2" s="46"/>
      <c r="D2" s="47" t="str">
        <f>OPYEAR</f>
        <v>OPERATING FUND 2011/2012 ACTUAL</v>
      </c>
      <c r="E2" s="47"/>
      <c r="F2" s="47"/>
      <c r="G2" s="47"/>
      <c r="H2" s="48"/>
      <c r="I2" s="48"/>
      <c r="J2" s="49"/>
      <c r="K2" s="129" t="s">
        <v>22</v>
      </c>
    </row>
    <row r="3" spans="1:11" ht="9" customHeight="1">
      <c r="J3" s="90"/>
      <c r="K3" s="90"/>
    </row>
    <row r="4" spans="1:11" ht="15.75">
      <c r="B4" s="326" t="s">
        <v>476</v>
      </c>
      <c r="C4" s="90"/>
      <c r="D4" s="90"/>
      <c r="E4" s="90"/>
      <c r="F4" s="90"/>
      <c r="G4" s="90"/>
      <c r="H4" s="90"/>
      <c r="I4" s="90"/>
      <c r="J4" s="90"/>
      <c r="K4" s="90"/>
    </row>
    <row r="5" spans="1:11" ht="15.75">
      <c r="B5" s="326" t="s">
        <v>477</v>
      </c>
      <c r="C5" s="90"/>
      <c r="D5" s="90"/>
      <c r="E5" s="90"/>
      <c r="F5" s="90"/>
      <c r="G5" s="90"/>
      <c r="H5" s="90"/>
      <c r="I5" s="90"/>
      <c r="J5" s="90"/>
      <c r="K5" s="90"/>
    </row>
    <row r="6" spans="1:11" ht="9" customHeight="1"/>
    <row r="7" spans="1:11">
      <c r="B7" s="130" t="s">
        <v>175</v>
      </c>
      <c r="C7" s="48"/>
      <c r="D7" s="48"/>
      <c r="E7" s="48"/>
      <c r="F7" s="48"/>
      <c r="G7" s="48"/>
      <c r="H7" s="48"/>
      <c r="I7" s="48"/>
      <c r="J7" s="48"/>
      <c r="K7" s="131"/>
    </row>
    <row r="8" spans="1:11">
      <c r="A8" s="7"/>
      <c r="B8" s="358" t="s">
        <v>77</v>
      </c>
      <c r="C8" s="359"/>
      <c r="D8" s="361" t="s">
        <v>434</v>
      </c>
      <c r="E8" s="359"/>
      <c r="F8" s="361" t="s">
        <v>219</v>
      </c>
      <c r="G8" s="359"/>
      <c r="H8" s="361" t="s">
        <v>73</v>
      </c>
      <c r="I8" s="359"/>
      <c r="J8" s="361" t="s">
        <v>193</v>
      </c>
      <c r="K8" s="359"/>
    </row>
    <row r="9" spans="1:11">
      <c r="A9" s="7"/>
      <c r="B9" s="344" t="s">
        <v>176</v>
      </c>
      <c r="C9" s="346"/>
      <c r="D9" s="345" t="s">
        <v>154</v>
      </c>
      <c r="E9" s="346"/>
      <c r="F9" s="345" t="s">
        <v>320</v>
      </c>
      <c r="G9" s="346"/>
      <c r="H9" s="345" t="s">
        <v>91</v>
      </c>
      <c r="I9" s="346"/>
      <c r="J9" s="345" t="s">
        <v>45</v>
      </c>
      <c r="K9" s="346"/>
    </row>
    <row r="10" spans="1:11">
      <c r="A10" s="132" t="s">
        <v>164</v>
      </c>
      <c r="B10" s="133" t="s">
        <v>96</v>
      </c>
      <c r="C10" s="133" t="s">
        <v>97</v>
      </c>
      <c r="D10" s="133" t="s">
        <v>96</v>
      </c>
      <c r="E10" s="133" t="s">
        <v>97</v>
      </c>
      <c r="F10" s="133" t="s">
        <v>96</v>
      </c>
      <c r="G10" s="133" t="s">
        <v>97</v>
      </c>
      <c r="H10" s="133" t="s">
        <v>96</v>
      </c>
      <c r="I10" s="133" t="s">
        <v>97</v>
      </c>
      <c r="J10" s="133" t="s">
        <v>96</v>
      </c>
      <c r="K10" s="54" t="s">
        <v>97</v>
      </c>
    </row>
    <row r="11" spans="1:11" ht="5.0999999999999996" customHeight="1">
      <c r="A11" s="134"/>
      <c r="B11" s="7"/>
      <c r="C11" s="7"/>
      <c r="D11" s="7"/>
      <c r="E11" s="7"/>
      <c r="F11" s="7"/>
      <c r="G11" s="7"/>
      <c r="H11" s="7"/>
      <c r="I11" s="7"/>
      <c r="J11" s="7"/>
      <c r="K11" s="7"/>
    </row>
    <row r="12" spans="1:11">
      <c r="A12" s="362" t="s">
        <v>167</v>
      </c>
      <c r="B12" s="135"/>
      <c r="C12" s="136"/>
      <c r="D12" s="135"/>
      <c r="E12" s="136"/>
      <c r="F12" s="135"/>
      <c r="G12" s="136"/>
      <c r="H12" s="135"/>
      <c r="I12" s="136"/>
      <c r="J12" s="135"/>
      <c r="K12" s="136"/>
    </row>
    <row r="13" spans="1:11">
      <c r="A13" s="137" t="s">
        <v>322</v>
      </c>
      <c r="B13" s="138"/>
      <c r="C13" s="396"/>
      <c r="D13" s="138"/>
      <c r="E13" s="396"/>
      <c r="F13" s="138"/>
      <c r="G13" s="396"/>
      <c r="H13" s="138"/>
      <c r="I13" s="396"/>
      <c r="J13" s="138">
        <v>3670085</v>
      </c>
      <c r="K13" s="396"/>
    </row>
    <row r="14" spans="1:11">
      <c r="A14" s="137" t="s">
        <v>359</v>
      </c>
      <c r="B14" s="138">
        <v>78939764</v>
      </c>
      <c r="C14" s="396">
        <f>B14/'- 13 -'!$J$53*100</f>
        <v>4.0941322888653033</v>
      </c>
      <c r="D14" s="138">
        <v>6549413</v>
      </c>
      <c r="E14" s="396">
        <f>D14/'- 13 -'!$J$53*100</f>
        <v>0.33967878642776506</v>
      </c>
      <c r="F14" s="138">
        <v>857214</v>
      </c>
      <c r="G14" s="396">
        <f>F14/'- 13 -'!$J$53*100</f>
        <v>4.445855090049905E-2</v>
      </c>
      <c r="H14" s="138">
        <v>851657</v>
      </c>
      <c r="I14" s="396">
        <f>H14/'- 13 -'!$J$53*100</f>
        <v>4.417034262653937E-2</v>
      </c>
      <c r="J14" s="138">
        <v>20109295</v>
      </c>
      <c r="K14" s="396">
        <f>J14/'- 13 -'!$J$53*100</f>
        <v>1.0429485698211312</v>
      </c>
    </row>
    <row r="15" spans="1:11">
      <c r="A15" s="137" t="s">
        <v>323</v>
      </c>
      <c r="B15" s="138">
        <v>762555984</v>
      </c>
      <c r="C15" s="396">
        <f>B15/'- 13 -'!$J$53*100</f>
        <v>39.549207116477497</v>
      </c>
      <c r="D15" s="138">
        <v>138041905</v>
      </c>
      <c r="E15" s="396">
        <f>D15/'- 13 -'!$J$53*100</f>
        <v>7.1594060057865994</v>
      </c>
      <c r="F15" s="138">
        <v>5176746</v>
      </c>
      <c r="G15" s="396">
        <f>F15/'- 13 -'!$J$53*100</f>
        <v>0.26848677872731297</v>
      </c>
      <c r="H15" s="138">
        <v>7432498</v>
      </c>
      <c r="I15" s="396">
        <f>H15/'- 13 -'!$J$53*100</f>
        <v>0.38547911099312121</v>
      </c>
      <c r="J15" s="138"/>
      <c r="K15" s="396">
        <f>J15/'- 13 -'!$J$53*100</f>
        <v>0</v>
      </c>
    </row>
    <row r="16" spans="1:11">
      <c r="A16" s="137" t="s">
        <v>324</v>
      </c>
      <c r="B16" s="138">
        <v>20861451</v>
      </c>
      <c r="C16" s="396">
        <f>B16/'- 13 -'!$J$53*100</f>
        <v>1.0819583921188487</v>
      </c>
      <c r="D16" s="138">
        <v>143081798</v>
      </c>
      <c r="E16" s="396">
        <f>D16/'- 13 -'!$J$53*100</f>
        <v>7.4207950398825995</v>
      </c>
      <c r="F16" s="138">
        <v>284122</v>
      </c>
      <c r="G16" s="396">
        <f>F16/'- 13 -'!$J$53*100</f>
        <v>1.4735704735283829E-2</v>
      </c>
      <c r="H16" s="138">
        <v>2907787</v>
      </c>
      <c r="I16" s="396">
        <f>H16/'- 13 -'!$J$53*100</f>
        <v>0.15080947855180787</v>
      </c>
      <c r="J16" s="138"/>
      <c r="K16" s="396">
        <f>J16/'- 13 -'!$J$53*100</f>
        <v>0</v>
      </c>
    </row>
    <row r="17" spans="1:12">
      <c r="A17" s="137" t="s">
        <v>325</v>
      </c>
      <c r="B17" s="138">
        <v>4719209</v>
      </c>
      <c r="C17" s="396">
        <f>B17/'- 13 -'!$J$53*100</f>
        <v>0.24475707762191615</v>
      </c>
      <c r="D17" s="138">
        <v>1257162</v>
      </c>
      <c r="E17" s="396">
        <f>D17/'- 13 -'!$J$53*100</f>
        <v>6.5201455840867256E-2</v>
      </c>
      <c r="F17" s="138">
        <v>293263</v>
      </c>
      <c r="G17" s="396">
        <f>F17/'- 13 -'!$J$53*100</f>
        <v>1.5209793601986262E-2</v>
      </c>
      <c r="H17" s="138">
        <v>1638896</v>
      </c>
      <c r="I17" s="396">
        <f>H17/'- 13 -'!$J$53*100</f>
        <v>8.499970980014826E-2</v>
      </c>
      <c r="J17" s="138">
        <v>4749662</v>
      </c>
      <c r="K17" s="396">
        <f>J17/'- 13 -'!$J$53*100</f>
        <v>0.24633649215617817</v>
      </c>
    </row>
    <row r="18" spans="1:12">
      <c r="A18" s="139" t="s">
        <v>326</v>
      </c>
      <c r="B18" s="138">
        <v>33010829</v>
      </c>
      <c r="C18" s="396">
        <f>B18/'- 13 -'!$J$53*100</f>
        <v>1.7120737894670062</v>
      </c>
      <c r="D18" s="138">
        <v>2628979</v>
      </c>
      <c r="E18" s="396">
        <f>D18/'- 13 -'!$J$53*100</f>
        <v>0.13634937913734854</v>
      </c>
      <c r="F18" s="138">
        <v>443451</v>
      </c>
      <c r="G18" s="396">
        <f>F18/'- 13 -'!$J$53*100</f>
        <v>2.2999144735593682E-2</v>
      </c>
      <c r="H18" s="138">
        <v>1056716</v>
      </c>
      <c r="I18" s="396">
        <f>H18/'- 13 -'!$J$53*100</f>
        <v>5.48055235604782E-2</v>
      </c>
      <c r="J18" s="138">
        <v>14321546</v>
      </c>
      <c r="K18" s="396">
        <f>J18/'- 13 -'!$J$53*100</f>
        <v>0.74277272864750055</v>
      </c>
    </row>
    <row r="19" spans="1:12">
      <c r="A19" s="139" t="s">
        <v>327</v>
      </c>
      <c r="B19" s="138"/>
      <c r="C19" s="397"/>
      <c r="D19" s="140">
        <v>28399095</v>
      </c>
      <c r="E19" s="397">
        <f>D19/'- 13 -'!$J$53*100</f>
        <v>1.4728907957471624</v>
      </c>
      <c r="F19" s="140"/>
      <c r="G19" s="397"/>
      <c r="H19" s="140">
        <v>365253</v>
      </c>
      <c r="I19" s="397"/>
      <c r="J19" s="140"/>
      <c r="K19" s="397"/>
    </row>
    <row r="20" spans="1:12">
      <c r="A20" s="142" t="s">
        <v>328</v>
      </c>
      <c r="B20" s="141">
        <v>11218682</v>
      </c>
      <c r="C20" s="397">
        <f>B20/'- 13 -'!$J$53*100</f>
        <v>0.58184577565638507</v>
      </c>
      <c r="D20" s="141">
        <v>68957</v>
      </c>
      <c r="E20" s="397">
        <f>D20/'- 13 -'!$J$53*100</f>
        <v>3.576386170134544E-3</v>
      </c>
      <c r="F20" s="141">
        <v>0</v>
      </c>
      <c r="G20" s="397">
        <f>F20/'- 13 -'!$J$53*100</f>
        <v>0</v>
      </c>
      <c r="H20" s="141">
        <v>46876</v>
      </c>
      <c r="I20" s="397">
        <f>H20/'- 13 -'!$J$53*100</f>
        <v>2.4311770829825385E-3</v>
      </c>
      <c r="J20" s="141">
        <v>1418382</v>
      </c>
      <c r="K20" s="397">
        <f>J20/'- 13 -'!$J$53*100</f>
        <v>7.3562970674010963E-2</v>
      </c>
    </row>
    <row r="21" spans="1:12" ht="12.75" customHeight="1">
      <c r="A21" s="143" t="s">
        <v>329</v>
      </c>
      <c r="B21" s="399">
        <f>SUM(B13:B20)</f>
        <v>911305919</v>
      </c>
      <c r="C21" s="400">
        <f>B21/'- 13 -'!$J$53*100</f>
        <v>47.263974440206958</v>
      </c>
      <c r="D21" s="399">
        <f>SUM(D13:D20)</f>
        <v>320027309</v>
      </c>
      <c r="E21" s="400">
        <f>D21/'- 13 -'!$J$53*100</f>
        <v>16.597897848992478</v>
      </c>
      <c r="F21" s="399">
        <f>SUM(F13:F20)</f>
        <v>7054796</v>
      </c>
      <c r="G21" s="400">
        <f>F21/'- 13 -'!$J$53*100</f>
        <v>0.3658899727006758</v>
      </c>
      <c r="H21" s="399">
        <f>SUM(H13:H20)</f>
        <v>14299683</v>
      </c>
      <c r="I21" s="400">
        <f>H21/'- 13 -'!$J$53*100</f>
        <v>0.74163882591336694</v>
      </c>
      <c r="J21" s="399">
        <f>SUM(J13:J20)</f>
        <v>44268970</v>
      </c>
      <c r="K21" s="400">
        <f>J21/'- 13 -'!$J$53*100</f>
        <v>2.2959660668837247</v>
      </c>
    </row>
    <row r="22" spans="1:12">
      <c r="A22" s="362" t="s">
        <v>177</v>
      </c>
      <c r="B22" s="399">
        <v>56614438</v>
      </c>
      <c r="C22" s="400">
        <f>B22/'- 13 -'!$J$53*100</f>
        <v>2.9362514769079224</v>
      </c>
      <c r="D22" s="399">
        <v>32187741</v>
      </c>
      <c r="E22" s="400">
        <f>D22/'- 13 -'!$J$53*100</f>
        <v>1.6693851495899277</v>
      </c>
      <c r="F22" s="399">
        <v>492707</v>
      </c>
      <c r="G22" s="400">
        <f>F22/'- 13 -'!$J$53*100</f>
        <v>2.5553758149694458E-2</v>
      </c>
      <c r="H22" s="399">
        <v>1292862</v>
      </c>
      <c r="I22" s="400">
        <f>H22/'- 13 -'!$J$53*100</f>
        <v>6.7053000807640803E-2</v>
      </c>
      <c r="J22" s="399">
        <v>6182369</v>
      </c>
      <c r="K22" s="400">
        <f>J22/'- 13 -'!$J$53*100</f>
        <v>0.3206424146971088</v>
      </c>
    </row>
    <row r="23" spans="1:12">
      <c r="A23" s="362" t="s">
        <v>154</v>
      </c>
      <c r="B23" s="146"/>
      <c r="C23" s="398"/>
      <c r="D23" s="146"/>
      <c r="E23" s="398"/>
      <c r="F23" s="146"/>
      <c r="G23" s="398"/>
      <c r="H23" s="146"/>
      <c r="I23" s="398"/>
      <c r="J23" s="146"/>
      <c r="K23" s="398"/>
    </row>
    <row r="24" spans="1:12">
      <c r="A24" s="139" t="s">
        <v>330</v>
      </c>
      <c r="B24" s="138">
        <v>6706138</v>
      </c>
      <c r="C24" s="396">
        <f>B24/'- 13 -'!$J$53*100</f>
        <v>0.34780717255991028</v>
      </c>
      <c r="D24" s="138">
        <v>5568595</v>
      </c>
      <c r="E24" s="396">
        <f>D24/'- 13 -'!$J$53*100</f>
        <v>0.28880963709384644</v>
      </c>
      <c r="F24" s="138">
        <v>114405</v>
      </c>
      <c r="G24" s="396">
        <f>F24/'- 13 -'!$J$53*100</f>
        <v>5.9335014544461403E-3</v>
      </c>
      <c r="H24" s="138">
        <v>1345878</v>
      </c>
      <c r="I24" s="396">
        <f>H24/'- 13 -'!$J$53*100</f>
        <v>6.9802622879306525E-2</v>
      </c>
      <c r="J24" s="138">
        <v>3448689</v>
      </c>
      <c r="K24" s="396">
        <f>J24/'- 13 -'!$J$53*100</f>
        <v>0.17886282240664661</v>
      </c>
    </row>
    <row r="25" spans="1:12">
      <c r="A25" s="139" t="s">
        <v>331</v>
      </c>
      <c r="B25" s="140">
        <v>4401442</v>
      </c>
      <c r="C25" s="397">
        <f>B25/'- 13 -'!$J$53*100</f>
        <v>0.22827640844945876</v>
      </c>
      <c r="D25" s="140">
        <v>308943</v>
      </c>
      <c r="E25" s="397">
        <f>D25/'- 13 -'!$J$53*100</f>
        <v>1.6023021195235819E-2</v>
      </c>
      <c r="F25" s="140">
        <v>68279</v>
      </c>
      <c r="G25" s="397">
        <f>F25/'- 13 -'!$J$53*100</f>
        <v>3.5412223749672483E-3</v>
      </c>
      <c r="H25" s="140">
        <v>63452</v>
      </c>
      <c r="I25" s="397">
        <f>H25/'- 13 -'!$J$53*100</f>
        <v>3.2908748244177832E-3</v>
      </c>
      <c r="J25" s="140">
        <v>1025478</v>
      </c>
      <c r="K25" s="397">
        <f>J25/'- 13 -'!$J$53*100</f>
        <v>5.3185395782549001E-2</v>
      </c>
    </row>
    <row r="26" spans="1:12">
      <c r="A26" s="139" t="s">
        <v>332</v>
      </c>
      <c r="B26" s="140"/>
      <c r="C26" s="397">
        <f>B26/'- 13 -'!$J$53*100</f>
        <v>0</v>
      </c>
      <c r="D26" s="140"/>
      <c r="E26" s="397">
        <f>D26/'- 13 -'!$J$53*100</f>
        <v>0</v>
      </c>
      <c r="F26" s="140">
        <v>43364</v>
      </c>
      <c r="G26" s="397">
        <f>F26/'- 13 -'!$J$53*100</f>
        <v>2.2490306985761327E-3</v>
      </c>
      <c r="H26" s="140"/>
      <c r="I26" s="397">
        <f>H26/'- 13 -'!$J$53*100</f>
        <v>0</v>
      </c>
      <c r="J26" s="140"/>
      <c r="K26" s="397">
        <f>J26/'- 13 -'!$J$53*100</f>
        <v>0</v>
      </c>
    </row>
    <row r="27" spans="1:12" ht="19.5" customHeight="1">
      <c r="A27" s="139" t="s">
        <v>355</v>
      </c>
      <c r="B27" s="140">
        <v>2800030</v>
      </c>
      <c r="C27" s="397">
        <f>B27/'- 13 -'!$J$53*100</f>
        <v>0.14522076900041803</v>
      </c>
      <c r="D27" s="140">
        <v>2015348</v>
      </c>
      <c r="E27" s="397">
        <f>D27/'- 13 -'!$J$53*100</f>
        <v>0.10452401808675425</v>
      </c>
      <c r="F27" s="140">
        <v>86715</v>
      </c>
      <c r="G27" s="397">
        <f>F27/'- 13 -'!$J$53*100</f>
        <v>4.4973871650915353E-3</v>
      </c>
      <c r="H27" s="140">
        <v>225978</v>
      </c>
      <c r="I27" s="397">
        <f>H27/'- 13 -'!$J$53*100</f>
        <v>1.1720124047662513E-2</v>
      </c>
      <c r="J27" s="140">
        <v>2446917</v>
      </c>
      <c r="K27" s="397">
        <f>J27/'- 13 -'!$J$53*100</f>
        <v>0.12690691471884086</v>
      </c>
      <c r="L27" s="695" t="s">
        <v>224</v>
      </c>
    </row>
    <row r="28" spans="1:12" ht="12.75" customHeight="1">
      <c r="A28" s="139" t="s">
        <v>333</v>
      </c>
      <c r="B28" s="140"/>
      <c r="C28" s="397">
        <f>B28/'- 13 -'!$J$53*100</f>
        <v>0</v>
      </c>
      <c r="D28" s="140"/>
      <c r="E28" s="397">
        <f>D28/'- 13 -'!$J$53*100</f>
        <v>0</v>
      </c>
      <c r="F28" s="140"/>
      <c r="G28" s="397">
        <f>F28/'- 13 -'!$J$53*100</f>
        <v>0</v>
      </c>
      <c r="H28" s="140"/>
      <c r="I28" s="397">
        <f>H28/'- 13 -'!$J$53*100</f>
        <v>0</v>
      </c>
      <c r="J28" s="140"/>
      <c r="K28" s="397">
        <f>J28/'- 13 -'!$J$53*100</f>
        <v>0</v>
      </c>
      <c r="L28" s="696"/>
    </row>
    <row r="29" spans="1:12" ht="12.75" customHeight="1">
      <c r="A29" s="139" t="s">
        <v>334</v>
      </c>
      <c r="B29" s="140">
        <v>545198</v>
      </c>
      <c r="C29" s="397">
        <f>B29/'- 13 -'!$J$53*100</f>
        <v>2.8276151618907626E-2</v>
      </c>
      <c r="D29" s="140">
        <v>349863</v>
      </c>
      <c r="E29" s="397">
        <f>D29/'- 13 -'!$J$53*100</f>
        <v>1.8145296266394738E-2</v>
      </c>
      <c r="F29" s="140">
        <v>3188</v>
      </c>
      <c r="G29" s="397">
        <f>F29/'- 13 -'!$J$53*100</f>
        <v>1.653424468928307E-4</v>
      </c>
      <c r="H29" s="140"/>
      <c r="I29" s="397">
        <f>H29/'- 13 -'!$J$53*100</f>
        <v>0</v>
      </c>
      <c r="J29" s="140"/>
      <c r="K29" s="397">
        <f>J29/'- 13 -'!$J$53*100</f>
        <v>0</v>
      </c>
      <c r="L29" s="696"/>
    </row>
    <row r="30" spans="1:12" ht="12.75" customHeight="1">
      <c r="A30" s="139" t="s">
        <v>335</v>
      </c>
      <c r="B30" s="140">
        <v>454701</v>
      </c>
      <c r="C30" s="397">
        <f>B30/'- 13 -'!$J$53*100</f>
        <v>2.3582614788148371E-2</v>
      </c>
      <c r="D30" s="140">
        <v>19132</v>
      </c>
      <c r="E30" s="397">
        <f>D30/'- 13 -'!$J$53*100</f>
        <v>9.9226213737567035E-4</v>
      </c>
      <c r="F30" s="140">
        <v>1315</v>
      </c>
      <c r="G30" s="397">
        <f>F30/'- 13 -'!$J$53*100</f>
        <v>6.8201166143059088E-5</v>
      </c>
      <c r="H30" s="140">
        <v>85046</v>
      </c>
      <c r="I30" s="397">
        <f>H30/'- 13 -'!$J$53*100</f>
        <v>4.410826141294755E-3</v>
      </c>
      <c r="J30" s="140">
        <v>289829</v>
      </c>
      <c r="K30" s="397">
        <f>J30/'- 13 -'!$J$53*100</f>
        <v>1.5031692609944237E-2</v>
      </c>
    </row>
    <row r="31" spans="1:12">
      <c r="A31" s="139" t="s">
        <v>336</v>
      </c>
      <c r="B31" s="140">
        <v>145690</v>
      </c>
      <c r="C31" s="397">
        <f>B31/'- 13 -'!$J$53*100</f>
        <v>7.5560668405948873E-3</v>
      </c>
      <c r="D31" s="140">
        <v>19039</v>
      </c>
      <c r="E31" s="397">
        <f>D31/'- 13 -'!$J$53*100</f>
        <v>9.8743878494121835E-4</v>
      </c>
      <c r="F31" s="140">
        <v>3850</v>
      </c>
      <c r="G31" s="397">
        <f>F31/'- 13 -'!$J$53*100</f>
        <v>1.9967641798538212E-4</v>
      </c>
      <c r="H31" s="140"/>
      <c r="I31" s="397">
        <f>H31/'- 13 -'!$J$53*100</f>
        <v>0</v>
      </c>
      <c r="J31" s="140">
        <v>1209604</v>
      </c>
      <c r="K31" s="397">
        <f>J31/'- 13 -'!$J$53*100</f>
        <v>6.2734907506698731E-2</v>
      </c>
    </row>
    <row r="32" spans="1:12">
      <c r="A32" s="139" t="s">
        <v>337</v>
      </c>
      <c r="B32" s="140">
        <v>2642142</v>
      </c>
      <c r="C32" s="397">
        <f>B32/'- 13 -'!$J$53*100</f>
        <v>0.13703206503083987</v>
      </c>
      <c r="D32" s="140">
        <v>63569</v>
      </c>
      <c r="E32" s="397">
        <f>D32/'- 13 -'!$J$53*100</f>
        <v>3.2969429129643519E-3</v>
      </c>
      <c r="F32" s="140">
        <v>47598</v>
      </c>
      <c r="G32" s="397">
        <f>F32/'- 13 -'!$J$53*100</f>
        <v>2.4686228943553812E-3</v>
      </c>
      <c r="H32" s="140">
        <v>34297</v>
      </c>
      <c r="I32" s="397">
        <f>H32/'- 13 -'!$J$53*100</f>
        <v>1.7787797682193897E-3</v>
      </c>
      <c r="J32" s="140">
        <v>199038</v>
      </c>
      <c r="K32" s="397">
        <f>J32/'- 13 -'!$J$53*100</f>
        <v>1.0322907761811554E-2</v>
      </c>
    </row>
    <row r="33" spans="1:11">
      <c r="A33" s="139" t="s">
        <v>338</v>
      </c>
      <c r="B33" s="140">
        <v>2624688</v>
      </c>
      <c r="C33" s="397">
        <f>B33/'- 13 -'!$J$53*100</f>
        <v>0.136126830693303</v>
      </c>
      <c r="D33" s="140">
        <v>100586</v>
      </c>
      <c r="E33" s="397">
        <f>D33/'- 13 -'!$J$53*100</f>
        <v>5.2167927738902978E-3</v>
      </c>
      <c r="F33" s="140">
        <v>440779</v>
      </c>
      <c r="G33" s="397">
        <f>F33/'- 13 -'!$J$53*100</f>
        <v>2.2860564115111361E-2</v>
      </c>
      <c r="H33" s="140">
        <v>293132</v>
      </c>
      <c r="I33" s="397">
        <f>H33/'- 13 -'!$J$53*100</f>
        <v>1.5202999417374293E-2</v>
      </c>
      <c r="J33" s="140">
        <v>-142347</v>
      </c>
      <c r="K33" s="397">
        <f>J33/'- 13 -'!$J$53*100</f>
        <v>-7.3826854729779701E-3</v>
      </c>
    </row>
    <row r="34" spans="1:11">
      <c r="A34" s="479" t="s">
        <v>432</v>
      </c>
      <c r="B34" s="140"/>
      <c r="C34" s="397">
        <f>B34/'- 13 -'!$J$53*100</f>
        <v>0</v>
      </c>
      <c r="D34" s="140"/>
      <c r="E34" s="397">
        <f>D34/'- 13 -'!$J$53*100</f>
        <v>0</v>
      </c>
      <c r="F34" s="140">
        <v>2282</v>
      </c>
      <c r="G34" s="397">
        <f>F34/'- 13 -'!$J$53*100</f>
        <v>1.1835365866042649E-4</v>
      </c>
      <c r="H34" s="140"/>
      <c r="I34" s="397">
        <f>H34/'- 13 -'!$J$53*100</f>
        <v>0</v>
      </c>
      <c r="J34" s="140"/>
      <c r="K34" s="397">
        <f>J34/'- 13 -'!$J$53*100</f>
        <v>0</v>
      </c>
    </row>
    <row r="35" spans="1:11">
      <c r="A35" s="139" t="s">
        <v>339</v>
      </c>
      <c r="B35" s="140">
        <v>354570</v>
      </c>
      <c r="C35" s="397">
        <f>B35/'- 13 -'!$J$53*100</f>
        <v>1.838942013638362E-2</v>
      </c>
      <c r="D35" s="140">
        <v>104853</v>
      </c>
      <c r="E35" s="397">
        <f>D35/'- 13 -'!$J$53*100</f>
        <v>5.4380964818237067E-3</v>
      </c>
      <c r="F35" s="140">
        <v>12992</v>
      </c>
      <c r="G35" s="397">
        <f>F35/'- 13 -'!$J$53*100</f>
        <v>6.7381714869248948E-4</v>
      </c>
      <c r="H35" s="140">
        <v>75326</v>
      </c>
      <c r="I35" s="397">
        <f>H35/'- 13 -'!$J$53*100</f>
        <v>3.9067080158875049E-3</v>
      </c>
      <c r="J35" s="140">
        <v>482932</v>
      </c>
      <c r="K35" s="397">
        <f>J35/'- 13 -'!$J$53*100</f>
        <v>2.5046787504030273E-2</v>
      </c>
    </row>
    <row r="36" spans="1:11">
      <c r="A36" s="139" t="s">
        <v>340</v>
      </c>
      <c r="B36" s="140">
        <v>1040827</v>
      </c>
      <c r="C36" s="397">
        <f>B36/'- 13 -'!$J$53*100</f>
        <v>5.3981456390252286E-2</v>
      </c>
      <c r="D36" s="140">
        <v>128796</v>
      </c>
      <c r="E36" s="397">
        <f>D36/'- 13 -'!$J$53*100</f>
        <v>6.6798763456740974E-3</v>
      </c>
      <c r="F36" s="140">
        <v>5708</v>
      </c>
      <c r="G36" s="397">
        <f>F36/'- 13 -'!$J$53*100</f>
        <v>2.9603973866508082E-4</v>
      </c>
      <c r="H36" s="140">
        <v>3395</v>
      </c>
      <c r="I36" s="397">
        <f>H36/'- 13 -'!$J$53*100</f>
        <v>1.7607829585983696E-4</v>
      </c>
      <c r="J36" s="140">
        <v>1924668</v>
      </c>
      <c r="K36" s="397">
        <f>J36/'- 13 -'!$J$53*100</f>
        <v>9.9820990143140095E-2</v>
      </c>
    </row>
    <row r="37" spans="1:11">
      <c r="A37" s="144" t="s">
        <v>341</v>
      </c>
      <c r="B37" s="140">
        <v>286429</v>
      </c>
      <c r="C37" s="397">
        <f>B37/'- 13 -'!$J$53*100</f>
        <v>1.4855354994061043E-2</v>
      </c>
      <c r="D37" s="140">
        <v>162924</v>
      </c>
      <c r="E37" s="397">
        <f>D37/'- 13 -'!$J$53*100</f>
        <v>8.4498910971039995E-3</v>
      </c>
      <c r="F37" s="140">
        <v>30892</v>
      </c>
      <c r="G37" s="397">
        <f>F37/'- 13 -'!$J$53*100</f>
        <v>1.6021828323128375E-3</v>
      </c>
      <c r="H37" s="140">
        <v>58089</v>
      </c>
      <c r="I37" s="397">
        <f>H37/'- 13 -'!$J$53*100</f>
        <v>3.0127281673643794E-3</v>
      </c>
      <c r="J37" s="140">
        <v>1303349</v>
      </c>
      <c r="K37" s="397">
        <f>J37/'- 13 -'!$J$53*100</f>
        <v>6.7596898624631113E-2</v>
      </c>
    </row>
    <row r="38" spans="1:11">
      <c r="A38" s="145" t="s">
        <v>342</v>
      </c>
      <c r="B38" s="140">
        <v>6149472</v>
      </c>
      <c r="C38" s="397">
        <f>B38/'- 13 -'!$J$53*100</f>
        <v>0.31893624453542951</v>
      </c>
      <c r="D38" s="140">
        <v>31748</v>
      </c>
      <c r="E38" s="397">
        <f>D38/'- 13 -'!$J$53*100</f>
        <v>1.6465784203116651E-3</v>
      </c>
      <c r="F38" s="140">
        <v>17157</v>
      </c>
      <c r="G38" s="397">
        <f>F38/'- 13 -'!$J$53*100</f>
        <v>8.8983072814940295E-4</v>
      </c>
      <c r="H38" s="140">
        <v>11751</v>
      </c>
      <c r="I38" s="397">
        <f>H38/'- 13 -'!$J$53*100</f>
        <v>6.0945391889512344E-4</v>
      </c>
      <c r="J38" s="140">
        <v>1600281</v>
      </c>
      <c r="K38" s="397">
        <f>J38/'- 13 -'!$J$53*100</f>
        <v>8.2996981259757213E-2</v>
      </c>
    </row>
    <row r="39" spans="1:11">
      <c r="A39" s="143" t="s">
        <v>343</v>
      </c>
      <c r="B39" s="399">
        <f>SUM(B24:B38)</f>
        <v>28151327</v>
      </c>
      <c r="C39" s="400">
        <f>B39/'- 13 -'!$J$53*100</f>
        <v>1.4600405550377071</v>
      </c>
      <c r="D39" s="399">
        <f>SUM(D24:D38)</f>
        <v>8873396</v>
      </c>
      <c r="E39" s="400">
        <f>D39/'- 13 -'!$J$53*100</f>
        <v>0.46020985159631628</v>
      </c>
      <c r="F39" s="399">
        <f>SUM(F24:F38)</f>
        <v>878524</v>
      </c>
      <c r="G39" s="400">
        <f>F39/'- 13 -'!$J$53*100</f>
        <v>4.556377284004931E-2</v>
      </c>
      <c r="H39" s="399">
        <f>SUM(H24:H38)</f>
        <v>2196344</v>
      </c>
      <c r="I39" s="400">
        <f>H39/'- 13 -'!$J$53*100</f>
        <v>0.1139111954762821</v>
      </c>
      <c r="J39" s="399">
        <f>SUM(J24:J38)</f>
        <v>13788438</v>
      </c>
      <c r="K39" s="400">
        <f>J39/'- 13 -'!$J$53*100</f>
        <v>0.71512361284507175</v>
      </c>
    </row>
    <row r="40" spans="1:11">
      <c r="A40" s="363" t="s">
        <v>344</v>
      </c>
      <c r="B40" s="146"/>
      <c r="C40" s="398"/>
      <c r="D40" s="146"/>
      <c r="E40" s="398"/>
      <c r="F40" s="146"/>
      <c r="G40" s="398"/>
      <c r="H40" s="146"/>
      <c r="I40" s="398"/>
      <c r="J40" s="146"/>
      <c r="K40" s="398"/>
    </row>
    <row r="41" spans="1:11">
      <c r="A41" s="139" t="s">
        <v>345</v>
      </c>
      <c r="B41" s="140">
        <v>28248980</v>
      </c>
      <c r="C41" s="397">
        <f>B41/'- 13 -'!$J$53*100</f>
        <v>1.465105230685896</v>
      </c>
      <c r="D41" s="140">
        <v>2582781</v>
      </c>
      <c r="E41" s="397">
        <f>D41/'- 13 -'!$J$53*100</f>
        <v>0.1339533658495333</v>
      </c>
      <c r="F41" s="140">
        <v>122553</v>
      </c>
      <c r="G41" s="397">
        <f>F41/'- 13 -'!$J$53*100</f>
        <v>6.3560893645097493E-3</v>
      </c>
      <c r="H41" s="140">
        <v>1324641</v>
      </c>
      <c r="I41" s="397">
        <f>H41/'- 13 -'!$J$53*100</f>
        <v>6.8701187012097278E-2</v>
      </c>
      <c r="J41" s="140">
        <v>1644670</v>
      </c>
      <c r="K41" s="397">
        <f>J41/'- 13 -'!$J$53*100</f>
        <v>8.5299172563121667E-2</v>
      </c>
    </row>
    <row r="42" spans="1:11">
      <c r="A42" s="139" t="s">
        <v>346</v>
      </c>
      <c r="B42" s="140">
        <v>11269374</v>
      </c>
      <c r="C42" s="397">
        <f>B42/'- 13 -'!$J$53*100</f>
        <v>0.58447486578119412</v>
      </c>
      <c r="D42" s="140">
        <v>851743</v>
      </c>
      <c r="E42" s="397">
        <f>D42/'- 13 -'!$J$53*100</f>
        <v>4.4174802930941122E-2</v>
      </c>
      <c r="F42" s="140">
        <v>53947</v>
      </c>
      <c r="G42" s="397">
        <f>F42/'- 13 -'!$J$53*100</f>
        <v>2.7979074600149117E-3</v>
      </c>
      <c r="H42" s="140">
        <v>148580</v>
      </c>
      <c r="I42" s="397">
        <f>H42/'- 13 -'!$J$53*100</f>
        <v>7.7059538140956041E-3</v>
      </c>
      <c r="J42" s="140">
        <v>119775</v>
      </c>
      <c r="K42" s="397">
        <f>J42/'- 13 -'!$J$53*100</f>
        <v>6.2120111595322458E-3</v>
      </c>
    </row>
    <row r="43" spans="1:11">
      <c r="A43" s="139" t="s">
        <v>347</v>
      </c>
      <c r="B43" s="140">
        <v>10390688</v>
      </c>
      <c r="C43" s="397">
        <f>B43/'- 13 -'!$J$53*100</f>
        <v>0.53890269097238808</v>
      </c>
      <c r="D43" s="140">
        <v>467760</v>
      </c>
      <c r="E43" s="397">
        <f>D43/'- 13 -'!$J$53*100</f>
        <v>2.4259906825153853E-2</v>
      </c>
      <c r="F43" s="140">
        <v>32073</v>
      </c>
      <c r="G43" s="397">
        <f>F43/'- 13 -'!$J$53*100</f>
        <v>1.663434221829912E-3</v>
      </c>
      <c r="H43" s="140">
        <v>78557</v>
      </c>
      <c r="I43" s="397">
        <f>H43/'- 13 -'!$J$53*100</f>
        <v>4.0742806149812114E-3</v>
      </c>
      <c r="J43" s="140">
        <v>283156</v>
      </c>
      <c r="K43" s="397">
        <f>J43/'- 13 -'!$J$53*100</f>
        <v>1.4685604106771133E-2</v>
      </c>
    </row>
    <row r="44" spans="1:11">
      <c r="A44" s="145" t="s">
        <v>348</v>
      </c>
      <c r="B44" s="140">
        <v>18286933</v>
      </c>
      <c r="C44" s="397">
        <f>B44/'- 13 -'!$J$53*100</f>
        <v>0.94843357853991628</v>
      </c>
      <c r="D44" s="140">
        <v>834198</v>
      </c>
      <c r="E44" s="397">
        <f>D44/'- 13 -'!$J$53*100</f>
        <v>4.3264848968979162E-2</v>
      </c>
      <c r="F44" s="140">
        <v>150331</v>
      </c>
      <c r="G44" s="397">
        <f>F44/'- 13 -'!$J$53*100</f>
        <v>7.7967676862754492E-3</v>
      </c>
      <c r="H44" s="140">
        <v>73830</v>
      </c>
      <c r="I44" s="397">
        <f>H44/'- 13 -'!$J$53*100</f>
        <v>3.8291194648988986E-3</v>
      </c>
      <c r="J44" s="140">
        <v>696822</v>
      </c>
      <c r="K44" s="397">
        <f>J44/'- 13 -'!$J$53*100</f>
        <v>3.6139979463223358E-2</v>
      </c>
    </row>
    <row r="45" spans="1:11">
      <c r="A45" s="143" t="s">
        <v>349</v>
      </c>
      <c r="B45" s="399">
        <f>SUM(B41:B44)</f>
        <v>68195975</v>
      </c>
      <c r="C45" s="400">
        <f>B45/'- 13 -'!$J$53*100</f>
        <v>3.5369163659793945</v>
      </c>
      <c r="D45" s="399">
        <f>SUM(D41:D44)</f>
        <v>4736482</v>
      </c>
      <c r="E45" s="400">
        <f>D45/'- 13 -'!$J$53*100</f>
        <v>0.24565292457460744</v>
      </c>
      <c r="F45" s="399">
        <f>SUM(F41:F44)</f>
        <v>358904</v>
      </c>
      <c r="G45" s="400">
        <f>F45/'- 13 -'!$J$53*100</f>
        <v>1.8614198732630021E-2</v>
      </c>
      <c r="H45" s="399">
        <f>SUM(H41:H44)</f>
        <v>1625608</v>
      </c>
      <c r="I45" s="400">
        <f>H45/'- 13 -'!$J$53*100</f>
        <v>8.4310540906072998E-2</v>
      </c>
      <c r="J45" s="399">
        <f>SUM(J41:J44)</f>
        <v>2744423</v>
      </c>
      <c r="K45" s="400">
        <f>J45/'- 13 -'!$J$53*100</f>
        <v>0.14233676729264838</v>
      </c>
    </row>
    <row r="46" spans="1:11">
      <c r="A46" s="362" t="s">
        <v>109</v>
      </c>
      <c r="B46" s="146"/>
      <c r="C46" s="398"/>
      <c r="D46" s="146"/>
      <c r="E46" s="398"/>
      <c r="F46" s="146"/>
      <c r="G46" s="398"/>
      <c r="H46" s="146"/>
      <c r="I46" s="398"/>
      <c r="J46" s="146"/>
      <c r="K46" s="398"/>
    </row>
    <row r="47" spans="1:11" ht="14.25">
      <c r="A47" s="145" t="s">
        <v>406</v>
      </c>
      <c r="B47" s="140"/>
      <c r="C47" s="397"/>
      <c r="D47" s="140"/>
      <c r="E47" s="397"/>
      <c r="F47" s="140">
        <v>59700</v>
      </c>
      <c r="G47" s="397"/>
      <c r="H47" s="140"/>
      <c r="I47" s="397"/>
      <c r="J47" s="140">
        <v>-59700</v>
      </c>
      <c r="K47" s="397"/>
    </row>
    <row r="48" spans="1:11">
      <c r="A48" s="143" t="s">
        <v>352</v>
      </c>
      <c r="B48" s="399"/>
      <c r="C48" s="400"/>
      <c r="D48" s="399"/>
      <c r="E48" s="400"/>
      <c r="F48" s="399">
        <f>F47</f>
        <v>59700</v>
      </c>
      <c r="G48" s="400"/>
      <c r="H48" s="399"/>
      <c r="I48" s="400"/>
      <c r="J48" s="399">
        <f>J47</f>
        <v>-59700</v>
      </c>
      <c r="K48" s="400"/>
    </row>
    <row r="49" spans="1:11" ht="5.0999999999999996" customHeight="1">
      <c r="A49" s="30"/>
      <c r="B49" s="39"/>
      <c r="C49" s="147"/>
      <c r="D49" s="65"/>
      <c r="E49" s="147"/>
      <c r="F49" s="65"/>
      <c r="G49" s="147"/>
      <c r="H49" s="65"/>
      <c r="I49" s="147"/>
      <c r="J49" s="65"/>
      <c r="K49" s="147"/>
    </row>
    <row r="50" spans="1:11">
      <c r="A50" s="364" t="s">
        <v>353</v>
      </c>
      <c r="B50" s="401">
        <f>SUM(B48,B45,B39,B22,B21)</f>
        <v>1064267659</v>
      </c>
      <c r="C50" s="402">
        <f>B50/'- 13 -'!$J$53*100</f>
        <v>55.197182838131972</v>
      </c>
      <c r="D50" s="401">
        <f>SUM(D48,D45,D39,D22,D21)</f>
        <v>365824928</v>
      </c>
      <c r="E50" s="402">
        <f>D50/'- 13 -'!$J$53*100</f>
        <v>18.973145774753327</v>
      </c>
      <c r="F50" s="401">
        <f>SUM(F48,F45,F39,F22,F21)</f>
        <v>8844631</v>
      </c>
      <c r="G50" s="402">
        <f>F50/'- 13 -'!$J$53*100</f>
        <v>0.45871798350193976</v>
      </c>
      <c r="H50" s="401">
        <f>SUM(H48,H45,H39,H22,H21)</f>
        <v>19414497</v>
      </c>
      <c r="I50" s="402">
        <f>H50/'- 13 -'!$J$53*100</f>
        <v>1.0069135631033628</v>
      </c>
      <c r="J50" s="401">
        <f>SUM(J48,J45,J39,J22,J21)</f>
        <v>66924500</v>
      </c>
      <c r="K50" s="402">
        <f>J50/'- 13 -'!$J$53*100</f>
        <v>3.4709725806396632</v>
      </c>
    </row>
    <row r="51" spans="1:11" ht="15.95" customHeight="1">
      <c r="A51" s="148" t="s">
        <v>623</v>
      </c>
    </row>
    <row r="52" spans="1:11">
      <c r="A52" s="150"/>
      <c r="B52" s="1">
        <f>+B50-'- 15 -'!B48</f>
        <v>0</v>
      </c>
      <c r="D52" s="1">
        <f>+D50-'- 15 -'!E48</f>
        <v>0</v>
      </c>
      <c r="F52" s="1">
        <f>+F50-'- 15 -'!H48</f>
        <v>0</v>
      </c>
      <c r="H52" s="1">
        <f>H50-'- 16 -'!B48</f>
        <v>0</v>
      </c>
      <c r="J52" s="1">
        <f>+J50-'- 16 -'!D48</f>
        <v>0</v>
      </c>
    </row>
    <row r="54" spans="1:11">
      <c r="B54" s="1">
        <f>+B50-'- 15 -'!B48</f>
        <v>0</v>
      </c>
      <c r="F54" s="1">
        <f>+F50-'- 15 -'!H48</f>
        <v>0</v>
      </c>
      <c r="H54" s="1">
        <f>+H50-'- 16 -'!B48</f>
        <v>0</v>
      </c>
      <c r="J54" s="1">
        <f>+J50-'- 16 -'!D48</f>
        <v>0</v>
      </c>
    </row>
  </sheetData>
  <mergeCells count="1">
    <mergeCell ref="L27:L29"/>
  </mergeCells>
  <phoneticPr fontId="6" type="noConversion"/>
  <printOptions verticalCentered="1"/>
  <pageMargins left="0.51181102362204722" right="0" top="0.59055118110236227" bottom="0.19685039370078741" header="0.31496062992125984" footer="0.51181102362204722"/>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61</vt:i4>
      </vt:variant>
      <vt:variant>
        <vt:lpstr>Named Ranges</vt:lpstr>
      </vt:variant>
      <vt:variant>
        <vt:i4>69</vt:i4>
      </vt:variant>
    </vt:vector>
  </HeadingPairs>
  <TitlesOfParts>
    <vt:vector size="130"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- 39 -</vt:lpstr>
      <vt:lpstr>- 41 -</vt:lpstr>
      <vt:lpstr>- 42 -</vt:lpstr>
      <vt:lpstr>- 43 -</vt:lpstr>
      <vt:lpstr>- 44 -</vt:lpstr>
      <vt:lpstr>- 45 -</vt:lpstr>
      <vt:lpstr>- 46 -</vt:lpstr>
      <vt:lpstr>- 47 -</vt:lpstr>
      <vt:lpstr>- 48 -</vt:lpstr>
      <vt:lpstr>- 49 -</vt:lpstr>
      <vt:lpstr>- 50 -</vt:lpstr>
      <vt:lpstr>- 51 -</vt:lpstr>
      <vt:lpstr>- 52 -</vt:lpstr>
      <vt:lpstr>- 54 -</vt:lpstr>
      <vt:lpstr>- 55 - </vt:lpstr>
      <vt:lpstr>- 56 -</vt:lpstr>
      <vt:lpstr>- 58 -</vt:lpstr>
      <vt:lpstr>- 59 -</vt:lpstr>
      <vt:lpstr>- 60 -</vt:lpstr>
      <vt:lpstr>- 61 -</vt:lpstr>
      <vt:lpstr>- 62 -</vt:lpstr>
      <vt:lpstr>- 63 -</vt:lpstr>
      <vt:lpstr>- 64 -</vt:lpstr>
      <vt:lpstr>- 65 -</vt:lpstr>
      <vt:lpstr>- 66 -</vt:lpstr>
      <vt:lpstr>- 67 -</vt:lpstr>
      <vt:lpstr>Data</vt:lpstr>
      <vt:lpstr>'- 49 -'!capyear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'- 39 -'!Print_Area</vt:lpstr>
      <vt:lpstr>'- 4 -'!Print_Area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'- 52 -'!Print_Area</vt:lpstr>
      <vt:lpstr>'- 54 -'!Print_Area</vt:lpstr>
      <vt:lpstr>'- 55 - '!Print_Area</vt:lpstr>
      <vt:lpstr>'- 56 -'!Print_Area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'- 67 -'!Print_Area</vt:lpstr>
      <vt:lpstr>'- 7 -'!Print_Area</vt:lpstr>
      <vt:lpstr>'- 8 -'!Print_Area</vt:lpstr>
      <vt:lpstr>'- 9 -'!Print_Area</vt:lpstr>
      <vt:lpstr>Data!Print_Area</vt:lpstr>
      <vt:lpstr>REVYEAR</vt:lpstr>
      <vt:lpstr>SPRINGYR</vt:lpstr>
      <vt:lpstr>STATDATE</vt:lpstr>
      <vt:lpstr>TAXYEAR</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2014-05-26T14:38:05Z</cp:lastPrinted>
  <dcterms:created xsi:type="dcterms:W3CDTF">1999-01-19T20:49:35Z</dcterms:created>
  <dcterms:modified xsi:type="dcterms:W3CDTF">2014-05-26T14:40:57Z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740996174</vt:i4>
  </property>
  <property fmtid="{D5CDD505-2E9C-101B-9397-08002B2CF9AE}" pid="3" name="_NewReviewCycle">
    <vt:lpwstr/>
  </property>
  <property fmtid="{D5CDD505-2E9C-101B-9397-08002B2CF9AE}" pid="4" name="_EmailSubject">
    <vt:lpwstr>Frame Actual 11-12 to be replaced on the website.</vt:lpwstr>
  </property>
  <property fmtid="{D5CDD505-2E9C-101B-9397-08002B2CF9AE}" pid="5" name="_AuthorEmail">
    <vt:lpwstr>Gonzalo.Pizarro@gov.mb.ca</vt:lpwstr>
  </property>
  <property fmtid="{D5CDD505-2E9C-101B-9397-08002B2CF9AE}" pid="6" name="_AuthorEmailDisplayName">
    <vt:lpwstr>Pizarro, Gonzalo (EAL)</vt:lpwstr>
  </property>
  <property fmtid="{D5CDD505-2E9C-101B-9397-08002B2CF9AE}" pid="8" name="_PreviousAdHocReviewCycleID">
    <vt:i4>561071868</vt:i4>
  </property>
</Properties>
</file>